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485" yWindow="15" windowWidth="8625" windowHeight="9435" tabRatio="651" firstSheet="1" activeTab="4"/>
  </bookViews>
  <sheets>
    <sheet name="E-learning credit hours" sheetId="1" r:id="rId1"/>
    <sheet name="Pivot Table for Fact Book" sheetId="2" r:id="rId2"/>
    <sheet name=" Pivot Table for Data Exchange" sheetId="3" r:id="rId3"/>
    <sheet name="Overview tables" sheetId="4" r:id="rId4"/>
    <sheet name="Tables by type" sheetId="5" r:id="rId5"/>
  </sheets>
  <externalReferences>
    <externalReference r:id="rId9"/>
    <externalReference r:id="rId10"/>
    <externalReference r:id="rId11"/>
    <externalReference r:id="rId12"/>
  </externalReferences>
  <definedNames>
    <definedName name="\a">#REF!</definedName>
    <definedName name="\c">#REF!</definedName>
    <definedName name="\s">#REF!</definedName>
    <definedName name="\x">#REF!</definedName>
    <definedName name="\z">#REF!</definedName>
    <definedName name="__123Graph_D" localSheetId="0" hidden="1">'[3]Surveys In'!$AA$10:$AC$10</definedName>
    <definedName name="__123Graph_D" hidden="1">'[1]Surveys In'!$AA$10:$AC$10</definedName>
    <definedName name="__123Graph_LBL_D" localSheetId="0" hidden="1">'[3]Surveys In'!$AA$10:$AC$10</definedName>
    <definedName name="__123Graph_LBL_D" hidden="1">'[1]Surveys In'!$AA$10:$AC$10</definedName>
    <definedName name="__123Graph_X" localSheetId="0" hidden="1">'[3]Surveys In'!$AA$8:$AC$8</definedName>
    <definedName name="__123Graph_X" hidden="1">'[1]Surveys In'!$AA$8:$AC$8</definedName>
    <definedName name="_Order1" hidden="1">255</definedName>
    <definedName name="APPHEAD">#REF!</definedName>
    <definedName name="CHART" localSheetId="0">'[3]Surveys In'!$A$1:$U$38</definedName>
    <definedName name="CHART">'[1]Surveys In'!$A$1:$U$38</definedName>
    <definedName name="CHHEAD">#REF!</definedName>
    <definedName name="MEMO" localSheetId="0">'[3]Surveys In'!$A$1:$U$41</definedName>
    <definedName name="MEMO">'[1]Surveys In'!$A$1:$U$41</definedName>
    <definedName name="N" localSheetId="0">'[3]Surveys In'!$I$38</definedName>
    <definedName name="N">'[1]Surveys In'!$I$38</definedName>
    <definedName name="NEWYEAR">#REF!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'[2]1. Completions'!#REF!</definedName>
    <definedName name="PAGE20">#REF!</definedName>
    <definedName name="PAGE3">'[2]1. Completions'!#REF!</definedName>
    <definedName name="PAGE4">'[2]1. Completions'!#REF!</definedName>
    <definedName name="PAGE5">'[2]1. Completions'!#REF!</definedName>
    <definedName name="PAGE6">#REF!</definedName>
    <definedName name="PAGE7">#REF!</definedName>
    <definedName name="PAGE8">#REF!</definedName>
    <definedName name="PAGE9">#REF!</definedName>
    <definedName name="PART1">'[2]1. Completions'!#REF!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2">' Pivot Table for Data Exchange'!$A$1:$S$473</definedName>
    <definedName name="_xlnm.Print_Area" localSheetId="0">'E-learning credit hours'!#REF!</definedName>
    <definedName name="_xlnm.Print_Area" localSheetId="3">'Overview tables'!$A$1:$P$118</definedName>
    <definedName name="_xlnm.Print_Area" localSheetId="4">'Tables by type'!$A$1:$P$463</definedName>
    <definedName name="_xlnm.Print_Titles" localSheetId="2">' Pivot Table for Data Exchange'!$A:$B,' Pivot Table for Data Exchange'!$3:$5</definedName>
    <definedName name="_xlnm.Print_Titles" localSheetId="0">'E-learning credit hours'!$A:$D</definedName>
    <definedName name="R_" localSheetId="0">'[3]Surveys In'!$D$38</definedName>
    <definedName name="R_">'[1]Surveys In'!$D$38</definedName>
    <definedName name="RATIONALE">#REF!</definedName>
    <definedName name="RATIONALE2">#REF!</definedName>
    <definedName name="RNG_DATA_A" localSheetId="0">'[3]Surveys In'!$AA$10:$AC$10</definedName>
    <definedName name="RNG_DATA_A">'[1]Surveys In'!$AA$10:$AC$10</definedName>
    <definedName name="RNG_LABEL_Y" localSheetId="0">'[3]Surveys In'!$V$9</definedName>
    <definedName name="RNG_LABEL_Y">'[1]Surveys In'!$V$9</definedName>
    <definedName name="SALHEAD">#REF!</definedName>
  </definedNames>
  <calcPr fullCalcOnLoad="1"/>
  <pivotCaches>
    <pivotCache cacheId="5" r:id="rId6"/>
  </pivotCaches>
</workbook>
</file>

<file path=xl/comments1.xml><?xml version="1.0" encoding="utf-8"?>
<comments xmlns="http://schemas.openxmlformats.org/spreadsheetml/2006/main">
  <authors>
    <author>jmarks</author>
    <author>mloverde</author>
    <author>jennifer berg</author>
    <author>JLM</author>
    <author>Gene Fields</author>
  </authors>
  <commentList>
    <comment ref="M3" authorId="0">
      <text>
        <r>
          <rPr>
            <b/>
            <sz val="8"/>
            <rFont val="Tahoma"/>
            <family val="0"/>
          </rPr>
          <t>jmarks:</t>
        </r>
        <r>
          <rPr>
            <sz val="8"/>
            <rFont val="Tahoma"/>
            <family val="0"/>
          </rPr>
          <t xml:space="preserve">
* Satellite, cable TV, broadcast TV/radio, closed-circuit, video tape, CD ROMS.</t>
        </r>
      </text>
    </comment>
    <comment ref="P3" authorId="0">
      <text>
        <r>
          <rPr>
            <b/>
            <sz val="8"/>
            <rFont val="Tahoma"/>
            <family val="0"/>
          </rPr>
          <t>jmarks:</t>
        </r>
        <r>
          <rPr>
            <sz val="8"/>
            <rFont val="Tahoma"/>
            <family val="0"/>
          </rPr>
          <t xml:space="preserve">
* Satellite, cable TV, broadcast TV/radio, closed-circuit, video tape, CD ROMS.</t>
        </r>
      </text>
    </comment>
    <comment ref="AA3" authorId="0">
      <text>
        <r>
          <rPr>
            <b/>
            <sz val="8"/>
            <rFont val="Tahoma"/>
            <family val="0"/>
          </rPr>
          <t>jmarks:</t>
        </r>
        <r>
          <rPr>
            <sz val="8"/>
            <rFont val="Tahoma"/>
            <family val="0"/>
          </rPr>
          <t xml:space="preserve">
* Satellite, cable TV, broadcast TV/radio, closed-circuit, video tape, CD ROMS.</t>
        </r>
      </text>
    </comment>
    <comment ref="AD3" authorId="0">
      <text>
        <r>
          <rPr>
            <b/>
            <sz val="8"/>
            <rFont val="Tahoma"/>
            <family val="0"/>
          </rPr>
          <t>jmarks:</t>
        </r>
        <r>
          <rPr>
            <sz val="8"/>
            <rFont val="Tahoma"/>
            <family val="0"/>
          </rPr>
          <t xml:space="preserve">
* Satellite, cable TV, broadcast TV/radio, closed-circuit, video tape, CD ROMS.</t>
        </r>
      </text>
    </comment>
    <comment ref="A1" authorId="1">
      <text>
        <r>
          <rPr>
            <b/>
            <sz val="11"/>
            <rFont val="Tahoma"/>
            <family val="2"/>
          </rPr>
          <t>As of 03/06 only 6 specialized schools ("15's") are included in this survey and they are Georgia Aviation Technical College, Southern Polytechnic State University, University of Maryland University College, North Carolina School of the Arts and Virginia Military Institute.</t>
        </r>
      </text>
    </comment>
    <comment ref="B128" authorId="1">
      <text>
        <r>
          <rPr>
            <b/>
            <sz val="8"/>
            <color indexed="8"/>
            <rFont val="Tahoma"/>
            <family val="0"/>
          </rPr>
          <t>met criteria for classification as a SREB Four Year 4 in 02-03</t>
        </r>
      </text>
    </comment>
    <comment ref="B129" authorId="2">
      <text>
        <r>
          <rPr>
            <b/>
            <sz val="8"/>
            <color indexed="8"/>
            <rFont val="Tahoma"/>
            <family val="0"/>
          </rPr>
          <t>Reclassified: met criteria for classification as a SREB- Four Year 4 institution in 00-01, 01-02 and 02-03</t>
        </r>
      </text>
    </comment>
    <comment ref="B249" authorId="2">
      <text>
        <r>
          <rPr>
            <b/>
            <sz val="8"/>
            <color indexed="8"/>
            <rFont val="Tahoma"/>
            <family val="0"/>
          </rPr>
          <t>Catonsville (162098), Dundalk (162399), &amp; Essex (162478)</t>
        </r>
      </text>
    </comment>
    <comment ref="B250" authorId="2">
      <text>
        <r>
          <rPr>
            <b/>
            <sz val="8"/>
            <color indexed="8"/>
            <rFont val="Tahoma"/>
            <family val="0"/>
          </rPr>
          <t>Germantown, Rockville and Takoma Park</t>
        </r>
      </text>
    </comment>
    <comment ref="B453" authorId="1">
      <text>
        <r>
          <rPr>
            <b/>
            <sz val="8"/>
            <color indexed="8"/>
            <rFont val="Tahoma"/>
            <family val="0"/>
          </rPr>
          <t>Met criteria for classification as a SREB Two-Year 8 in 2002-2003.</t>
        </r>
      </text>
    </comment>
    <comment ref="B432" authorId="1">
      <text>
        <r>
          <rPr>
            <b/>
            <sz val="8"/>
            <color indexed="8"/>
            <rFont val="Tahoma"/>
            <family val="0"/>
          </rPr>
          <t>Met criteria for classification as a SREB Two-Year 9 in 2002-2003.</t>
        </r>
      </text>
    </comment>
    <comment ref="B444" authorId="1">
      <text>
        <r>
          <rPr>
            <b/>
            <sz val="8"/>
            <color indexed="8"/>
            <rFont val="Tahoma"/>
            <family val="0"/>
          </rPr>
          <t>Met criteria for classification as a SREB Two-Year 9 in 2002-2003.</t>
        </r>
      </text>
    </comment>
    <comment ref="B8" authorId="1">
      <text>
        <r>
          <rPr>
            <b/>
            <sz val="8"/>
            <rFont val="Tahoma"/>
            <family val="0"/>
          </rPr>
          <t>met criteria for classification as a SREB Four-year 2 institution in 04-05 and 2005-06</t>
        </r>
      </text>
    </comment>
    <comment ref="B13" authorId="1">
      <text>
        <r>
          <rPr>
            <b/>
            <sz val="8"/>
            <rFont val="Tahoma"/>
            <family val="0"/>
          </rPr>
          <t>met criteria for classification as a SREB Four-year 5 institution in 2005-06</t>
        </r>
      </text>
    </comment>
    <comment ref="B15" authorId="0">
      <text>
        <r>
          <rPr>
            <sz val="8"/>
            <rFont val="Tahoma"/>
            <family val="0"/>
          </rPr>
          <t>merged with the former Dothan &amp; Montgomery campuses (she's combined the data for prior year) - met the criteria for a SREB Four-year 3 in 2004-05 and 2005-06</t>
        </r>
      </text>
    </comment>
    <comment ref="B20" authorId="1">
      <text>
        <r>
          <rPr>
            <b/>
            <sz val="8"/>
            <rFont val="Tahoma"/>
            <family val="0"/>
          </rPr>
          <t>reclssified: met criteria for classification as a SREB Two-year 1 institution in 03-04, 04-05 and 05-06</t>
        </r>
      </text>
    </comment>
    <comment ref="B27" authorId="0">
      <text>
        <r>
          <rPr>
            <sz val="8"/>
            <rFont val="Tahoma"/>
            <family val="0"/>
          </rPr>
          <t>merged with the former Bessemer State Technical College (she's combined the data for prior year) - reclassified: met the criteria for classification as a SREB two-year 2 in 2003-04, 2004-05 and 2005-06</t>
        </r>
      </text>
    </comment>
    <comment ref="B79" authorId="1">
      <text>
        <r>
          <rPr>
            <b/>
            <sz val="9"/>
            <rFont val="Tahoma"/>
            <family val="2"/>
          </rPr>
          <t>met the criteria for a SREB Two-year 3 institution (a "10") in 2005-06</t>
        </r>
      </text>
    </comment>
    <comment ref="B87" authorId="1">
      <text>
        <r>
          <rPr>
            <sz val="8"/>
            <rFont val="Tahoma"/>
            <family val="2"/>
          </rPr>
          <t>met the criteria for a SREB Four-Year 1 institution in 2005-06</t>
        </r>
      </text>
    </comment>
    <comment ref="B93" authorId="1">
      <text>
        <r>
          <rPr>
            <sz val="8"/>
            <rFont val="Tahoma"/>
            <family val="2"/>
          </rPr>
          <t>Award bachelor's degrees - met 0 of 3 criteria for moving to four-year status (needs to meet 2 criteria for 3 consecutive years)</t>
        </r>
      </text>
    </comment>
    <comment ref="B94" authorId="1">
      <text>
        <r>
          <rPr>
            <sz val="8"/>
            <rFont val="Tahoma"/>
            <family val="2"/>
          </rPr>
          <t>Award bachelor's degrees - met 0 of 3 criteria for moving to four-year status (needs to meet 2 criteria for 3 consecutive years)</t>
        </r>
      </text>
    </comment>
    <comment ref="B95" authorId="1">
      <text>
        <r>
          <rPr>
            <sz val="8"/>
            <rFont val="Tahoma"/>
            <family val="2"/>
          </rPr>
          <t xml:space="preserve">Awards bachelor's degrees - met one of 3 criteria for moving to four-year status (needs to meet 2 criteria for 3 consecutive years)--awarded over 100 bachelor's degrees </t>
        </r>
      </text>
    </comment>
    <comment ref="B115" authorId="1">
      <text>
        <r>
          <rPr>
            <b/>
            <sz val="8"/>
            <rFont val="Tahoma"/>
            <family val="0"/>
          </rPr>
          <t>met criteria for a SREB Two-Year 1 institution in 2004-05 and 2005-06</t>
        </r>
      </text>
    </comment>
    <comment ref="B137" authorId="3">
      <text>
        <r>
          <rPr>
            <b/>
            <sz val="8"/>
            <rFont val="Tahoma"/>
            <family val="0"/>
          </rPr>
          <t>JLM:</t>
        </r>
        <r>
          <rPr>
            <sz val="8"/>
            <rFont val="Tahoma"/>
            <family val="0"/>
          </rPr>
          <t xml:space="preserve">
Formerly Clayton College and State University</t>
        </r>
      </text>
    </comment>
    <comment ref="B139" authorId="0">
      <text>
        <r>
          <rPr>
            <b/>
            <sz val="8"/>
            <rFont val="Tahoma"/>
            <family val="0"/>
          </rPr>
          <t>jmarks:</t>
        </r>
        <r>
          <rPr>
            <sz val="8"/>
            <rFont val="Tahoma"/>
            <family val="0"/>
          </rPr>
          <t xml:space="preserve">
Two of three criteria for 4-yr met in 2004-05 and 2005-06 — second flag for 4-yr class</t>
        </r>
      </text>
    </comment>
    <comment ref="B144" authorId="3">
      <text>
        <r>
          <rPr>
            <b/>
            <sz val="8"/>
            <rFont val="Tahoma"/>
            <family val="0"/>
          </rPr>
          <t>JLM:</t>
        </r>
        <r>
          <rPr>
            <sz val="8"/>
            <rFont val="Tahoma"/>
            <family val="0"/>
          </rPr>
          <t xml:space="preserve">
Formerly Floyd College</t>
        </r>
      </text>
    </comment>
    <comment ref="B146" authorId="1">
      <text>
        <r>
          <rPr>
            <b/>
            <sz val="8"/>
            <rFont val="Tahoma"/>
            <family val="0"/>
          </rPr>
          <t>reclassified: met the criteria for a SREB two-year 2 in 03-04, 04-05 and 05-06</t>
        </r>
      </text>
    </comment>
    <comment ref="B149" authorId="1">
      <text>
        <r>
          <rPr>
            <b/>
            <sz val="8"/>
            <rFont val="Tahoma"/>
            <family val="0"/>
          </rPr>
          <t>met the criteria for a SREB two-year 2 in 05-06</t>
        </r>
      </text>
    </comment>
    <comment ref="B154" authorId="1">
      <text>
        <r>
          <rPr>
            <b/>
            <sz val="8"/>
            <rFont val="Tahoma"/>
            <family val="0"/>
          </rPr>
          <t>met the criteria for a SREB Tech Inst or Col 2 (a "13") for the first time in 2005-06</t>
        </r>
      </text>
    </comment>
    <comment ref="B164" authorId="1">
      <text>
        <r>
          <rPr>
            <b/>
            <sz val="8"/>
            <rFont val="Tahoma"/>
            <family val="0"/>
          </rPr>
          <t>met the criteria for a SREB Tech Inst or Col 2 (a "13") in 2004-05 and 2005-06</t>
        </r>
      </text>
    </comment>
    <comment ref="B178" authorId="1">
      <text>
        <r>
          <rPr>
            <b/>
            <sz val="8"/>
            <rFont val="Tahoma"/>
            <family val="0"/>
          </rPr>
          <t>met the criteria for a SREB Tech Inst or Col 2 (a "13") in 2004-05 and 2005-06</t>
        </r>
      </text>
    </comment>
    <comment ref="B490" authorId="3">
      <text>
        <r>
          <rPr>
            <b/>
            <sz val="8"/>
            <rFont val="Tahoma"/>
            <family val="0"/>
          </rPr>
          <t>JLM:</t>
        </r>
        <r>
          <rPr>
            <sz val="8"/>
            <rFont val="Tahoma"/>
            <family val="0"/>
          </rPr>
          <t xml:space="preserve">
For all WV institutions, only fall 2004 data has been reported in the 2004-05 columns because that was the first semester 50% was used as the qualifier in our data fields for degree of non-traditional delivery method.  For 2005-06, data for the entire year has been reported (at 50%).</t>
        </r>
      </text>
    </comment>
    <comment ref="B214" authorId="1">
      <text>
        <r>
          <rPr>
            <b/>
            <sz val="8"/>
            <rFont val="Tahoma"/>
            <family val="0"/>
          </rPr>
          <t>reclassified: met criteria for classification as a SREB Four-Year 2 institution in 2003-04, 2004-05 and 2005-06</t>
        </r>
      </text>
    </comment>
    <comment ref="B218" authorId="1">
      <text>
        <r>
          <rPr>
            <b/>
            <sz val="8"/>
            <color indexed="8"/>
            <rFont val="Tahoma"/>
            <family val="0"/>
          </rPr>
          <t>Reclassified: met criteria for classification as a SREB Four-Year 4 institution in 2001-02, 02-03, and 03-04.</t>
        </r>
        <r>
          <rPr>
            <sz val="8"/>
            <color indexed="8"/>
            <rFont val="Tahoma"/>
            <family val="0"/>
          </rPr>
          <t xml:space="preserve">
</t>
        </r>
      </text>
    </comment>
    <comment ref="B221" authorId="1">
      <text>
        <r>
          <rPr>
            <b/>
            <sz val="8"/>
            <rFont val="Tahoma"/>
            <family val="0"/>
          </rPr>
          <t>met criteria for classification as a SREB Four-Year 3 institution in 2004-05 and 2005-06</t>
        </r>
      </text>
    </comment>
    <comment ref="B222" authorId="1">
      <text>
        <r>
          <rPr>
            <b/>
            <sz val="8"/>
            <rFont val="Tahoma"/>
            <family val="0"/>
          </rPr>
          <t>met criteria for classification as a SREB Four-Year 4 institution in 2004-05 and 2005-06</t>
        </r>
      </text>
    </comment>
    <comment ref="B223" authorId="1">
      <text>
        <r>
          <rPr>
            <b/>
            <sz val="8"/>
            <rFont val="Tahoma"/>
            <family val="0"/>
          </rPr>
          <t>met criteria for classification as a SREB Four-Year 4 institution in 2005-06</t>
        </r>
      </text>
    </comment>
    <comment ref="B224" authorId="3">
      <text>
        <r>
          <rPr>
            <b/>
            <sz val="8"/>
            <rFont val="Tahoma"/>
            <family val="0"/>
          </rPr>
          <t>JLM:</t>
        </r>
        <r>
          <rPr>
            <sz val="8"/>
            <rFont val="Tahoma"/>
            <family val="0"/>
          </rPr>
          <t xml:space="preserve">
Awarded bacelor's degrees.</t>
        </r>
      </text>
    </comment>
    <comment ref="B233" authorId="1">
      <text>
        <r>
          <rPr>
            <b/>
            <sz val="8"/>
            <rFont val="Tahoma"/>
            <family val="0"/>
          </rPr>
          <t>Met the criteria for a SREB Two-year 2 institution in 2004-05 and 2005-06.</t>
        </r>
      </text>
    </comment>
    <comment ref="B234" authorId="4">
      <text>
        <r>
          <rPr>
            <b/>
            <sz val="8"/>
            <rFont val="Tahoma"/>
            <family val="0"/>
          </rPr>
          <t>Gene Fields:</t>
        </r>
        <r>
          <rPr>
            <sz val="8"/>
            <rFont val="Tahoma"/>
            <family val="0"/>
          </rPr>
          <t xml:space="preserve">
Met criteria for Two-Year 3 in 2005-06.</t>
        </r>
      </text>
    </comment>
    <comment ref="B235" authorId="4">
      <text>
        <r>
          <rPr>
            <b/>
            <sz val="8"/>
            <rFont val="Tahoma"/>
            <family val="0"/>
          </rPr>
          <t>Gene Fields:</t>
        </r>
        <r>
          <rPr>
            <sz val="8"/>
            <rFont val="Tahoma"/>
            <family val="0"/>
          </rPr>
          <t xml:space="preserve">
Institution renamed.  No longer part of LTC.</t>
        </r>
      </text>
    </comment>
    <comment ref="B246" authorId="1">
      <text>
        <r>
          <rPr>
            <b/>
            <sz val="8"/>
            <rFont val="Tahoma"/>
            <family val="0"/>
          </rPr>
          <t>met the criteria for classification as a SREB Four-year 4 institution in 2005-06</t>
        </r>
      </text>
    </comment>
    <comment ref="B257" authorId="3">
      <text>
        <r>
          <rPr>
            <b/>
            <sz val="8"/>
            <rFont val="Tahoma"/>
            <family val="0"/>
          </rPr>
          <t>JLM:</t>
        </r>
        <r>
          <rPr>
            <sz val="8"/>
            <rFont val="Tahoma"/>
            <family val="0"/>
          </rPr>
          <t xml:space="preserve">
Met the criteria for Two-Year 2 in 2005-06.</t>
        </r>
      </text>
    </comment>
    <comment ref="B262" authorId="3">
      <text>
        <r>
          <rPr>
            <b/>
            <sz val="8"/>
            <rFont val="Tahoma"/>
            <family val="0"/>
          </rPr>
          <t>JLM:</t>
        </r>
        <r>
          <rPr>
            <sz val="8"/>
            <rFont val="Tahoma"/>
            <family val="0"/>
          </rPr>
          <t xml:space="preserve">
Met the criteria for Two-Year 2 in 2005-06.</t>
        </r>
      </text>
    </comment>
    <comment ref="B266" authorId="1">
      <text>
        <r>
          <rPr>
            <sz val="8"/>
            <rFont val="Tahoma"/>
            <family val="2"/>
          </rPr>
          <t>reclassified: met the criteria for classification as a SREB Four-Year 2 institution in 2003-04, 2004-05 and 2005-06</t>
        </r>
      </text>
    </comment>
    <comment ref="B267" authorId="1">
      <text>
        <r>
          <rPr>
            <sz val="8"/>
            <rFont val="Tahoma"/>
            <family val="2"/>
          </rPr>
          <t>met the criteria for classification as a SREB Four-Year 1 institution in 2005-06</t>
        </r>
      </text>
    </comment>
    <comment ref="B273" authorId="2">
      <text>
        <r>
          <rPr>
            <sz val="8"/>
            <color indexed="8"/>
            <rFont val="Tahoma"/>
            <family val="2"/>
          </rPr>
          <t>includes Raymond campus (175786), Jackson campus (175777), Rankin campus (175795) and Vicksburg-Warren county (175801)</t>
        </r>
      </text>
    </comment>
    <comment ref="B275" authorId="1">
      <text>
        <r>
          <rPr>
            <b/>
            <sz val="8"/>
            <rFont val="Tahoma"/>
            <family val="0"/>
          </rPr>
          <t>reclassified: met criteria for classification as a SREB Two-Year 1 institution in 2003-04, 2004-05 and 2005-06</t>
        </r>
      </text>
    </comment>
    <comment ref="B276" authorId="2">
      <text>
        <r>
          <rPr>
            <sz val="8"/>
            <color indexed="8"/>
            <rFont val="Tahoma"/>
            <family val="2"/>
          </rPr>
          <t>includes Natchez campus (175564)</t>
        </r>
      </text>
    </comment>
    <comment ref="B285" authorId="2">
      <text>
        <r>
          <rPr>
            <sz val="8"/>
            <color indexed="8"/>
            <rFont val="Tahoma"/>
            <family val="2"/>
          </rPr>
          <t>includes Forrest county center (408127)</t>
        </r>
      </text>
    </comment>
    <comment ref="B295" authorId="3">
      <text>
        <r>
          <rPr>
            <b/>
            <sz val="8"/>
            <rFont val="Tahoma"/>
            <family val="0"/>
          </rPr>
          <t>JLM:
Met the criteria for a Four-Year 2 in 2005-06</t>
        </r>
        <r>
          <rPr>
            <sz val="8"/>
            <rFont val="Tahoma"/>
            <family val="0"/>
          </rPr>
          <t xml:space="preserve">
</t>
        </r>
      </text>
    </comment>
    <comment ref="B302" authorId="3">
      <text>
        <r>
          <rPr>
            <b/>
            <sz val="8"/>
            <rFont val="Tahoma"/>
            <family val="0"/>
          </rPr>
          <t>JLM:</t>
        </r>
        <r>
          <rPr>
            <sz val="8"/>
            <rFont val="Tahoma"/>
            <family val="0"/>
          </rPr>
          <t xml:space="preserve">
Met the criteria for Four-Year 5 in 2005-06.</t>
        </r>
      </text>
    </comment>
    <comment ref="B305" authorId="1">
      <text>
        <r>
          <rPr>
            <b/>
            <sz val="8"/>
            <rFont val="Tahoma"/>
            <family val="0"/>
          </rPr>
          <t>reclassified: met the criteria for SREB Two-Year 1 in 2003-04, 2004-05 and 2005-06</t>
        </r>
      </text>
    </comment>
    <comment ref="B314" authorId="1">
      <text>
        <r>
          <rPr>
            <b/>
            <sz val="8"/>
            <rFont val="Tahoma"/>
            <family val="0"/>
          </rPr>
          <t>reclassified: met the criteria for SREB Two-Year 2 in 2003-04, 2004-05 and 2005-06</t>
        </r>
      </text>
    </comment>
    <comment ref="B318" authorId="1">
      <text>
        <r>
          <rPr>
            <b/>
            <sz val="8"/>
            <rFont val="Tahoma"/>
            <family val="0"/>
          </rPr>
          <t>met the criteria for SREB Two-Year 1 in 2005-06</t>
        </r>
      </text>
    </comment>
    <comment ref="B322" authorId="1">
      <text>
        <r>
          <rPr>
            <b/>
            <sz val="8"/>
            <rFont val="Tahoma"/>
            <family val="0"/>
          </rPr>
          <t>met the criteria for SREB Two-Year 1 in 2004-05 and 2005-06</t>
        </r>
      </text>
    </comment>
    <comment ref="B324" authorId="1">
      <text>
        <r>
          <rPr>
            <b/>
            <sz val="8"/>
            <rFont val="Tahoma"/>
            <family val="0"/>
          </rPr>
          <t>met the criteria for SREB Two-Year 1 in 2005-06</t>
        </r>
      </text>
    </comment>
    <comment ref="B325" authorId="1">
      <text>
        <r>
          <rPr>
            <b/>
            <sz val="8"/>
            <rFont val="Tahoma"/>
            <family val="0"/>
          </rPr>
          <t>reclassified: met the criteria for SREB Two-Year 2 in 2003-04, 2004-05 and 2005-06</t>
        </r>
      </text>
    </comment>
    <comment ref="B333" authorId="1">
      <text>
        <r>
          <rPr>
            <b/>
            <sz val="8"/>
            <rFont val="Tahoma"/>
            <family val="0"/>
          </rPr>
          <t>met criteria as a SREB two-year 3 institution in 2005-06</t>
        </r>
      </text>
    </comment>
    <comment ref="B336" authorId="1">
      <text>
        <r>
          <rPr>
            <b/>
            <sz val="8"/>
            <rFont val="Tahoma"/>
            <family val="0"/>
          </rPr>
          <t>met the criteria for SREB Two-Year 1 in 2004-05 and 2005-06</t>
        </r>
      </text>
    </comment>
    <comment ref="B338" authorId="1">
      <text>
        <r>
          <rPr>
            <b/>
            <sz val="8"/>
            <rFont val="Tahoma"/>
            <family val="2"/>
          </rPr>
          <t>reclassified: met the criteria for SREB Two-Year 2 in 2003-04, 2004-05 and 2005-06</t>
        </r>
      </text>
    </comment>
    <comment ref="B341" authorId="1">
      <text>
        <r>
          <rPr>
            <b/>
            <sz val="8"/>
            <rFont val="Tahoma"/>
            <family val="2"/>
          </rPr>
          <t>reclassified: met the criteria for SREB Two-Year 2 in 2003-04, 2004-05 and 2005-06</t>
        </r>
      </text>
    </comment>
    <comment ref="B350" authorId="1">
      <text>
        <r>
          <rPr>
            <b/>
            <sz val="8"/>
            <rFont val="Tahoma"/>
            <family val="0"/>
          </rPr>
          <t>met criteria as a SREB two-year 2 institution in 2005-06</t>
        </r>
      </text>
    </comment>
    <comment ref="B364" authorId="1">
      <text>
        <r>
          <rPr>
            <sz val="8"/>
            <rFont val="Tahoma"/>
            <family val="2"/>
          </rPr>
          <t>met criteria for a SREB Four-Year 3 in 2004-05 and 2005-06</t>
        </r>
      </text>
    </comment>
    <comment ref="B367" authorId="1">
      <text>
        <r>
          <rPr>
            <sz val="8"/>
            <rFont val="Tahoma"/>
            <family val="0"/>
          </rPr>
          <t>reclassified: met criteria for SREB Four-Year 5 institution in 2003-04, 2004-05 and 2005-06</t>
        </r>
      </text>
    </comment>
    <comment ref="B373" authorId="0">
      <text>
        <r>
          <rPr>
            <b/>
            <sz val="8"/>
            <rFont val="Tahoma"/>
            <family val="0"/>
          </rPr>
          <t>jmarks:</t>
        </r>
        <r>
          <rPr>
            <sz val="8"/>
            <rFont val="Tahoma"/>
            <family val="0"/>
          </rPr>
          <t xml:space="preserve">
One of three criteria for 4-yr were met in 2005-06, no flag for reclassification yet</t>
        </r>
      </text>
    </comment>
    <comment ref="B377" authorId="1">
      <text>
        <r>
          <rPr>
            <sz val="8"/>
            <rFont val="Tahoma"/>
            <family val="2"/>
          </rPr>
          <t>met criteria as a SREB Two-Year 3 in 2005-06</t>
        </r>
      </text>
    </comment>
    <comment ref="B395" authorId="1">
      <text>
        <r>
          <rPr>
            <b/>
            <sz val="8"/>
            <rFont val="Tahoma"/>
            <family val="0"/>
          </rPr>
          <t xml:space="preserve">met the criteria for a SREB Four-Year 1 institution in 2005-06 </t>
        </r>
      </text>
    </comment>
    <comment ref="B422" authorId="1">
      <text>
        <r>
          <rPr>
            <b/>
            <sz val="8"/>
            <rFont val="Tahoma"/>
            <family val="0"/>
          </rPr>
          <t>met criteria for classification as a SREB Four-Year 5 in 04-05 and 2005-06</t>
        </r>
      </text>
    </comment>
    <comment ref="B461" authorId="0">
      <text>
        <r>
          <rPr>
            <b/>
            <sz val="8"/>
            <rFont val="Tahoma"/>
            <family val="0"/>
          </rPr>
          <t>jmarks:</t>
        </r>
        <r>
          <rPr>
            <sz val="8"/>
            <rFont val="Tahoma"/>
            <family val="0"/>
          </rPr>
          <t xml:space="preserve">
Reclassified: met criteria for classification as a SREB Two-Year 8 in 2003-04, 2004-05 and 2005-06.</t>
        </r>
      </text>
    </comment>
    <comment ref="B463" authorId="0">
      <text>
        <r>
          <rPr>
            <b/>
            <sz val="8"/>
            <rFont val="Tahoma"/>
            <family val="0"/>
          </rPr>
          <t>jmarks:</t>
        </r>
        <r>
          <rPr>
            <sz val="8"/>
            <rFont val="Tahoma"/>
            <family val="0"/>
          </rPr>
          <t xml:space="preserve">
Reclassified: met criteria for classification as a SREB Two-Year 8 in 2003-04, 2004-05 and 2005-06.</t>
        </r>
      </text>
    </comment>
    <comment ref="B471" authorId="1">
      <text>
        <r>
          <rPr>
            <b/>
            <sz val="8"/>
            <rFont val="Tahoma"/>
            <family val="0"/>
          </rPr>
          <t>formerly South Texas Community College</t>
        </r>
      </text>
    </comment>
    <comment ref="B448" authorId="1">
      <text>
        <r>
          <rPr>
            <b/>
            <sz val="8"/>
            <rFont val="Tahoma"/>
            <family val="0"/>
          </rPr>
          <t>Reclassified: met criteria for classification as a SREB Two-Year 2 ("9") in 2003-04, 2004-05 and 2005-06</t>
        </r>
      </text>
    </comment>
    <comment ref="B450" authorId="1">
      <text>
        <r>
          <rPr>
            <b/>
            <sz val="8"/>
            <rFont val="Tahoma"/>
            <family val="0"/>
          </rPr>
          <t>met the criteria for a SREB two-year 3 institution in 2005-06</t>
        </r>
      </text>
    </comment>
    <comment ref="B456" authorId="1">
      <text>
        <r>
          <rPr>
            <b/>
            <sz val="8"/>
            <rFont val="Tahoma"/>
            <family val="0"/>
          </rPr>
          <t>met the criteria for a SREB two-year 1 institution in 2005-06</t>
        </r>
      </text>
    </comment>
    <comment ref="B485" authorId="1">
      <text>
        <r>
          <rPr>
            <b/>
            <sz val="8"/>
            <color indexed="8"/>
            <rFont val="Tahoma"/>
            <family val="0"/>
          </rPr>
          <t>Formerly listed as Vernon Regional Junior College.</t>
        </r>
      </text>
    </comment>
    <comment ref="B449" authorId="1">
      <text>
        <r>
          <rPr>
            <b/>
            <sz val="8"/>
            <color indexed="8"/>
            <rFont val="Tahoma"/>
            <family val="0"/>
          </rPr>
          <t>Formerly listed as Lamar State College- Orange Campus</t>
        </r>
      </text>
    </comment>
    <comment ref="B482" authorId="1">
      <text>
        <r>
          <rPr>
            <b/>
            <sz val="8"/>
            <color indexed="8"/>
            <rFont val="Tahoma"/>
            <family val="0"/>
          </rPr>
          <t>Formerly listed as Texas State Technical College-Sweetwater.</t>
        </r>
      </text>
    </comment>
    <comment ref="Q45"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Q46"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Q48" authorId="1">
      <text>
        <r>
          <rPr>
            <sz val="8"/>
            <rFont val="Tahoma"/>
            <family val="2"/>
          </rPr>
          <t>The University of Arkansas, Fayetteville has formal college-level programs, but have yet to report via the State data system.  We have been encouraging the institutions to report but no results yet.</t>
        </r>
      </text>
    </comment>
    <comment ref="B49" authorId="1">
      <text>
        <r>
          <rPr>
            <sz val="8"/>
            <rFont val="Tahoma"/>
            <family val="2"/>
          </rPr>
          <t>reclassified from a 5 to a 4: met the criteria for a SREB Four-Year 4 in 2003-04, 2004-05 and 2005-06</t>
        </r>
      </text>
    </comment>
    <comment ref="B50" authorId="1">
      <text>
        <r>
          <rPr>
            <sz val="8"/>
            <rFont val="Tahoma"/>
            <family val="2"/>
          </rPr>
          <t>reclassified from a 5 to a 4: met the criteria for a SREB Four-Year 4 in 2003-04, 2004-05 and 2005-06</t>
        </r>
      </text>
    </comment>
    <comment ref="B52" authorId="1">
      <text>
        <r>
          <rPr>
            <sz val="8"/>
            <rFont val="Tahoma"/>
            <family val="2"/>
          </rPr>
          <t>reclassified from a 6 to a 5: met the criteria for a SREB Four-Year 5 in 2003-04, 2004-05, and 2005-06</t>
        </r>
      </text>
    </comment>
    <comment ref="B54" authorId="1">
      <text>
        <r>
          <rPr>
            <sz val="8"/>
            <color indexed="8"/>
            <rFont val="Tahoma"/>
            <family val="2"/>
          </rPr>
          <t>two of three criteria for 4-yr status met in 2005-06 (5 CIPs and &gt;100 bach degrees)</t>
        </r>
      </text>
    </comment>
    <comment ref="B57" authorId="1">
      <text>
        <r>
          <rPr>
            <b/>
            <sz val="8"/>
            <rFont val="Tahoma"/>
            <family val="0"/>
          </rPr>
          <t>met criteria for a SREB two-year 1 in 2004-05 and 2005-06</t>
        </r>
      </text>
    </comment>
    <comment ref="A82" authorId="3">
      <text>
        <r>
          <rPr>
            <b/>
            <sz val="10"/>
            <rFont val="Tahoma"/>
            <family val="0"/>
          </rPr>
          <t>JLM:</t>
        </r>
        <r>
          <rPr>
            <sz val="10"/>
            <rFont val="Tahoma"/>
            <family val="0"/>
          </rPr>
          <t xml:space="preserve">
Use 75% rule for e-learning.</t>
        </r>
      </text>
    </comment>
  </commentList>
</comments>
</file>

<file path=xl/sharedStrings.xml><?xml version="1.0" encoding="utf-8"?>
<sst xmlns="http://schemas.openxmlformats.org/spreadsheetml/2006/main" count="2627" uniqueCount="767">
  <si>
    <t>Old</t>
  </si>
  <si>
    <t>change</t>
  </si>
  <si>
    <t>4-yr</t>
  </si>
  <si>
    <t>2-yr</t>
  </si>
  <si>
    <t>tech</t>
  </si>
  <si>
    <t>Troy University</t>
  </si>
  <si>
    <t xml:space="preserve">Miami Dade College </t>
  </si>
  <si>
    <t>Clayton State University</t>
  </si>
  <si>
    <t>Coastal Georgia Community College</t>
  </si>
  <si>
    <t xml:space="preserve">   </t>
  </si>
  <si>
    <r>
      <t>2004-05 Total Under- graduate SCH</t>
    </r>
    <r>
      <rPr>
        <sz val="8"/>
        <rFont val="Arial"/>
        <family val="0"/>
      </rPr>
      <t xml:space="preserve"> (a sum of columns --should match totals from Data Exchange Part 3)</t>
    </r>
  </si>
  <si>
    <r>
      <t>2005-06 Total Under- graduate SCH</t>
    </r>
    <r>
      <rPr>
        <sz val="8"/>
        <color indexed="12"/>
        <rFont val="Arial"/>
        <family val="0"/>
      </rPr>
      <t xml:space="preserve"> (a sum of columns --should match totals from Data Exchange Part 3)</t>
    </r>
  </si>
  <si>
    <t>Web</t>
  </si>
  <si>
    <t>Other*</t>
  </si>
  <si>
    <t xml:space="preserve"> </t>
  </si>
  <si>
    <t>State</t>
  </si>
  <si>
    <t>Institution</t>
  </si>
  <si>
    <t>IPEDS ID</t>
  </si>
  <si>
    <t>WV</t>
  </si>
  <si>
    <t>West Virginia University</t>
  </si>
  <si>
    <t xml:space="preserve">Marshall University </t>
  </si>
  <si>
    <t xml:space="preserve">Bluefield State College </t>
  </si>
  <si>
    <t xml:space="preserve">Glenville State College </t>
  </si>
  <si>
    <t xml:space="preserve">West Liberty State College </t>
  </si>
  <si>
    <t>MS</t>
  </si>
  <si>
    <t>Mississippi State University</t>
  </si>
  <si>
    <t>University of Mississippi</t>
  </si>
  <si>
    <t>University of Southern Mississippi</t>
  </si>
  <si>
    <t xml:space="preserve">Jackson State University </t>
  </si>
  <si>
    <t>Alcorn State University</t>
  </si>
  <si>
    <t>Delta State University</t>
  </si>
  <si>
    <t>Mississippi University for Women</t>
  </si>
  <si>
    <t>Mississippi Valley State University</t>
  </si>
  <si>
    <t>Wilson Technical Community College</t>
  </si>
  <si>
    <t>NC</t>
  </si>
  <si>
    <t xml:space="preserve">Wilkes Community College </t>
  </si>
  <si>
    <t xml:space="preserve">Western Piedmont Community College </t>
  </si>
  <si>
    <t>Wayne Community College</t>
  </si>
  <si>
    <t>Wake Technical Community College</t>
  </si>
  <si>
    <t xml:space="preserve">Vance-Granville Community College </t>
  </si>
  <si>
    <t xml:space="preserve">Tri-County Community College </t>
  </si>
  <si>
    <t xml:space="preserve">Surry Community College </t>
  </si>
  <si>
    <t>Stanly Community College</t>
  </si>
  <si>
    <t xml:space="preserve">Southwestern Community College </t>
  </si>
  <si>
    <t xml:space="preserve">Southeastern Community College </t>
  </si>
  <si>
    <t>South Piedmont Community College</t>
  </si>
  <si>
    <t xml:space="preserve">Sandhills Community College </t>
  </si>
  <si>
    <t>Sampson Community College</t>
  </si>
  <si>
    <t>Rowan-Cabarrus Community College</t>
  </si>
  <si>
    <t xml:space="preserve">Rockingham Community College </t>
  </si>
  <si>
    <t>Robeson Community College</t>
  </si>
  <si>
    <t>Roanoke-Chowan Community College</t>
  </si>
  <si>
    <t>Richmond Community College</t>
  </si>
  <si>
    <t>Randolph Community College</t>
  </si>
  <si>
    <t>Pitt Community College</t>
  </si>
  <si>
    <t>Piedmont Community College</t>
  </si>
  <si>
    <t>Pamlico Community College</t>
  </si>
  <si>
    <t>Nash Community College</t>
  </si>
  <si>
    <t>Montgomery Community College</t>
  </si>
  <si>
    <t xml:space="preserve">Mitchell Community College </t>
  </si>
  <si>
    <t>McDowell Technical Community College</t>
  </si>
  <si>
    <t>Mayland Community College</t>
  </si>
  <si>
    <t xml:space="preserve">Martin Community College </t>
  </si>
  <si>
    <t xml:space="preserve">Lenoir Community College </t>
  </si>
  <si>
    <t>Johnston Community College</t>
  </si>
  <si>
    <t>James Sprunt Community College</t>
  </si>
  <si>
    <t xml:space="preserve">Isothermal Community College </t>
  </si>
  <si>
    <t>Haywood Community College</t>
  </si>
  <si>
    <t xml:space="preserve">Halifax Community College </t>
  </si>
  <si>
    <t>Guilford Technical Community College</t>
  </si>
  <si>
    <t xml:space="preserve">Gaston College </t>
  </si>
  <si>
    <t>Forsyth Technical Community College</t>
  </si>
  <si>
    <t>Fayetteville Technical Community College</t>
  </si>
  <si>
    <t>Edgecombe Community College</t>
  </si>
  <si>
    <t>Durham Technical Community College</t>
  </si>
  <si>
    <t xml:space="preserve">Davidson County Community College </t>
  </si>
  <si>
    <t xml:space="preserve">Craven Community College </t>
  </si>
  <si>
    <t>College of the Albemarle</t>
  </si>
  <si>
    <t xml:space="preserve">Coastal Carolina Community College </t>
  </si>
  <si>
    <t>Cleveland Community College</t>
  </si>
  <si>
    <t xml:space="preserve">Central Piedmont Community College </t>
  </si>
  <si>
    <t>Central Carolina Commuity College</t>
  </si>
  <si>
    <t>Catawba Valley Community College</t>
  </si>
  <si>
    <t>Carteret Community College</t>
  </si>
  <si>
    <t>Cape Fear Community College</t>
  </si>
  <si>
    <t>Brunswick Community College</t>
  </si>
  <si>
    <t>Blue Ridge Community College</t>
  </si>
  <si>
    <t>Bladen Community College</t>
  </si>
  <si>
    <t xml:space="preserve">Beaufort County Community College </t>
  </si>
  <si>
    <t>Asheville-Buncombe Technical Community College</t>
  </si>
  <si>
    <t>Alamance Community College</t>
  </si>
  <si>
    <t xml:space="preserve">Western Oklahoma State College </t>
  </si>
  <si>
    <t>OK</t>
  </si>
  <si>
    <t xml:space="preserve">Seminole State College </t>
  </si>
  <si>
    <t>Rogers State University</t>
  </si>
  <si>
    <t>Redlands Community College</t>
  </si>
  <si>
    <t xml:space="preserve">Northeastern Oklahoma A &amp; M College </t>
  </si>
  <si>
    <t xml:space="preserve">Murray State College </t>
  </si>
  <si>
    <t xml:space="preserve">Eastern Oklahoma State College </t>
  </si>
  <si>
    <t xml:space="preserve">Connors State College </t>
  </si>
  <si>
    <t>Carl Albert State College</t>
  </si>
  <si>
    <t xml:space="preserve">Rose State College </t>
  </si>
  <si>
    <t xml:space="preserve">Oklahoma State University Technical Branch-Okmulgee </t>
  </si>
  <si>
    <t xml:space="preserve">Northern Oklahoma College </t>
  </si>
  <si>
    <t xml:space="preserve">Tulsa Community College </t>
  </si>
  <si>
    <t xml:space="preserve">Oklahoma City Community College </t>
  </si>
  <si>
    <t>University of Science and Arts of Oklahoma</t>
  </si>
  <si>
    <t xml:space="preserve">Oklahoma Panhandle State University </t>
  </si>
  <si>
    <t>Langston University</t>
  </si>
  <si>
    <t>Southwestern Oklahoma State University</t>
  </si>
  <si>
    <t xml:space="preserve">Southeastern Oklahoma State University </t>
  </si>
  <si>
    <t xml:space="preserve">Northwestern Oklahoma State University </t>
  </si>
  <si>
    <t xml:space="preserve">East Central University </t>
  </si>
  <si>
    <t xml:space="preserve">Cameron University </t>
  </si>
  <si>
    <t>Northeastern State University</t>
  </si>
  <si>
    <t>University of Central Oklahoma</t>
  </si>
  <si>
    <t>University of Oklahoma Norman Campus</t>
  </si>
  <si>
    <t>Oklahoma State University Main Campus</t>
  </si>
  <si>
    <t>ID</t>
  </si>
  <si>
    <t>Type</t>
  </si>
  <si>
    <t>Data</t>
  </si>
  <si>
    <t>Four-Year</t>
  </si>
  <si>
    <t>Mississippi</t>
  </si>
  <si>
    <t>Oklahoma</t>
  </si>
  <si>
    <t>West Virginia</t>
  </si>
  <si>
    <t>Type2</t>
  </si>
  <si>
    <t>Two-Year</t>
  </si>
  <si>
    <t>Traditional</t>
  </si>
  <si>
    <t>2-Way Compressed Video</t>
  </si>
  <si>
    <t>check figs</t>
  </si>
  <si>
    <t>North Carolina</t>
  </si>
  <si>
    <t>TX</t>
  </si>
  <si>
    <t xml:space="preserve">Texas A &amp; M University </t>
  </si>
  <si>
    <t xml:space="preserve">Texas Tech University </t>
  </si>
  <si>
    <t>University of Houston</t>
  </si>
  <si>
    <t>University of North Texas</t>
  </si>
  <si>
    <t>University of Texas at Austin</t>
  </si>
  <si>
    <t>Texas Woman's University</t>
  </si>
  <si>
    <t>University of Texas at Arlington</t>
  </si>
  <si>
    <t>University of Texas at Dallas</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</si>
  <si>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</si>
  <si>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</si>
  <si>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</si>
  <si>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</si>
  <si>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</si>
  <si>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</si>
  <si>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</si>
  <si>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</si>
  <si>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 xml:space="preserve">Texas A &amp; M University-Corpus Christi </t>
  </si>
  <si>
    <t>Texas A &amp; M University-Kingsville</t>
  </si>
  <si>
    <t xml:space="preserve">Texas Southern University </t>
  </si>
  <si>
    <t xml:space="preserve">University of Houston-Clear Lake </t>
  </si>
  <si>
    <t>University of Texas at El Paso</t>
  </si>
  <si>
    <t>University of Texas at San Antonio</t>
  </si>
  <si>
    <t>University of Texas at Tyler</t>
  </si>
  <si>
    <t>University of Texas-Pan American</t>
  </si>
  <si>
    <t>West Texas A &amp; M University</t>
  </si>
  <si>
    <t>Texas A &amp; M International University</t>
  </si>
  <si>
    <t>Texas A &amp; M -Texarkana</t>
  </si>
  <si>
    <t>University of Texas at Brownsville</t>
  </si>
  <si>
    <t>University of Texas of the Permian Basin</t>
  </si>
  <si>
    <t>Sul Ross State University-Rio Grande College</t>
  </si>
  <si>
    <t>University of Houston-Victoria</t>
  </si>
  <si>
    <t>Texas A &amp; M University at Galveston</t>
  </si>
  <si>
    <t>University of Houston-Downtown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</si>
  <si>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</si>
  <si>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</si>
  <si>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</si>
  <si>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</si>
  <si>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</si>
  <si>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</si>
  <si>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</si>
  <si>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</si>
  <si>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</si>
  <si>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</si>
  <si>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</si>
  <si>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North Harris Montgomery Community College District</t>
  </si>
  <si>
    <t>North Lake College (DCCCD)</t>
  </si>
  <si>
    <t>Richland College (DCCCD)</t>
  </si>
  <si>
    <t>San Antonio College (ACCD)</t>
  </si>
  <si>
    <t xml:space="preserve">South Plains College </t>
  </si>
  <si>
    <t>St. Philip's College (ACCD)</t>
  </si>
  <si>
    <t xml:space="preserve">Texas Southmost College </t>
  </si>
  <si>
    <t xml:space="preserve">Tyler Junior College </t>
  </si>
  <si>
    <t xml:space="preserve">Alvin Community College </t>
  </si>
  <si>
    <t xml:space="preserve">Angelina College </t>
  </si>
  <si>
    <t xml:space="preserve">Brazosport College </t>
  </si>
  <si>
    <t>Cedar Valley College (DCCCD)</t>
  </si>
  <si>
    <t>Coastal Bend College</t>
  </si>
  <si>
    <t>College of the Mainland</t>
  </si>
  <si>
    <t>El Centro College (DCCCD)</t>
  </si>
  <si>
    <t xml:space="preserve">Grayson County College </t>
  </si>
  <si>
    <t>Howard College (HCJCD)</t>
  </si>
  <si>
    <t xml:space="preserve">Kilgore College </t>
  </si>
  <si>
    <t>Lamar State College-Port Arthur</t>
  </si>
  <si>
    <t xml:space="preserve">Lee College </t>
  </si>
  <si>
    <t xml:space="preserve">McLennan Community College </t>
  </si>
  <si>
    <t xml:space="preserve">Midland College </t>
  </si>
  <si>
    <t>Mountain View College (DCCCD)</t>
  </si>
  <si>
    <t xml:space="preserve">Navarro College </t>
  </si>
  <si>
    <t>North Central Texas Community College</t>
  </si>
  <si>
    <t>Northwest Vista College (ACCD)</t>
  </si>
  <si>
    <t xml:space="preserve">Odessa College </t>
  </si>
  <si>
    <t>Palo Alto College (ACCD)</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</si>
  <si>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</si>
  <si>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</si>
  <si>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</si>
  <si>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</si>
  <si>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</si>
  <si>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</si>
  <si>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</si>
  <si>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Victoria College </t>
  </si>
  <si>
    <t xml:space="preserve">Weatherford College </t>
  </si>
  <si>
    <t xml:space="preserve">Wharton County Junior College </t>
  </si>
  <si>
    <t xml:space="preserve">Cisco Junior College </t>
  </si>
  <si>
    <t xml:space="preserve">Clarendon College </t>
  </si>
  <si>
    <t xml:space="preserve">Frank Phillips College </t>
  </si>
  <si>
    <t xml:space="preserve">Galveston College </t>
  </si>
  <si>
    <t>Hill College</t>
  </si>
  <si>
    <t>Lamar Institute of Technology</t>
  </si>
  <si>
    <t>Lamar State College-Orange</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</si>
  <si>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</si>
  <si>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</si>
  <si>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</si>
  <si>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</si>
  <si>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</si>
  <si>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</si>
  <si>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Vernon College </t>
  </si>
  <si>
    <t xml:space="preserve">Western Texas College </t>
  </si>
  <si>
    <t>Texas</t>
  </si>
  <si>
    <t>with bachs.</t>
  </si>
  <si>
    <t>Percent of Total</t>
  </si>
  <si>
    <t>AL</t>
  </si>
  <si>
    <t>AR</t>
  </si>
  <si>
    <t>DE</t>
  </si>
  <si>
    <t>FL</t>
  </si>
  <si>
    <t xml:space="preserve">Florida State University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</si>
  <si>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</si>
  <si>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</si>
  <si>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</si>
  <si>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</si>
  <si>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</si>
  <si>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</si>
  <si>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North Florida</t>
  </si>
  <si>
    <t>University of West Florida</t>
  </si>
  <si>
    <t>Florida Gulf Coast University</t>
  </si>
  <si>
    <t>New College of Florida</t>
  </si>
  <si>
    <t xml:space="preserve">Brevard Community College </t>
  </si>
  <si>
    <t xml:space="preserve">Broward Community College </t>
  </si>
  <si>
    <t xml:space="preserve">Daytona Beach Community College </t>
  </si>
  <si>
    <t xml:space="preserve">Edison Community College </t>
  </si>
  <si>
    <t>Florida Community College at Jacksonville</t>
  </si>
  <si>
    <t xml:space="preserve">Hillsborough Community College </t>
  </si>
  <si>
    <t xml:space="preserve">Indian River Community College </t>
  </si>
  <si>
    <t xml:space="preserve">Manatee Community College </t>
  </si>
  <si>
    <t xml:space="preserve">Palm Beach Community College </t>
  </si>
  <si>
    <t xml:space="preserve">Pensacola Junior College </t>
  </si>
  <si>
    <t xml:space="preserve">Santa Fe Community College </t>
  </si>
  <si>
    <t xml:space="preserve">Seminole Community College </t>
  </si>
  <si>
    <t xml:space="preserve">St. Petersburg College </t>
  </si>
  <si>
    <t xml:space="preserve">Tallahassee Community College </t>
  </si>
  <si>
    <t xml:space="preserve">Valencia Community College </t>
  </si>
  <si>
    <t xml:space="preserve">Central Florida Community College </t>
  </si>
  <si>
    <t xml:space="preserve">Gulf Coast Community College </t>
  </si>
  <si>
    <t xml:space="preserve">Okaloosa-Walton College </t>
  </si>
  <si>
    <t xml:space="preserve">Pasco-Hernando Community College </t>
  </si>
  <si>
    <t xml:space="preserve">Polk Community College </t>
  </si>
  <si>
    <t xml:space="preserve">South Florida Community College </t>
  </si>
  <si>
    <t xml:space="preserve">St. Johns River Community College </t>
  </si>
  <si>
    <t xml:space="preserve">Chipola College </t>
  </si>
  <si>
    <t xml:space="preserve">Florida Keys Community College </t>
  </si>
  <si>
    <t xml:space="preserve">Lake City Community College </t>
  </si>
  <si>
    <t xml:space="preserve">Lake-Sumter Community College </t>
  </si>
  <si>
    <t xml:space="preserve">North Florida Community College </t>
  </si>
  <si>
    <t>GA</t>
  </si>
  <si>
    <t xml:space="preserve">Georgia State University </t>
  </si>
  <si>
    <t>University of Georgia</t>
  </si>
  <si>
    <t>Georgia Institute of Technology</t>
  </si>
  <si>
    <t>Georgia Southern University</t>
  </si>
  <si>
    <t xml:space="preserve">Albany State University </t>
  </si>
  <si>
    <t>Columbus State University</t>
  </si>
  <si>
    <t>Georgia College and State University</t>
  </si>
  <si>
    <t>Kennesaw State University</t>
  </si>
  <si>
    <t xml:space="preserve">Valdosta State University </t>
  </si>
  <si>
    <t>Armstrong Atlantic State University</t>
  </si>
  <si>
    <t>Augusta State University</t>
  </si>
  <si>
    <t>Fort Valley State University</t>
  </si>
  <si>
    <t>Georgia Southwestern State University</t>
  </si>
  <si>
    <t>North Georgia College and State University</t>
  </si>
  <si>
    <t>Savannah State University</t>
  </si>
  <si>
    <t xml:space="preserve">Dalton State College </t>
  </si>
  <si>
    <t xml:space="preserve">Macon State College </t>
  </si>
  <si>
    <t xml:space="preserve">Georgia Perimeter College </t>
  </si>
  <si>
    <t xml:space="preserve">Abraham Baldwin Agricultural College </t>
  </si>
  <si>
    <t xml:space="preserve">Darton College </t>
  </si>
  <si>
    <t xml:space="preserve">Gordon College </t>
  </si>
  <si>
    <t>Atlanta Metropolitan College</t>
  </si>
  <si>
    <t xml:space="preserve">Bainbridge College </t>
  </si>
  <si>
    <t>East Georgia College</t>
  </si>
  <si>
    <t xml:space="preserve">Middle Georgia College </t>
  </si>
  <si>
    <t xml:space="preserve">South Georgia College </t>
  </si>
  <si>
    <t xml:space="preserve">Waycross College </t>
  </si>
  <si>
    <t>Albany Technical College</t>
  </si>
  <si>
    <t>Altamaha Technical College</t>
  </si>
  <si>
    <t>Athens Technical College</t>
  </si>
  <si>
    <t>Atlanta Technical College</t>
  </si>
  <si>
    <t>Augusta Technical College</t>
  </si>
  <si>
    <t>Central Georgia Technical College</t>
  </si>
  <si>
    <t>Chattahoochee Technical College</t>
  </si>
  <si>
    <t>Columbus Technical College</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</si>
  <si>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</si>
  <si>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</si>
  <si>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</si>
  <si>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</si>
  <si>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</si>
  <si>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</si>
  <si>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</si>
  <si>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</si>
  <si>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</si>
  <si>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</si>
  <si>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</si>
  <si>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North Metro Technical College</t>
  </si>
  <si>
    <t>Northwestern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</si>
  <si>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</si>
  <si>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</si>
  <si>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</si>
  <si>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</si>
  <si>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</si>
  <si>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</si>
  <si>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</si>
  <si>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Central Technical College</t>
  </si>
  <si>
    <t>West Georgia Technical College</t>
  </si>
  <si>
    <t>Appalachian Technical College</t>
  </si>
  <si>
    <t>Sandersville Technical College</t>
  </si>
  <si>
    <t>Swainsboro Technical College</t>
  </si>
  <si>
    <t>KY</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</si>
  <si>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</si>
  <si>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</si>
  <si>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</si>
  <si>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</si>
  <si>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</si>
  <si>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</si>
  <si>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</si>
  <si>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</si>
  <si>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Hazard Community College (CTC)</t>
  </si>
  <si>
    <t xml:space="preserve">Henderson Community College </t>
  </si>
  <si>
    <t xml:space="preserve">Hopkinsville Community College </t>
  </si>
  <si>
    <t>Madisonville Community College (CTC)</t>
  </si>
  <si>
    <t>Bowling Green Technical College</t>
  </si>
  <si>
    <t>Gateway Community and Technical College</t>
  </si>
  <si>
    <t>LA</t>
  </si>
  <si>
    <t>MD</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</si>
  <si>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</si>
  <si>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</si>
  <si>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</si>
  <si>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</si>
  <si>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</si>
  <si>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</si>
  <si>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</si>
  <si>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</si>
  <si>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</si>
  <si>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Saint Mary's College of Maryland</t>
  </si>
  <si>
    <t xml:space="preserve">Anne Arundel Community College </t>
  </si>
  <si>
    <t>Community College of Baltimore County (all campuses)</t>
  </si>
  <si>
    <t>na</t>
  </si>
  <si>
    <t>Montgomery College (all campuses)</t>
  </si>
  <si>
    <t xml:space="preserve">Prince George's Community College </t>
  </si>
  <si>
    <t>Baltimore City Community College</t>
  </si>
  <si>
    <t>College of Southern Maryland</t>
  </si>
  <si>
    <t xml:space="preserve">Frederick Community College </t>
  </si>
  <si>
    <t xml:space="preserve">Harford Community College </t>
  </si>
  <si>
    <t xml:space="preserve">Howard Community College </t>
  </si>
  <si>
    <t>Allegany College of Maryland</t>
  </si>
  <si>
    <t>Carroll Community College</t>
  </si>
  <si>
    <t xml:space="preserve">Cecil Community College </t>
  </si>
  <si>
    <t xml:space="preserve">Chesapeake College </t>
  </si>
  <si>
    <t xml:space="preserve">Garrett College </t>
  </si>
  <si>
    <t xml:space="preserve">Hagerstown Community College </t>
  </si>
  <si>
    <t xml:space="preserve">Wor-Wic Community College </t>
  </si>
  <si>
    <t xml:space="preserve">Hinds Community College </t>
  </si>
  <si>
    <t xml:space="preserve">Mississippi Gulf Coast Community College </t>
  </si>
  <si>
    <t xml:space="preserve">Copiah-Lincoln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</si>
  <si>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</si>
  <si>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</si>
  <si>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</si>
  <si>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</si>
  <si>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</si>
  <si>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</si>
  <si>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</si>
  <si>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Northwest Mississippi Community College </t>
  </si>
  <si>
    <t xml:space="preserve">Pearl River Community College </t>
  </si>
  <si>
    <t xml:space="preserve">Coahoma Community College </t>
  </si>
  <si>
    <t xml:space="preserve">East Central Community College </t>
  </si>
  <si>
    <t>Southwest Mississippi Community College</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</si>
  <si>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</si>
  <si>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</si>
  <si>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</si>
  <si>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</si>
  <si>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</si>
  <si>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</si>
  <si>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</si>
  <si>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</si>
  <si>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University of North Carolina at Wilmington</t>
  </si>
  <si>
    <t xml:space="preserve">Western Carolina University </t>
  </si>
  <si>
    <t xml:space="preserve">Fayetteville State University </t>
  </si>
  <si>
    <t>University of North Carolina at Pembroke</t>
  </si>
  <si>
    <t xml:space="preserve">Elizabeth City State University </t>
  </si>
  <si>
    <t>University of North Carolina at Asheville</t>
  </si>
  <si>
    <t xml:space="preserve">Winston-Salem State University </t>
  </si>
  <si>
    <t>Caldwell Community College &amp; Technical Institute</t>
  </si>
  <si>
    <t xml:space="preserve">Oklahoma State University-Oklahoma City </t>
  </si>
  <si>
    <t xml:space="preserve">Texas State University - San Marcos </t>
  </si>
  <si>
    <t>228501B</t>
  </si>
  <si>
    <t>San Jacinto College</t>
  </si>
  <si>
    <t>Tarrant County College</t>
  </si>
  <si>
    <t>West Virginia University Institute of Technology</t>
  </si>
  <si>
    <t>West Virginia University at Parkersburg</t>
  </si>
  <si>
    <t>Fairmont State Community &amp; Technical College</t>
  </si>
  <si>
    <t>Potomac State College of West Virginia University</t>
  </si>
  <si>
    <t>West Virginia Northern Community College</t>
  </si>
  <si>
    <t>Technical</t>
  </si>
  <si>
    <t>Alabama</t>
  </si>
  <si>
    <t>Arkansas</t>
  </si>
  <si>
    <t>Delaware</t>
  </si>
  <si>
    <t>Florida</t>
  </si>
  <si>
    <t>Georgia</t>
  </si>
  <si>
    <t>Kentucky</t>
  </si>
  <si>
    <t>Louisiana</t>
  </si>
  <si>
    <t>Maryland</t>
  </si>
  <si>
    <t>South Carolina</t>
  </si>
  <si>
    <t>Tennessee</t>
  </si>
  <si>
    <t>Virginia</t>
  </si>
  <si>
    <t>Coppin State University</t>
  </si>
  <si>
    <t>University of Maryland University College</t>
  </si>
  <si>
    <t>Marshall Community &amp; Technical College</t>
  </si>
  <si>
    <t xml:space="preserve">Concord University </t>
  </si>
  <si>
    <t xml:space="preserve">Fairmont State University </t>
  </si>
  <si>
    <t xml:space="preserve">Shepherd University </t>
  </si>
  <si>
    <t xml:space="preserve">West Virginia State University </t>
  </si>
  <si>
    <t>Table 52</t>
  </si>
  <si>
    <t>Table 53</t>
  </si>
  <si>
    <t>Table 54</t>
  </si>
  <si>
    <t>Table 56</t>
  </si>
  <si>
    <t>Table 57</t>
  </si>
  <si>
    <t>Table 58</t>
  </si>
  <si>
    <t>Table 59</t>
  </si>
  <si>
    <t>Table 60</t>
  </si>
  <si>
    <t>Table 61</t>
  </si>
  <si>
    <t>Table 62</t>
  </si>
  <si>
    <t>Table 63</t>
  </si>
  <si>
    <t>Table 64</t>
  </si>
  <si>
    <t>Table 65</t>
  </si>
  <si>
    <t>Table 66</t>
  </si>
  <si>
    <t>Table 67</t>
  </si>
  <si>
    <t>Table 68</t>
  </si>
  <si>
    <t>Table 69</t>
  </si>
  <si>
    <t>Table 70</t>
  </si>
  <si>
    <t>Table 71</t>
  </si>
  <si>
    <t>Table 72</t>
  </si>
  <si>
    <t>Table 73</t>
  </si>
  <si>
    <t>Table 74</t>
  </si>
  <si>
    <t>All</t>
  </si>
  <si>
    <t>Table 75</t>
  </si>
  <si>
    <t>Off-Campus</t>
  </si>
  <si>
    <t>On-Campus</t>
  </si>
  <si>
    <t>Undergraduate Instructional Activity by Type of Instruction</t>
  </si>
  <si>
    <t>Graduate Instructional Activity by Type of Instruction</t>
  </si>
  <si>
    <t>Percent of Graduate Instructional Activity</t>
  </si>
  <si>
    <t xml:space="preserve"> in Traditional Classroom Instruction</t>
  </si>
  <si>
    <t>Table 76</t>
  </si>
  <si>
    <t>Subtotal</t>
  </si>
  <si>
    <t>Percent of Graduate Instructional Activity in e-Learning</t>
  </si>
  <si>
    <t>e-Learning</t>
  </si>
  <si>
    <t>Corre- spondence</t>
  </si>
  <si>
    <r>
      <t>Other</t>
    </r>
    <r>
      <rPr>
        <b/>
        <vertAlign val="superscript"/>
        <sz val="9"/>
        <rFont val="Arial"/>
        <family val="2"/>
      </rPr>
      <t>1</t>
    </r>
  </si>
  <si>
    <r>
      <t>Maryland</t>
    </r>
    <r>
      <rPr>
        <vertAlign val="superscript"/>
        <sz val="10"/>
        <rFont val="Arial"/>
        <family val="2"/>
      </rPr>
      <t>2</t>
    </r>
  </si>
  <si>
    <r>
      <t>West Virginia</t>
    </r>
    <r>
      <rPr>
        <vertAlign val="superscript"/>
        <sz val="10"/>
        <rFont val="Arial"/>
        <family val="2"/>
      </rPr>
      <t>3</t>
    </r>
  </si>
  <si>
    <r>
      <t>1</t>
    </r>
    <r>
      <rPr>
        <sz val="8"/>
        <rFont val="Arial"/>
        <family val="2"/>
      </rPr>
      <t>Courses delivered via satellite, cable TV, broadcast TV/radio, closed-circuit TV, video tape, CD-ROMS, e-mail, etc.</t>
    </r>
  </si>
  <si>
    <r>
      <t>Mississippi</t>
    </r>
    <r>
      <rPr>
        <vertAlign val="superscript"/>
        <sz val="10"/>
        <rFont val="Arial"/>
        <family val="2"/>
      </rPr>
      <t>2</t>
    </r>
  </si>
  <si>
    <t>Undergraduate Credit Hours (totals should match totals from Part 3)</t>
  </si>
  <si>
    <t>Graduate Credit Hours (totals should match totals from Part 3)</t>
  </si>
  <si>
    <t>Calculated</t>
  </si>
  <si>
    <t>Cat- egory</t>
  </si>
  <si>
    <t>Auburn University</t>
  </si>
  <si>
    <t xml:space="preserve">University of Alabama </t>
  </si>
  <si>
    <t>University of Alabama at Birmingham</t>
  </si>
  <si>
    <t>University of Alabama in Huntsville</t>
  </si>
  <si>
    <t>Alabama Agricultural &amp; Mechanical University</t>
  </si>
  <si>
    <t xml:space="preserve">Jacksonville State University </t>
  </si>
  <si>
    <t>University of South Alabama</t>
  </si>
  <si>
    <t xml:space="preserve">Alabama State University </t>
  </si>
  <si>
    <t>Auburn University at Montgomery</t>
  </si>
  <si>
    <t>University of North Alabama</t>
  </si>
  <si>
    <t>University of Montevallo</t>
  </si>
  <si>
    <t>University of West Alabama</t>
  </si>
  <si>
    <t>Athens State University</t>
  </si>
  <si>
    <t xml:space="preserve">John C. Calhoun State Community College </t>
  </si>
  <si>
    <t>Bevill State Community College</t>
  </si>
  <si>
    <t>Bishop State Community College</t>
  </si>
  <si>
    <t>Gadsden State Community College</t>
  </si>
  <si>
    <t>George C. Wallace State Community College - Dothan</t>
  </si>
  <si>
    <t>James H. Faulkner State Community College</t>
  </si>
  <si>
    <t>Jefferson State Community College</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</si>
  <si>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</si>
  <si>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</si>
  <si>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</si>
  <si>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</si>
  <si>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</si>
  <si>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</si>
  <si>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</si>
  <si>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Enterprise-Ozark Community College</t>
  </si>
  <si>
    <t>George Corley Wallace State Community College - Selma</t>
  </si>
  <si>
    <t>Jefferson Davis Community College</t>
  </si>
  <si>
    <t xml:space="preserve">Lawson State Community College </t>
  </si>
  <si>
    <t xml:space="preserve">Lurleen B. Wallace Community College </t>
  </si>
  <si>
    <t xml:space="preserve">Northeast Alabama State Community College </t>
  </si>
  <si>
    <t xml:space="preserve">Snead State Community College </t>
  </si>
  <si>
    <t xml:space="preserve">Trenholm State Technical College </t>
  </si>
  <si>
    <t xml:space="preserve">J.F. Drake State Technical College </t>
  </si>
  <si>
    <t xml:space="preserve">J.F. Ingram State Technical College </t>
  </si>
  <si>
    <t xml:space="preserve">Reid State Technical College </t>
  </si>
  <si>
    <t>University of Delaware</t>
  </si>
  <si>
    <t>Delaware State University</t>
  </si>
  <si>
    <t>Delaware Technical and Community College--Owens</t>
  </si>
  <si>
    <t>Delaware Technical and Community College--Stanton-Wilmington</t>
  </si>
  <si>
    <t>Delaware Technical and Community College--Terry</t>
  </si>
  <si>
    <t>University of West Georgia</t>
  </si>
  <si>
    <t>Georgia Aviation Technical College</t>
  </si>
  <si>
    <t xml:space="preserve">Somerset Community and Technical College </t>
  </si>
  <si>
    <t>Texas A &amp; M University - Commerce</t>
  </si>
  <si>
    <t>Community &amp; Technical College of Shepherd</t>
  </si>
  <si>
    <t>Eastern West Virginia Community &amp; Technical Coll</t>
  </si>
  <si>
    <t>New River Community &amp; Technical College</t>
  </si>
  <si>
    <t>Southern West Virginia Community &amp; Technical Coll</t>
  </si>
  <si>
    <t>WV State Community &amp; Technical College</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</si>
  <si>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</si>
  <si>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</si>
  <si>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</si>
  <si>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</si>
  <si>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</si>
  <si>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 xml:space="preserve">Owensboro Community and Technical College </t>
  </si>
  <si>
    <t>Southeast Kentucky Community and Technical College</t>
  </si>
  <si>
    <t>West Kentucky Community and Technical College</t>
  </si>
  <si>
    <t xml:space="preserve">Maysville Community and Technical College </t>
  </si>
  <si>
    <t xml:space="preserve">Gainesville State College </t>
  </si>
  <si>
    <t>Table 55</t>
  </si>
  <si>
    <t>OLD-Tot UG SCH Calc</t>
  </si>
  <si>
    <t>NEW-Tot UG SCH Calc</t>
  </si>
  <si>
    <t>Old-UG OnC Trad</t>
  </si>
  <si>
    <t>New-UG OnC Trad</t>
  </si>
  <si>
    <t>Old-UG OffC Trad</t>
  </si>
  <si>
    <t>New-UG OffC Trad</t>
  </si>
  <si>
    <t>Old-UG EL Web</t>
  </si>
  <si>
    <t>Old-UG EL CV</t>
  </si>
  <si>
    <t>Old-UG EL O</t>
  </si>
  <si>
    <t>New-UG EL Web</t>
  </si>
  <si>
    <t>New-UG EL CV</t>
  </si>
  <si>
    <t>New-UG EL O</t>
  </si>
  <si>
    <t>Old-UG Cor</t>
  </si>
  <si>
    <t>New-UG Cor</t>
  </si>
  <si>
    <t>Old-Tot G SCH Calc</t>
  </si>
  <si>
    <t>New-Tot G SCH Calc</t>
  </si>
  <si>
    <t>Old-G OnC Trad</t>
  </si>
  <si>
    <t>New-G OnC Trad</t>
  </si>
  <si>
    <t>Old-G OffC Trad</t>
  </si>
  <si>
    <t>New-G OffC Trad</t>
  </si>
  <si>
    <t>Old-G EL Web</t>
  </si>
  <si>
    <t>Old-G EL CV</t>
  </si>
  <si>
    <t>Old-G EL O</t>
  </si>
  <si>
    <t>New-G EL Web</t>
  </si>
  <si>
    <t>New-G EL CV</t>
  </si>
  <si>
    <t>New-G EL O</t>
  </si>
  <si>
    <t>Old-G Cor</t>
  </si>
  <si>
    <t>New-G Cor</t>
  </si>
  <si>
    <r>
      <t xml:space="preserve">Off-Campus (in-state or out-of-state sites) "Traditional" Instruction </t>
    </r>
    <r>
      <rPr>
        <sz val="8"/>
        <rFont val="Arial"/>
        <family val="0"/>
      </rPr>
      <t>(significant site attendance required--50% or less of course content is electronically delivered)</t>
    </r>
  </si>
  <si>
    <t>Table 51</t>
  </si>
  <si>
    <r>
      <t>Off-Campus (in-state or out-of-state sites) "Traditional" Instruction</t>
    </r>
    <r>
      <rPr>
        <sz val="8"/>
        <color indexed="12"/>
        <rFont val="Arial"/>
        <family val="0"/>
      </rPr>
      <t xml:space="preserve"> (significant site attendance required--50% or less of course content is electronically delivered)</t>
    </r>
  </si>
  <si>
    <r>
      <t xml:space="preserve">e-Learning </t>
    </r>
    <r>
      <rPr>
        <sz val="8"/>
        <rFont val="Arial"/>
        <family val="0"/>
      </rPr>
      <t>(more than 50% of course content is electronically delivered)</t>
    </r>
  </si>
  <si>
    <r>
      <t>e-Learning</t>
    </r>
    <r>
      <rPr>
        <sz val="8"/>
        <color indexed="12"/>
        <rFont val="Arial"/>
        <family val="0"/>
      </rPr>
      <t xml:space="preserve"> (more than 50% of course content is electronically delivered)</t>
    </r>
  </si>
  <si>
    <r>
      <t>Off-Campus (in-state or out-of-state sites) "Traditional" Instruction</t>
    </r>
    <r>
      <rPr>
        <sz val="8"/>
        <rFont val="Arial"/>
        <family val="0"/>
      </rPr>
      <t xml:space="preserve"> (significant site attendance required--50% or less of course content is electronically delivered)</t>
    </r>
  </si>
  <si>
    <r>
      <t xml:space="preserve">Off-Campus (in-state or out-of-state sites) "Traditional" Instruction </t>
    </r>
    <r>
      <rPr>
        <sz val="8"/>
        <color indexed="12"/>
        <rFont val="Arial"/>
        <family val="0"/>
      </rPr>
      <t>(significant site attendance required--50% or less of course content is electronically delivered)</t>
    </r>
  </si>
  <si>
    <r>
      <t xml:space="preserve">On-Campus "Traditional" Instruction </t>
    </r>
    <r>
      <rPr>
        <sz val="8"/>
        <rFont val="Arial"/>
        <family val="0"/>
      </rPr>
      <t>(significant site attendance required--50% or less of course content is electronically delivered)</t>
    </r>
  </si>
  <si>
    <r>
      <t xml:space="preserve">On-Campus "Traditional" Instruction </t>
    </r>
    <r>
      <rPr>
        <sz val="8"/>
        <color indexed="12"/>
        <rFont val="Arial"/>
        <family val="0"/>
      </rPr>
      <t>(significant site attendance required--50% or less of course content is electronically delivered)</t>
    </r>
  </si>
  <si>
    <r>
      <t xml:space="preserve">Site-to-Site, 2-Way, Audio/Video </t>
    </r>
    <r>
      <rPr>
        <sz val="8"/>
        <rFont val="Arial"/>
        <family val="0"/>
      </rPr>
      <t>(compressed video)</t>
    </r>
  </si>
  <si>
    <r>
      <t>Site-to-Site, 2-Way, Audio/Video</t>
    </r>
    <r>
      <rPr>
        <sz val="8"/>
        <color indexed="12"/>
        <rFont val="Arial"/>
        <family val="0"/>
      </rPr>
      <t xml:space="preserve"> (compressed video)</t>
    </r>
  </si>
  <si>
    <r>
      <t xml:space="preserve">Correspondence </t>
    </r>
    <r>
      <rPr>
        <sz val="8"/>
        <rFont val="Arial"/>
        <family val="0"/>
      </rPr>
      <t>(no significant site attendance required--less than 50% of the course content is electronically delivered)</t>
    </r>
  </si>
  <si>
    <r>
      <t xml:space="preserve">Correspondence </t>
    </r>
    <r>
      <rPr>
        <sz val="8"/>
        <color indexed="12"/>
        <rFont val="Arial"/>
        <family val="0"/>
      </rPr>
      <t>(no significant site attendance required--less than 50% of the course content is electronically delivered)</t>
    </r>
  </si>
  <si>
    <r>
      <t xml:space="preserve">Total Graduate SCH </t>
    </r>
    <r>
      <rPr>
        <sz val="8"/>
        <rFont val="Arial"/>
        <family val="0"/>
      </rPr>
      <t>(a sum of columns --should match totals from Data Exchange Part 3)</t>
    </r>
  </si>
  <si>
    <r>
      <t xml:space="preserve">Total Graduate SCH </t>
    </r>
    <r>
      <rPr>
        <sz val="8"/>
        <color indexed="12"/>
        <rFont val="Arial"/>
        <family val="0"/>
      </rPr>
      <t>(a sum of columns --should match totals from Data Exchange Part 3)</t>
    </r>
  </si>
  <si>
    <r>
      <t>On-Campus "Traditional" Instruction</t>
    </r>
    <r>
      <rPr>
        <sz val="8"/>
        <rFont val="Arial"/>
        <family val="0"/>
      </rPr>
      <t xml:space="preserve"> (significant site attendance required--50% or less of course content is electronically delivered)</t>
    </r>
  </si>
  <si>
    <r>
      <t>Site-to-Site, 2-Way, Audio/Video</t>
    </r>
    <r>
      <rPr>
        <sz val="8"/>
        <rFont val="Arial"/>
        <family val="0"/>
      </rPr>
      <t xml:space="preserve"> (compressed video)</t>
    </r>
  </si>
  <si>
    <r>
      <t xml:space="preserve">Site-to-Site, 2-Way, Audio/Video </t>
    </r>
    <r>
      <rPr>
        <sz val="8"/>
        <color indexed="12"/>
        <rFont val="Arial"/>
        <family val="0"/>
      </rPr>
      <t>(compressed video)</t>
    </r>
  </si>
  <si>
    <r>
      <t>Correspondence</t>
    </r>
    <r>
      <rPr>
        <sz val="8"/>
        <rFont val="Arial"/>
        <family val="0"/>
      </rPr>
      <t xml:space="preserve"> (no significant site attendance required--less than 50% of the course content is electronically delivered)</t>
    </r>
  </si>
  <si>
    <t xml:space="preserve"> Old %UG OnC Trad</t>
  </si>
  <si>
    <t>Total  Old %UG OnC Trad</t>
  </si>
  <si>
    <t xml:space="preserve"> New %UG OnC Trad</t>
  </si>
  <si>
    <t>Total  New %UG OnC Trad</t>
  </si>
  <si>
    <t xml:space="preserve"> Old %UG OffC Trad</t>
  </si>
  <si>
    <t>Total  Old %UG OffC Trad</t>
  </si>
  <si>
    <t xml:space="preserve"> New %UG OffC Trad</t>
  </si>
  <si>
    <t>Total  New %UG OffC Trad</t>
  </si>
  <si>
    <t xml:space="preserve"> Old %G OnC Trad</t>
  </si>
  <si>
    <t>Total  Old %G OnC Trad</t>
  </si>
  <si>
    <t xml:space="preserve"> Old %UG EL Web</t>
  </si>
  <si>
    <t>Total  Old %UG EL Web</t>
  </si>
  <si>
    <t xml:space="preserve"> New %UG EL Web</t>
  </si>
  <si>
    <t>Total  New %UG EL Web</t>
  </si>
  <si>
    <t xml:space="preserve"> Old %UG EL CV</t>
  </si>
  <si>
    <t>Total  Old %UG EL CV</t>
  </si>
  <si>
    <t xml:space="preserve"> New %UG EL CV</t>
  </si>
  <si>
    <t>Total  New %UG EL CV</t>
  </si>
  <si>
    <t xml:space="preserve"> Old %UG EL O</t>
  </si>
  <si>
    <t>Total  Old %UG EL O</t>
  </si>
  <si>
    <t xml:space="preserve"> New %UG EL O</t>
  </si>
  <si>
    <t>Total  New %UG EL O</t>
  </si>
  <si>
    <t xml:space="preserve"> Old %UG Cor</t>
  </si>
  <si>
    <t>Total  Old %UG Cor</t>
  </si>
  <si>
    <t xml:space="preserve"> New %UG Cor</t>
  </si>
  <si>
    <t>Total  New %UG Cor</t>
  </si>
  <si>
    <t xml:space="preserve"> New %G OnC Trad</t>
  </si>
  <si>
    <t>Total  New %G OnC Trad</t>
  </si>
  <si>
    <t xml:space="preserve"> Old %G OffC Trad</t>
  </si>
  <si>
    <t>Total  Old %G OffC Trad</t>
  </si>
  <si>
    <t xml:space="preserve"> New %G OffC Trad</t>
  </si>
  <si>
    <t>Total  New %G OffC Trad</t>
  </si>
  <si>
    <t xml:space="preserve"> Old %G EL Web</t>
  </si>
  <si>
    <t>Total  Old %G EL Web</t>
  </si>
  <si>
    <t xml:space="preserve"> New %G EL Web</t>
  </si>
  <si>
    <t>Total  New %G EL Web</t>
  </si>
  <si>
    <t xml:space="preserve"> Old %G EL CV</t>
  </si>
  <si>
    <t>Total  Old %G EL CV</t>
  </si>
  <si>
    <t xml:space="preserve"> New %G EL CV</t>
  </si>
  <si>
    <t>Total  New %G EL CV</t>
  </si>
  <si>
    <t xml:space="preserve"> Old %G EL O</t>
  </si>
  <si>
    <t>Total  Old %G EL O</t>
  </si>
  <si>
    <t xml:space="preserve"> New %G EL O</t>
  </si>
  <si>
    <t>Total  New %G EL O</t>
  </si>
  <si>
    <t xml:space="preserve"> Old %G Cor</t>
  </si>
  <si>
    <t>Total  Old %G Cor</t>
  </si>
  <si>
    <t xml:space="preserve"> New %G Cor</t>
  </si>
  <si>
    <t>Total  New %G Cor</t>
  </si>
  <si>
    <t xml:space="preserve"> Change %UG OnC Trad</t>
  </si>
  <si>
    <t>Total  Change %UG OnC Trad</t>
  </si>
  <si>
    <t xml:space="preserve"> Change %G OnC Trad</t>
  </si>
  <si>
    <t>Total  Change %G OnC Trad</t>
  </si>
  <si>
    <t xml:space="preserve"> Change %UG Cor</t>
  </si>
  <si>
    <t>Total  Change %UG Cor</t>
  </si>
  <si>
    <t xml:space="preserve"> Change %G OffC Trad</t>
  </si>
  <si>
    <t>Total  Change %G OffC Trad</t>
  </si>
  <si>
    <t xml:space="preserve"> Change %UG OffC Trad</t>
  </si>
  <si>
    <t>Total  Change %UG OffC Trad</t>
  </si>
  <si>
    <t xml:space="preserve"> Change %UG EL Web</t>
  </si>
  <si>
    <t>Total  Change %UG EL Web</t>
  </si>
  <si>
    <t xml:space="preserve"> Change %G EL Web</t>
  </si>
  <si>
    <t>Total  Change %G EL Web</t>
  </si>
  <si>
    <t xml:space="preserve"> Change %G EL CV</t>
  </si>
  <si>
    <t>Total  Change %G EL CV</t>
  </si>
  <si>
    <t xml:space="preserve"> Change %UG EL CV</t>
  </si>
  <si>
    <t>Total  Change %UG EL CV</t>
  </si>
  <si>
    <t xml:space="preserve"> Change %UG EL O</t>
  </si>
  <si>
    <t>Total  Change %UG EL O</t>
  </si>
  <si>
    <t xml:space="preserve"> Change %G EL O</t>
  </si>
  <si>
    <t>Total  Change %G EL O</t>
  </si>
  <si>
    <t xml:space="preserve"> Change %G Cor</t>
  </si>
  <si>
    <t>Total  Change %G Cor</t>
  </si>
  <si>
    <t>Community &amp; Technical College at WVU Tech</t>
  </si>
  <si>
    <t xml:space="preserve">Georgia Highlands College </t>
  </si>
  <si>
    <t>Louisiana State University and A &amp; M College</t>
  </si>
  <si>
    <t>University of Louisiana at Lafayette</t>
  </si>
  <si>
    <t>University of New Orleans</t>
  </si>
  <si>
    <t xml:space="preserve">Louisiana Tech University </t>
  </si>
  <si>
    <t xml:space="preserve">Southern University and A&amp;M College at Baton Rouge </t>
  </si>
  <si>
    <t>University of Louisiana at Monroe</t>
  </si>
  <si>
    <t>Grambling State University</t>
  </si>
  <si>
    <t>Louisiana State University in Shreveport</t>
  </si>
  <si>
    <t>McNeese State University</t>
  </si>
  <si>
    <t>Northwestern State University</t>
  </si>
  <si>
    <t xml:space="preserve">Southeastern Louisiana University </t>
  </si>
  <si>
    <t xml:space="preserve">Nicholls State University </t>
  </si>
  <si>
    <t>Southern University at New Orleans</t>
  </si>
  <si>
    <t>Louisiana State University at Alexandria</t>
  </si>
  <si>
    <t xml:space="preserve">Delgado Community College </t>
  </si>
  <si>
    <t>Baton Rouge Community College</t>
  </si>
  <si>
    <t>Bossier Parish Community College</t>
  </si>
  <si>
    <t>Louisiana State University at Eunice</t>
  </si>
  <si>
    <t>Louisiana Delta Community College</t>
  </si>
  <si>
    <t>Nunez Community College</t>
  </si>
  <si>
    <t>River Parishes Community College</t>
  </si>
  <si>
    <t>South Louisiana Community College</t>
  </si>
  <si>
    <t>Southern University in Shreveport</t>
  </si>
  <si>
    <t>Sowela Technical Community College</t>
  </si>
  <si>
    <t>L.E. Fletcher Technical Community College</t>
  </si>
  <si>
    <t>Louisiana Technical College-All Campuses</t>
  </si>
  <si>
    <t>South Texas College</t>
  </si>
  <si>
    <t>University of Arkansas, Fayetteville</t>
  </si>
  <si>
    <t>Arkansas State University</t>
  </si>
  <si>
    <t>University of Arkansas at Little Rock</t>
  </si>
  <si>
    <t xml:space="preserve">University of Central Arkansas </t>
  </si>
  <si>
    <t>Arkansas Tech University</t>
  </si>
  <si>
    <t>Henderson State University</t>
  </si>
  <si>
    <t>Southern Arkansas University</t>
  </si>
  <si>
    <t>University of Arkansas at Monticello</t>
  </si>
  <si>
    <t>University of Arkansas at Pine Bluff</t>
  </si>
  <si>
    <t>University of Arkansas--Fort Smith</t>
  </si>
  <si>
    <t>Arkansas State University-Beebe</t>
  </si>
  <si>
    <t xml:space="preserve">Northwest Arkansas Community College </t>
  </si>
  <si>
    <t>Pulaski Technical College</t>
  </si>
  <si>
    <t>Arkansas Northeastern College</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</si>
  <si>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</si>
  <si>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</si>
  <si>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</si>
  <si>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</si>
  <si>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</si>
  <si>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</si>
  <si>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National Park Community College</t>
  </si>
  <si>
    <t>North Arkansas College</t>
  </si>
  <si>
    <t xml:space="preserve">Ouachita Technical College </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</si>
  <si>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</si>
  <si>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</si>
  <si>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</si>
  <si>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</si>
  <si>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</si>
  <si>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</si>
  <si>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</si>
  <si>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</si>
  <si>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</si>
  <si>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December 2006</t>
  </si>
  <si>
    <t>Percent of Undergraduate Instructional Activity in Traditional Classroom Instruction by Type of Institution, 2005-06</t>
  </si>
  <si>
    <t>Percent of Undergraduate Instructional Activity in e-Learning by Type of Institution, 2005-06</t>
  </si>
  <si>
    <t>by Type of Institution, 2005-06</t>
  </si>
  <si>
    <t>Public Four-Year Institutions, 2005-06</t>
  </si>
  <si>
    <t>Public Four-Year 1 Institutions, 2005-06</t>
  </si>
  <si>
    <t>Public Four-Year 2 Institutions, 2005-06</t>
  </si>
  <si>
    <t>Public Four-Year 3 Institutions, 2005-06</t>
  </si>
  <si>
    <t>Public Four-Year 4 Institutions, 2005-06</t>
  </si>
  <si>
    <t>Public Four-Year 5 Institutions, 2005-06</t>
  </si>
  <si>
    <t>Public Four-Year 6 Institutions, 2005-06</t>
  </si>
  <si>
    <t>Public Two-Year, 2005-06</t>
  </si>
  <si>
    <t>Public Two-Year with Bachelor's Institutions, 2005-06</t>
  </si>
  <si>
    <t>Public Two-Year 1 Institutions, 2005-06</t>
  </si>
  <si>
    <t>Public Two-Year 2 Institutions, 2005-06</t>
  </si>
  <si>
    <t>Public Two-Year 3 Institutions, 2005-06</t>
  </si>
  <si>
    <t>Public Technical Institutes or Colleges, 2005-06</t>
  </si>
  <si>
    <t>Public Technical Institutes or Colleges 1, 2005-06</t>
  </si>
  <si>
    <t>Public Technical Institutes or Colleges 2, 2005-06</t>
  </si>
  <si>
    <r>
      <t>Florida</t>
    </r>
    <r>
      <rPr>
        <vertAlign val="superscript"/>
        <sz val="10"/>
        <rFont val="Arial"/>
        <family val="2"/>
      </rPr>
      <t>2</t>
    </r>
  </si>
  <si>
    <r>
      <t>2</t>
    </r>
    <r>
      <rPr>
        <sz val="8"/>
        <rFont val="Arial"/>
        <family val="2"/>
      </rPr>
      <t>The university system in Florida uses a 75 percent rule to define e-learning so their figures here are likely lower than they would be if they used the 50 percent rule.</t>
    </r>
  </si>
  <si>
    <r>
      <t>3</t>
    </r>
    <r>
      <rPr>
        <sz val="8"/>
        <rFont val="Arial"/>
        <family val="2"/>
      </rPr>
      <t>This "all four-year" table includes the University of Maryland University College.</t>
    </r>
  </si>
  <si>
    <r>
      <t>Maryland</t>
    </r>
    <r>
      <rPr>
        <vertAlign val="superscript"/>
        <sz val="10"/>
        <rFont val="Arial"/>
        <family val="2"/>
      </rPr>
      <t>3</t>
    </r>
  </si>
  <si>
    <r>
      <t>2</t>
    </r>
    <r>
      <rPr>
        <sz val="8"/>
        <rFont val="Arial"/>
        <family val="2"/>
      </rPr>
      <t>Mississippi Community Colleges define e-learning when 75 percent of course content is delivered electronically so the figures reported here are likely lower than they would be if they employed a 50 percent rule.</t>
    </r>
  </si>
  <si>
    <r>
      <t>Florida</t>
    </r>
    <r>
      <rPr>
        <vertAlign val="superscript"/>
        <sz val="10"/>
        <rFont val="Arial"/>
        <family val="2"/>
      </rPr>
      <t>1</t>
    </r>
  </si>
  <si>
    <r>
      <t>Mississippi</t>
    </r>
    <r>
      <rPr>
        <vertAlign val="superscript"/>
        <sz val="10"/>
        <rFont val="Arial"/>
        <family val="2"/>
      </rPr>
      <t>3</t>
    </r>
  </si>
  <si>
    <r>
      <t>Maryland</t>
    </r>
    <r>
      <rPr>
        <vertAlign val="superscript"/>
        <sz val="10"/>
        <rFont val="Arial"/>
        <family val="2"/>
      </rPr>
      <t>1</t>
    </r>
  </si>
  <si>
    <r>
      <t xml:space="preserve">1 </t>
    </r>
    <r>
      <rPr>
        <sz val="8"/>
        <rFont val="Arial"/>
        <family val="2"/>
      </rPr>
      <t>The "all four-year" figure includes University of Maryland University College.</t>
    </r>
  </si>
  <si>
    <r>
      <t>1</t>
    </r>
    <r>
      <rPr>
        <sz val="8"/>
        <rFont val="Arial"/>
        <family val="2"/>
      </rPr>
      <t xml:space="preserve"> The university system in Florida uses a 75 percent rule to define e-learning so their figures here are likely lower than they would be if they used the 50 percent rule.</t>
    </r>
  </si>
  <si>
    <r>
      <t>2</t>
    </r>
    <r>
      <rPr>
        <sz val="8"/>
        <rFont val="Arial"/>
        <family val="2"/>
      </rPr>
      <t xml:space="preserve"> The "all four-year" figure includes University of Maryland University College.</t>
    </r>
  </si>
  <si>
    <r>
      <t xml:space="preserve">3 </t>
    </r>
    <r>
      <rPr>
        <sz val="8"/>
        <rFont val="Arial"/>
        <family val="2"/>
      </rPr>
      <t>Mississippi Community Colleges define e-learning when 75 percent of course content is delivered electronically so the figures reported here are likely lower than they would be if they employed a 50 percent rule.</t>
    </r>
  </si>
  <si>
    <r>
      <t>1</t>
    </r>
    <r>
      <rPr>
        <sz val="8"/>
        <rFont val="Arial"/>
        <family val="2"/>
      </rPr>
      <t xml:space="preserve"> The "all four-year" figure includes University of Maryland University College.</t>
    </r>
  </si>
  <si>
    <t>Sum of Old UG E-Learning</t>
  </si>
  <si>
    <t>Sum of Old G E-Learning</t>
  </si>
  <si>
    <t>Sum of Old-Tot G SCH Calc</t>
  </si>
  <si>
    <t>Sum of NEW-Tot UG SCH Calc</t>
  </si>
  <si>
    <t>Sum of New UG E-Learning</t>
  </si>
  <si>
    <t>Sum of New G E-Learning</t>
  </si>
  <si>
    <t>Sum of OLD-Tot UG SCH Calc</t>
  </si>
  <si>
    <t>Sum of New-Tot G SCH Calc</t>
  </si>
  <si>
    <t>December 2007</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</si>
</sst>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_)"/>
    <numFmt numFmtId="166" formatCode="0.0%"/>
    <numFmt numFmtId="167" formatCode="mm/dd/yy_)"/>
    <numFmt numFmtId="168" formatCode=";;;"/>
    <numFmt numFmtId="169" formatCode="0.000000_)"/>
    <numFmt numFmtId="170" formatCode="0.000000000000000_)"/>
    <numFmt numFmtId="171" formatCode="0.00000_)"/>
    <numFmt numFmtId="172" formatCode="0.0"/>
    <numFmt numFmtId="173" formatCode="0.000000000000000"/>
    <numFmt numFmtId="174" formatCode="_(* #,##0_);_(* \(#,##0\);_(* &quot;-&quot;??_);_(@_)"/>
    <numFmt numFmtId="175" formatCode="mmmm\ d\,\ yyyy"/>
    <numFmt numFmtId="176" formatCode="0.0000_)"/>
    <numFmt numFmtId="177" formatCode="0.000_)"/>
    <numFmt numFmtId="178" formatCode="0.00_)"/>
    <numFmt numFmtId="179" formatCode="0_)"/>
    <numFmt numFmtId="180" formatCode="0.000"/>
    <numFmt numFmtId="181" formatCode="_(* #,##0.000_);_(* \(#,##0.000\);_(* &quot;-&quot;??_);_(@_)"/>
    <numFmt numFmtId="182" formatCode="_(* #,##0.0_);_(* \(#,##0.0\);_(* &quot;-&quot;?_);_(@_)"/>
    <numFmt numFmtId="183" formatCode="0.0000"/>
    <numFmt numFmtId="184" formatCode="0.00000"/>
    <numFmt numFmtId="185" formatCode="#,##0.0_);\(#,##0.0\)"/>
    <numFmt numFmtId="186" formatCode="#,##0.0"/>
    <numFmt numFmtId="187" formatCode="0.000%"/>
    <numFmt numFmtId="188" formatCode="0.0000%"/>
    <numFmt numFmtId="189" formatCode="_(* #,##0.0000_);_(* \(#,##0.0000\);_(* &quot;-&quot;??_);_(@_)"/>
    <numFmt numFmtId="190" formatCode="_(* #,##0.00000_);_(* \(#,##0.00000\);_(* &quot;-&quot;??_);_(@_)"/>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00_);\(#,##0.000\)"/>
    <numFmt numFmtId="198" formatCode="0_);\(0\)"/>
    <numFmt numFmtId="199" formatCode="[$-409]h:mm:ss\ AM/PM"/>
    <numFmt numFmtId="200" formatCode="0.00%"/>
  </numFmts>
  <fonts count="48">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b/>
      <sz val="8"/>
      <name val="Tahoma"/>
      <family val="0"/>
    </font>
    <font>
      <b/>
      <sz val="14"/>
      <name val="Arial"/>
      <family val="2"/>
    </font>
    <font>
      <sz val="14"/>
      <name val="Arial"/>
      <family val="2"/>
    </font>
    <font>
      <b/>
      <sz val="12"/>
      <color indexed="8"/>
      <name val="Arial"/>
      <family val="2"/>
    </font>
    <font>
      <b/>
      <sz val="10"/>
      <color indexed="8"/>
      <name val="Arial"/>
      <family val="2"/>
    </font>
    <font>
      <sz val="10"/>
      <color indexed="8"/>
      <name val="Arial"/>
      <family val="2"/>
    </font>
    <font>
      <sz val="12"/>
      <name val="AGaramond"/>
      <family val="0"/>
    </font>
    <font>
      <sz val="10"/>
      <color indexed="10"/>
      <name val="ARIAL"/>
      <family val="2"/>
    </font>
    <font>
      <sz val="8"/>
      <color indexed="8"/>
      <name val="Tahoma"/>
      <family val="0"/>
    </font>
    <font>
      <b/>
      <sz val="8"/>
      <color indexed="8"/>
      <name val="Tahoma"/>
      <family val="0"/>
    </font>
    <font>
      <b/>
      <sz val="12"/>
      <name val="Arial"/>
      <family val="2"/>
    </font>
    <font>
      <b/>
      <sz val="10"/>
      <name val="Arial"/>
      <family val="2"/>
    </font>
    <font>
      <sz val="10"/>
      <color indexed="12"/>
      <name val="Arial"/>
      <family val="0"/>
    </font>
    <font>
      <sz val="10"/>
      <name val="AGaramond"/>
      <family val="0"/>
    </font>
    <font>
      <b/>
      <sz val="9"/>
      <name val="Arial"/>
      <family val="2"/>
    </font>
    <font>
      <b/>
      <vertAlign val="superscript"/>
      <sz val="9"/>
      <name val="Arial"/>
      <family val="2"/>
    </font>
    <font>
      <vertAlign val="superscript"/>
      <sz val="10"/>
      <name val="Arial"/>
      <family val="2"/>
    </font>
    <font>
      <vertAlign val="superscript"/>
      <sz val="8"/>
      <name val="Arial"/>
      <family val="2"/>
    </font>
    <font>
      <b/>
      <sz val="10"/>
      <color indexed="12"/>
      <name val="Arial"/>
      <family val="0"/>
    </font>
    <font>
      <sz val="10"/>
      <color indexed="10"/>
      <name val="Arial"/>
      <family val="0"/>
    </font>
    <font>
      <b/>
      <sz val="10"/>
      <color indexed="10"/>
      <name val="Arial"/>
      <family val="0"/>
    </font>
    <font>
      <b/>
      <sz val="10"/>
      <color indexed="12"/>
      <name val="AGaramond"/>
      <family val="0"/>
    </font>
    <font>
      <b/>
      <sz val="8"/>
      <name val="Arial"/>
      <family val="0"/>
    </font>
    <font>
      <sz val="8"/>
      <color indexed="8"/>
      <name val="Arial"/>
      <family val="0"/>
    </font>
    <font>
      <b/>
      <sz val="8"/>
      <color indexed="10"/>
      <name val="Arial"/>
      <family val="0"/>
    </font>
    <font>
      <b/>
      <sz val="8"/>
      <color indexed="12"/>
      <name val="Arial"/>
      <family val="0"/>
    </font>
    <font>
      <sz val="8"/>
      <color indexed="12"/>
      <name val="Arial"/>
      <family val="0"/>
    </font>
    <font>
      <b/>
      <sz val="11"/>
      <name val="Tahoma"/>
      <family val="2"/>
    </font>
    <font>
      <sz val="10"/>
      <color indexed="12"/>
      <name val="AGaramond"/>
      <family val="0"/>
    </font>
    <font>
      <sz val="12"/>
      <color indexed="10"/>
      <name val="AGaramond"/>
      <family val="0"/>
    </font>
    <font>
      <sz val="10"/>
      <color indexed="14"/>
      <name val="Arial"/>
      <family val="2"/>
    </font>
    <font>
      <sz val="8"/>
      <color indexed="10"/>
      <name val="Arial"/>
      <family val="2"/>
    </font>
    <font>
      <b/>
      <sz val="9"/>
      <name val="Tahoma"/>
      <family val="2"/>
    </font>
    <font>
      <sz val="10"/>
      <name val="Tahoma"/>
      <family val="0"/>
    </font>
    <font>
      <b/>
      <sz val="10"/>
      <name val="Tahoma"/>
      <family val="0"/>
    </font>
    <font>
      <sz val="10"/>
      <color indexed="53"/>
      <name val="Arial"/>
      <family val="0"/>
    </font>
    <font>
      <sz val="10"/>
      <color indexed="17"/>
      <name val="Arial"/>
      <family val="0"/>
    </font>
    <font>
      <sz val="10"/>
      <color indexed="48"/>
      <name val="Arial"/>
      <family val="0"/>
    </font>
    <font>
      <sz val="10"/>
      <color indexed="61"/>
      <name val="Arial"/>
      <family val="0"/>
    </font>
    <font>
      <sz val="10"/>
      <color indexed="23"/>
      <name val="Arial"/>
      <family val="0"/>
    </font>
    <font>
      <sz val="10"/>
      <color indexed="19"/>
      <name val="Arial"/>
      <family val="0"/>
    </font>
    <font>
      <sz val="10"/>
      <color indexed="55"/>
      <name val="Arial"/>
      <family val="0"/>
    </font>
    <font>
      <sz val="10"/>
      <color indexed="10"/>
      <name val="AGaramond"/>
      <family val="0"/>
    </font>
  </fonts>
  <fills count="14">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s>
  <borders count="55">
    <border>
      <left/>
      <right/>
      <top/>
      <bottom/>
      <diagonal/>
    </border>
    <border>
      <left style="medium"/>
      <right style="medium"/>
      <top>
        <color indexed="63"/>
      </top>
      <bottom>
        <color indexed="63"/>
      </bottom>
    </border>
    <border>
      <left style="thin">
        <color indexed="8"/>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right style="thin">
        <color indexed="8"/>
      </right>
      <top style="thin">
        <color indexed="8"/>
      </top>
      <bottom>
        <color indexed="63"/>
      </bottom>
    </border>
    <border>
      <left>
        <color indexed="63"/>
      </left>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color indexed="63"/>
      </right>
      <top style="thin">
        <color indexed="8"/>
      </top>
      <bottom style="thin"/>
    </border>
    <border>
      <left style="thin"/>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bottom style="thin"/>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color indexed="8"/>
      </top>
      <bottom>
        <color indexed="63"/>
      </bottom>
    </border>
    <border>
      <left style="medium"/>
      <right>
        <color indexed="63"/>
      </right>
      <top style="thin">
        <color indexed="8"/>
      </top>
      <bottom>
        <color indexed="63"/>
      </bottom>
    </border>
    <border>
      <left>
        <color indexed="63"/>
      </left>
      <right style="medium"/>
      <top style="thin">
        <color indexed="8"/>
      </top>
      <bottom>
        <color indexed="63"/>
      </bottom>
    </border>
    <border>
      <left style="thin">
        <color indexed="8"/>
      </left>
      <right>
        <color indexed="63"/>
      </right>
      <top style="thin"/>
      <bottom style="thin">
        <color indexed="8"/>
      </bottom>
    </border>
    <border>
      <left style="thin"/>
      <right style="thin"/>
      <top style="thin"/>
      <bottom>
        <color indexed="63"/>
      </bottom>
    </border>
    <border>
      <left style="thin"/>
      <right style="thin"/>
      <top style="thin">
        <color indexed="8"/>
      </top>
      <bottom>
        <color indexed="63"/>
      </bottom>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79" fontId="11" fillId="0" borderId="0">
      <alignment/>
      <protection/>
    </xf>
    <xf numFmtId="179" fontId="11" fillId="0" borderId="0">
      <alignment/>
      <protection/>
    </xf>
    <xf numFmtId="0" fontId="0" fillId="0" borderId="0">
      <alignment/>
      <protection/>
    </xf>
    <xf numFmtId="0" fontId="0" fillId="0" borderId="0">
      <alignment/>
      <protection/>
    </xf>
    <xf numFmtId="179" fontId="11" fillId="0" borderId="0">
      <alignment/>
      <protection/>
    </xf>
    <xf numFmtId="3" fontId="1" fillId="0" borderId="0">
      <alignment/>
      <protection/>
    </xf>
    <xf numFmtId="3" fontId="1" fillId="0" borderId="0">
      <alignment/>
      <protection/>
    </xf>
    <xf numFmtId="179" fontId="11" fillId="0" borderId="0">
      <alignment/>
      <protection/>
    </xf>
    <xf numFmtId="179" fontId="11" fillId="0" borderId="0">
      <alignment/>
      <protection/>
    </xf>
    <xf numFmtId="9" fontId="0" fillId="0" borderId="0" applyFont="0" applyFill="0" applyBorder="0" applyAlignment="0" applyProtection="0"/>
    <xf numFmtId="3" fontId="0" fillId="0" borderId="1" applyFont="0">
      <alignment/>
      <protection/>
    </xf>
    <xf numFmtId="179" fontId="16" fillId="0" borderId="2" applyNumberFormat="0" applyFont="0" applyBorder="0" applyAlignment="0">
      <protection/>
    </xf>
  </cellStyleXfs>
  <cellXfs count="699">
    <xf numFmtId="0" fontId="0" fillId="0" borderId="0" xfId="0"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7" fillId="0" borderId="0" xfId="0" applyFont="1" applyAlignment="1">
      <alignment horizontal="centerContinuous"/>
    </xf>
    <xf numFmtId="37" fontId="8" fillId="0" borderId="0" xfId="0" applyNumberFormat="1" applyFont="1" applyAlignment="1" applyProtection="1">
      <alignment horizontal="centerContinuous"/>
      <protection/>
    </xf>
    <xf numFmtId="0" fontId="0" fillId="0" borderId="0" xfId="0" applyFont="1" applyAlignment="1">
      <alignment horizontal="centerContinuous"/>
    </xf>
    <xf numFmtId="0" fontId="0" fillId="0" borderId="0" xfId="0" applyFont="1" applyAlignment="1">
      <alignment/>
    </xf>
    <xf numFmtId="0" fontId="0" fillId="0" borderId="3" xfId="0" applyFont="1" applyBorder="1" applyAlignment="1">
      <alignment/>
    </xf>
    <xf numFmtId="166" fontId="0" fillId="0" borderId="4" xfId="0" applyNumberFormat="1" applyBorder="1" applyAlignment="1">
      <alignment/>
    </xf>
    <xf numFmtId="166" fontId="0" fillId="0" borderId="7" xfId="0" applyNumberFormat="1" applyBorder="1" applyAlignment="1">
      <alignment/>
    </xf>
    <xf numFmtId="166" fontId="0" fillId="0" borderId="8" xfId="0" applyNumberFormat="1" applyBorder="1" applyAlignment="1">
      <alignment/>
    </xf>
    <xf numFmtId="166" fontId="0" fillId="0" borderId="6" xfId="0" applyNumberFormat="1" applyBorder="1" applyAlignment="1">
      <alignment/>
    </xf>
    <xf numFmtId="166" fontId="0" fillId="0" borderId="9" xfId="0" applyNumberFormat="1" applyBorder="1" applyAlignment="1">
      <alignment/>
    </xf>
    <xf numFmtId="0" fontId="0" fillId="0" borderId="0" xfId="0" applyAlignment="1">
      <alignment horizontal="centerContinuous"/>
    </xf>
    <xf numFmtId="37" fontId="9" fillId="0" borderId="3" xfId="0" applyNumberFormat="1" applyFont="1" applyBorder="1" applyAlignment="1" applyProtection="1">
      <alignment/>
      <protection/>
    </xf>
    <xf numFmtId="37" fontId="9" fillId="0" borderId="10" xfId="0" applyNumberFormat="1" applyFont="1" applyBorder="1" applyAlignment="1" applyProtection="1">
      <alignment/>
      <protection/>
    </xf>
    <xf numFmtId="37" fontId="9" fillId="0" borderId="10" xfId="0" applyNumberFormat="1" applyFont="1" applyBorder="1" applyAlignment="1" applyProtection="1">
      <alignment horizontal="center"/>
      <protection/>
    </xf>
    <xf numFmtId="1" fontId="10" fillId="2" borderId="0" xfId="21" applyNumberFormat="1" applyFont="1" applyFill="1" applyBorder="1" applyAlignment="1">
      <alignment horizontal="right"/>
      <protection/>
    </xf>
    <xf numFmtId="1" fontId="10" fillId="3" borderId="0" xfId="21" applyNumberFormat="1" applyFont="1" applyFill="1" applyBorder="1" applyAlignment="1">
      <alignment horizontal="right"/>
      <protection/>
    </xf>
    <xf numFmtId="1" fontId="10" fillId="4" borderId="0" xfId="21" applyNumberFormat="1" applyFont="1" applyFill="1" applyBorder="1" applyAlignment="1">
      <alignment horizontal="right"/>
      <protection/>
    </xf>
    <xf numFmtId="1" fontId="10" fillId="5" borderId="0" xfId="21" applyNumberFormat="1" applyFont="1" applyFill="1" applyBorder="1" applyAlignment="1">
      <alignment horizontal="right"/>
      <protection/>
    </xf>
    <xf numFmtId="1" fontId="10" fillId="2" borderId="0" xfId="22" applyNumberFormat="1" applyFont="1" applyFill="1" applyBorder="1" applyAlignment="1">
      <alignment horizontal="right"/>
      <protection/>
    </xf>
    <xf numFmtId="1" fontId="10" fillId="6" borderId="0" xfId="22" applyNumberFormat="1" applyFont="1" applyFill="1" applyBorder="1" applyAlignment="1">
      <alignment horizontal="right"/>
      <protection/>
    </xf>
    <xf numFmtId="174" fontId="0" fillId="0" borderId="0" xfId="15" applyNumberFormat="1" applyFont="1" applyFill="1" applyBorder="1" applyAlignment="1">
      <alignment/>
    </xf>
    <xf numFmtId="179" fontId="10" fillId="6" borderId="0" xfId="22" applyFont="1" applyFill="1" applyBorder="1" applyAlignment="1">
      <alignment horizontal="right"/>
      <protection/>
    </xf>
    <xf numFmtId="1" fontId="10" fillId="4" borderId="0" xfId="22" applyNumberFormat="1" applyFont="1" applyFill="1" applyBorder="1" applyAlignment="1">
      <alignment horizontal="right"/>
      <protection/>
    </xf>
    <xf numFmtId="1" fontId="10" fillId="5" borderId="0" xfId="22" applyNumberFormat="1" applyFont="1" applyFill="1" applyBorder="1" applyAlignment="1">
      <alignment horizontal="right"/>
      <protection/>
    </xf>
    <xf numFmtId="1" fontId="10" fillId="3" borderId="0" xfId="22" applyNumberFormat="1" applyFont="1" applyFill="1" applyBorder="1" applyAlignment="1">
      <alignment horizontal="right"/>
      <protection/>
    </xf>
    <xf numFmtId="37" fontId="6" fillId="0" borderId="0" xfId="0" applyNumberFormat="1" applyFont="1" applyFill="1" applyAlignment="1" applyProtection="1">
      <alignment horizontal="centerContinuous"/>
      <protection/>
    </xf>
    <xf numFmtId="0" fontId="7" fillId="0" borderId="0" xfId="0" applyFont="1" applyFill="1" applyAlignment="1">
      <alignment horizontal="centerContinuous"/>
    </xf>
    <xf numFmtId="0" fontId="0" fillId="0" borderId="0" xfId="0" applyFont="1" applyFill="1" applyAlignment="1">
      <alignment horizontal="centerContinuous"/>
    </xf>
    <xf numFmtId="0" fontId="0" fillId="0" borderId="3" xfId="0" applyFont="1" applyFill="1" applyBorder="1" applyAlignment="1">
      <alignment/>
    </xf>
    <xf numFmtId="3" fontId="0" fillId="0" borderId="3" xfId="0" applyNumberFormat="1" applyFont="1" applyFill="1" applyBorder="1" applyAlignment="1">
      <alignment/>
    </xf>
    <xf numFmtId="0" fontId="0" fillId="0" borderId="3" xfId="0" applyFont="1" applyFill="1" applyBorder="1" applyAlignment="1">
      <alignment horizontal="left"/>
    </xf>
    <xf numFmtId="3" fontId="0" fillId="0" borderId="0" xfId="0" applyNumberFormat="1" applyFont="1" applyFill="1" applyBorder="1" applyAlignment="1">
      <alignment/>
    </xf>
    <xf numFmtId="0" fontId="0" fillId="0" borderId="0" xfId="0" applyFont="1" applyFill="1" applyAlignment="1">
      <alignment/>
    </xf>
    <xf numFmtId="164" fontId="0" fillId="0" borderId="0" xfId="15" applyNumberFormat="1" applyFont="1" applyFill="1" applyBorder="1" applyAlignment="1">
      <alignment horizontal="right"/>
    </xf>
    <xf numFmtId="0" fontId="0" fillId="0" borderId="0" xfId="0" applyFont="1" applyFill="1" applyBorder="1" applyAlignment="1">
      <alignment/>
    </xf>
    <xf numFmtId="0" fontId="0" fillId="0" borderId="11" xfId="0" applyFont="1" applyFill="1" applyBorder="1" applyAlignment="1">
      <alignment/>
    </xf>
    <xf numFmtId="37" fontId="15" fillId="0" borderId="0" xfId="0" applyNumberFormat="1" applyFont="1" applyFill="1" applyAlignment="1" applyProtection="1">
      <alignment horizontal="centerContinuous"/>
      <protection/>
    </xf>
    <xf numFmtId="0" fontId="0" fillId="0" borderId="0" xfId="0" applyFont="1" applyFill="1" applyBorder="1" applyAlignment="1">
      <alignment horizontal="centerContinuous"/>
    </xf>
    <xf numFmtId="0" fontId="0" fillId="0" borderId="0" xfId="0" applyFont="1" applyFill="1" applyAlignment="1">
      <alignment horizontal="left"/>
    </xf>
    <xf numFmtId="0" fontId="0" fillId="0" borderId="0" xfId="0" applyFont="1" applyFill="1" applyBorder="1" applyAlignment="1">
      <alignment horizontal="left"/>
    </xf>
    <xf numFmtId="0" fontId="7" fillId="0" borderId="0" xfId="0" applyFont="1" applyFill="1" applyBorder="1" applyAlignment="1">
      <alignment horizontal="centerContinuous"/>
    </xf>
    <xf numFmtId="172" fontId="0" fillId="0" borderId="0" xfId="0" applyNumberFormat="1" applyFont="1" applyFill="1" applyAlignment="1">
      <alignment/>
    </xf>
    <xf numFmtId="0" fontId="0" fillId="0" borderId="7" xfId="0" applyBorder="1" applyAlignment="1">
      <alignment/>
    </xf>
    <xf numFmtId="0" fontId="16" fillId="0" borderId="0" xfId="0" applyFont="1" applyAlignment="1">
      <alignment/>
    </xf>
    <xf numFmtId="0" fontId="16" fillId="0" borderId="4" xfId="0" applyFont="1" applyBorder="1" applyAlignment="1">
      <alignment/>
    </xf>
    <xf numFmtId="0" fontId="16" fillId="0" borderId="2" xfId="0" applyFont="1" applyBorder="1" applyAlignment="1">
      <alignment/>
    </xf>
    <xf numFmtId="0" fontId="0" fillId="0" borderId="2" xfId="0" applyBorder="1" applyAlignment="1">
      <alignment/>
    </xf>
    <xf numFmtId="0" fontId="0" fillId="0" borderId="0" xfId="0" applyBorder="1" applyAlignment="1">
      <alignment horizontal="centerContinuous"/>
    </xf>
    <xf numFmtId="172" fontId="0" fillId="0" borderId="0" xfId="0" applyNumberFormat="1" applyBorder="1" applyAlignment="1">
      <alignment/>
    </xf>
    <xf numFmtId="174" fontId="7" fillId="0" borderId="0" xfId="15" applyNumberFormat="1" applyFont="1" applyFill="1" applyBorder="1" applyAlignment="1">
      <alignment horizontal="left"/>
    </xf>
    <xf numFmtId="174" fontId="7" fillId="0" borderId="0" xfId="15" applyNumberFormat="1" applyFont="1" applyFill="1" applyBorder="1" applyAlignment="1">
      <alignment horizontal="centerContinuous"/>
    </xf>
    <xf numFmtId="174" fontId="0" fillId="0" borderId="0" xfId="15" applyNumberFormat="1" applyFont="1" applyFill="1" applyBorder="1" applyAlignment="1">
      <alignment horizontal="left"/>
    </xf>
    <xf numFmtId="174" fontId="0" fillId="0" borderId="0" xfId="15" applyNumberFormat="1" applyFont="1" applyFill="1" applyBorder="1" applyAlignment="1">
      <alignment horizontal="centerContinuous"/>
    </xf>
    <xf numFmtId="3" fontId="0" fillId="0" borderId="0" xfId="0" applyNumberFormat="1" applyFont="1" applyFill="1" applyAlignment="1">
      <alignment/>
    </xf>
    <xf numFmtId="0" fontId="1" fillId="0" borderId="0" xfId="0" applyFont="1" applyAlignment="1">
      <alignment/>
    </xf>
    <xf numFmtId="0" fontId="1" fillId="0" borderId="0" xfId="0" applyFont="1" applyAlignment="1">
      <alignment/>
    </xf>
    <xf numFmtId="0" fontId="1" fillId="0" borderId="0" xfId="0" applyFont="1" applyFill="1" applyBorder="1" applyAlignment="1">
      <alignment/>
    </xf>
    <xf numFmtId="164" fontId="1" fillId="0" borderId="0" xfId="0" applyNumberFormat="1" applyFont="1" applyFill="1" applyAlignment="1">
      <alignment/>
    </xf>
    <xf numFmtId="0" fontId="1" fillId="0" borderId="0" xfId="0" applyFont="1" applyFill="1" applyAlignment="1">
      <alignment/>
    </xf>
    <xf numFmtId="0" fontId="1" fillId="0" borderId="0" xfId="0" applyFont="1" applyFill="1" applyAlignment="1">
      <alignment horizontal="centerContinuous"/>
    </xf>
    <xf numFmtId="174" fontId="1" fillId="0" borderId="0" xfId="15" applyNumberFormat="1" applyFont="1" applyFill="1" applyBorder="1" applyAlignment="1">
      <alignment horizontal="left"/>
    </xf>
    <xf numFmtId="174" fontId="1" fillId="0" borderId="0" xfId="15" applyNumberFormat="1" applyFont="1" applyFill="1" applyBorder="1" applyAlignment="1">
      <alignment/>
    </xf>
    <xf numFmtId="164" fontId="1" fillId="0" borderId="0" xfId="15" applyNumberFormat="1" applyFont="1" applyFill="1" applyBorder="1" applyAlignment="1">
      <alignment horizontal="right"/>
    </xf>
    <xf numFmtId="164" fontId="1" fillId="0" borderId="0" xfId="15" applyNumberFormat="1" applyFont="1" applyFill="1" applyBorder="1" applyAlignment="1">
      <alignment horizontal="right" indent="1"/>
    </xf>
    <xf numFmtId="172" fontId="1" fillId="0" borderId="0" xfId="0" applyNumberFormat="1" applyFont="1" applyFill="1" applyAlignment="1">
      <alignment/>
    </xf>
    <xf numFmtId="0" fontId="1" fillId="0" borderId="0" xfId="0" applyFont="1" applyFill="1" applyBorder="1" applyAlignment="1">
      <alignment horizontal="left"/>
    </xf>
    <xf numFmtId="0" fontId="1" fillId="0" borderId="0" xfId="0" applyFont="1" applyBorder="1" applyAlignment="1">
      <alignment/>
    </xf>
    <xf numFmtId="172" fontId="1" fillId="0" borderId="0" xfId="0" applyNumberFormat="1" applyFont="1" applyBorder="1" applyAlignment="1">
      <alignment/>
    </xf>
    <xf numFmtId="0" fontId="1" fillId="0" borderId="0" xfId="0" applyFont="1" applyBorder="1" applyAlignment="1">
      <alignment/>
    </xf>
    <xf numFmtId="0" fontId="1" fillId="0" borderId="0" xfId="0" applyFont="1" applyFill="1" applyBorder="1" applyAlignment="1">
      <alignment/>
    </xf>
    <xf numFmtId="37" fontId="9" fillId="0" borderId="0" xfId="0" applyNumberFormat="1" applyFont="1" applyAlignment="1" applyProtection="1">
      <alignment horizontal="centerContinuous"/>
      <protection/>
    </xf>
    <xf numFmtId="0" fontId="0" fillId="0" borderId="0" xfId="0" applyFont="1" applyBorder="1" applyAlignment="1">
      <alignment horizontal="centerContinuous"/>
    </xf>
    <xf numFmtId="37" fontId="16" fillId="0" borderId="0" xfId="0" applyNumberFormat="1" applyFont="1" applyFill="1" applyAlignment="1" applyProtection="1">
      <alignment horizontal="centerContinuous"/>
      <protection/>
    </xf>
    <xf numFmtId="0" fontId="16" fillId="0" borderId="10"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16" fillId="0" borderId="0" xfId="0" applyFont="1" applyAlignment="1">
      <alignment horizontal="center"/>
    </xf>
    <xf numFmtId="0" fontId="16" fillId="0" borderId="0" xfId="0" applyFont="1" applyBorder="1" applyAlignment="1">
      <alignment horizontal="center"/>
    </xf>
    <xf numFmtId="0" fontId="16" fillId="0" borderId="0" xfId="0" applyFont="1" applyBorder="1" applyAlignment="1">
      <alignment horizontal="centerContinuous"/>
    </xf>
    <xf numFmtId="37" fontId="19" fillId="0" borderId="0" xfId="0" applyNumberFormat="1" applyFont="1" applyFill="1" applyBorder="1" applyAlignment="1" applyProtection="1">
      <alignment/>
      <protection/>
    </xf>
    <xf numFmtId="0" fontId="19" fillId="0" borderId="10" xfId="0" applyFont="1" applyFill="1" applyBorder="1" applyAlignment="1">
      <alignment horizontal="centerContinuous"/>
    </xf>
    <xf numFmtId="0" fontId="19" fillId="0" borderId="0" xfId="0" applyFont="1" applyFill="1" applyBorder="1" applyAlignment="1">
      <alignment horizontal="centerContinuous"/>
    </xf>
    <xf numFmtId="174" fontId="19" fillId="0" borderId="0" xfId="15" applyNumberFormat="1" applyFont="1" applyFill="1" applyBorder="1" applyAlignment="1">
      <alignment horizontal="left"/>
    </xf>
    <xf numFmtId="174" fontId="19" fillId="0" borderId="0" xfId="15" applyNumberFormat="1" applyFont="1" applyFill="1" applyBorder="1" applyAlignment="1">
      <alignment horizontal="centerContinuous"/>
    </xf>
    <xf numFmtId="0" fontId="19" fillId="0" borderId="0" xfId="0" applyFont="1" applyFill="1" applyAlignment="1">
      <alignment/>
    </xf>
    <xf numFmtId="0" fontId="19" fillId="0" borderId="14" xfId="0" applyFont="1" applyFill="1" applyBorder="1" applyAlignment="1">
      <alignment horizontal="centerContinuous"/>
    </xf>
    <xf numFmtId="0" fontId="19" fillId="0" borderId="10" xfId="0" applyFont="1" applyFill="1" applyBorder="1" applyAlignment="1">
      <alignment horizontal="center" wrapText="1"/>
    </xf>
    <xf numFmtId="0" fontId="19" fillId="0" borderId="15" xfId="0" applyFont="1" applyFill="1" applyBorder="1" applyAlignment="1">
      <alignment horizontal="center" wrapText="1"/>
    </xf>
    <xf numFmtId="0" fontId="19" fillId="0" borderId="13" xfId="0" applyFont="1" applyFill="1" applyBorder="1" applyAlignment="1">
      <alignment horizontal="center" wrapText="1"/>
    </xf>
    <xf numFmtId="0" fontId="19" fillId="0" borderId="12" xfId="0" applyFont="1" applyFill="1" applyBorder="1" applyAlignment="1">
      <alignment horizontal="centerContinuous"/>
    </xf>
    <xf numFmtId="0" fontId="19" fillId="0" borderId="15" xfId="0" applyFont="1" applyFill="1" applyBorder="1" applyAlignment="1">
      <alignment horizontal="centerContinuous"/>
    </xf>
    <xf numFmtId="0" fontId="19" fillId="0" borderId="16" xfId="0" applyFont="1" applyFill="1" applyBorder="1" applyAlignment="1">
      <alignment horizontal="center" wrapText="1"/>
    </xf>
    <xf numFmtId="174" fontId="19" fillId="0" borderId="0" xfId="15" applyNumberFormat="1" applyFont="1" applyFill="1" applyBorder="1" applyAlignment="1">
      <alignment horizontal="right"/>
    </xf>
    <xf numFmtId="174" fontId="19" fillId="0" borderId="0" xfId="15" applyNumberFormat="1" applyFont="1" applyFill="1" applyBorder="1" applyAlignment="1">
      <alignment/>
    </xf>
    <xf numFmtId="3" fontId="19" fillId="0" borderId="0" xfId="0" applyNumberFormat="1" applyFont="1" applyFill="1" applyAlignment="1">
      <alignment/>
    </xf>
    <xf numFmtId="172" fontId="0" fillId="0" borderId="0" xfId="15" applyNumberFormat="1" applyFont="1" applyFill="1" applyBorder="1" applyAlignment="1">
      <alignment horizontal="right" indent="1"/>
    </xf>
    <xf numFmtId="172" fontId="0" fillId="0" borderId="0" xfId="15" applyNumberFormat="1" applyFont="1" applyFill="1" applyBorder="1" applyAlignment="1">
      <alignment horizontal="right"/>
    </xf>
    <xf numFmtId="172" fontId="0" fillId="0" borderId="17" xfId="15" applyNumberFormat="1" applyFont="1" applyFill="1" applyBorder="1" applyAlignment="1">
      <alignment horizontal="right"/>
    </xf>
    <xf numFmtId="172" fontId="0" fillId="0" borderId="0" xfId="0" applyNumberFormat="1" applyAlignment="1">
      <alignment horizontal="center"/>
    </xf>
    <xf numFmtId="172" fontId="0" fillId="0" borderId="18" xfId="0" applyNumberFormat="1" applyBorder="1" applyAlignment="1">
      <alignment horizontal="center"/>
    </xf>
    <xf numFmtId="172" fontId="0" fillId="0" borderId="19" xfId="0" applyNumberFormat="1" applyBorder="1" applyAlignment="1">
      <alignment horizontal="center"/>
    </xf>
    <xf numFmtId="1" fontId="0" fillId="0" borderId="0" xfId="0" applyNumberFormat="1" applyAlignment="1">
      <alignment horizontal="center"/>
    </xf>
    <xf numFmtId="1" fontId="0" fillId="0" borderId="19" xfId="0" applyNumberFormat="1" applyBorder="1" applyAlignment="1">
      <alignment horizontal="center"/>
    </xf>
    <xf numFmtId="172" fontId="0" fillId="0" borderId="3" xfId="0" applyNumberFormat="1" applyBorder="1" applyAlignment="1">
      <alignment horizontal="center"/>
    </xf>
    <xf numFmtId="1" fontId="0" fillId="0" borderId="3" xfId="0" applyNumberFormat="1" applyBorder="1" applyAlignment="1">
      <alignment horizontal="center"/>
    </xf>
    <xf numFmtId="172" fontId="0" fillId="0" borderId="16" xfId="0" applyNumberFormat="1" applyBorder="1" applyAlignment="1">
      <alignment horizontal="center"/>
    </xf>
    <xf numFmtId="172" fontId="0" fillId="0" borderId="0" xfId="15" applyNumberFormat="1" applyFont="1" applyFill="1" applyBorder="1" applyAlignment="1">
      <alignment/>
    </xf>
    <xf numFmtId="172" fontId="0" fillId="0" borderId="18" xfId="15" applyNumberFormat="1" applyFont="1" applyFill="1" applyBorder="1" applyAlignment="1">
      <alignment horizontal="right"/>
    </xf>
    <xf numFmtId="172" fontId="0" fillId="0" borderId="20" xfId="15" applyNumberFormat="1" applyFont="1" applyFill="1" applyBorder="1" applyAlignment="1">
      <alignment horizontal="right"/>
    </xf>
    <xf numFmtId="0" fontId="22" fillId="0" borderId="0" xfId="0" applyFont="1" applyFill="1" applyBorder="1" applyAlignment="1">
      <alignment/>
    </xf>
    <xf numFmtId="0" fontId="22" fillId="0" borderId="0" xfId="0" applyFont="1" applyFill="1" applyAlignment="1">
      <alignment/>
    </xf>
    <xf numFmtId="172" fontId="0" fillId="0" borderId="0" xfId="0" applyNumberFormat="1" applyFont="1" applyFill="1" applyBorder="1" applyAlignment="1">
      <alignment/>
    </xf>
    <xf numFmtId="49" fontId="1" fillId="0" borderId="0" xfId="0" applyNumberFormat="1" applyFont="1" applyBorder="1" applyAlignment="1">
      <alignment horizontal="right"/>
    </xf>
    <xf numFmtId="1" fontId="0" fillId="2" borderId="0" xfId="21" applyNumberFormat="1" applyFont="1" applyFill="1" applyBorder="1" applyAlignment="1">
      <alignment horizontal="right"/>
      <protection/>
    </xf>
    <xf numFmtId="0" fontId="0" fillId="6" borderId="0" xfId="0" applyNumberFormat="1" applyFont="1" applyFill="1" applyBorder="1" applyAlignment="1">
      <alignment horizontal="right"/>
    </xf>
    <xf numFmtId="1" fontId="0" fillId="3" borderId="0" xfId="22" applyNumberFormat="1" applyFont="1" applyFill="1" applyBorder="1" applyAlignment="1">
      <alignment horizontal="right"/>
      <protection/>
    </xf>
    <xf numFmtId="1" fontId="10" fillId="7" borderId="0" xfId="22" applyNumberFormat="1" applyFont="1" applyFill="1" applyBorder="1" applyAlignment="1">
      <alignment horizontal="center"/>
      <protection/>
    </xf>
    <xf numFmtId="179" fontId="10" fillId="3" borderId="0" xfId="28" applyFont="1" applyFill="1" applyBorder="1" applyAlignment="1" applyProtection="1">
      <alignment/>
      <protection/>
    </xf>
    <xf numFmtId="179" fontId="10" fillId="3" borderId="0" xfId="22" applyFont="1" applyFill="1" applyBorder="1" applyAlignment="1">
      <alignment horizontal="right"/>
      <protection/>
    </xf>
    <xf numFmtId="0" fontId="10" fillId="7" borderId="0" xfId="22" applyNumberFormat="1" applyFont="1" applyFill="1" applyBorder="1" applyAlignment="1">
      <alignment horizontal="right"/>
      <protection/>
    </xf>
    <xf numFmtId="1" fontId="10" fillId="7" borderId="0" xfId="22" applyNumberFormat="1" applyFont="1" applyFill="1" applyBorder="1" applyAlignment="1">
      <alignment horizontal="right"/>
      <protection/>
    </xf>
    <xf numFmtId="0" fontId="0" fillId="7" borderId="0" xfId="22" applyNumberFormat="1" applyFont="1" applyFill="1" applyBorder="1" applyAlignment="1">
      <alignment horizontal="right"/>
      <protection/>
    </xf>
    <xf numFmtId="179" fontId="10" fillId="2" borderId="0" xfId="21" applyFont="1" applyFill="1" applyBorder="1" applyAlignment="1">
      <alignment/>
      <protection/>
    </xf>
    <xf numFmtId="179" fontId="0" fillId="2" borderId="0" xfId="21" applyFont="1" applyFill="1" applyBorder="1" applyAlignment="1">
      <alignment/>
      <protection/>
    </xf>
    <xf numFmtId="3" fontId="0" fillId="2" borderId="0" xfId="26" applyFont="1" applyFill="1" applyBorder="1" applyAlignment="1" applyProtection="1">
      <alignment/>
      <protection/>
    </xf>
    <xf numFmtId="179" fontId="10" fillId="6" borderId="0" xfId="21" applyFont="1" applyFill="1" applyBorder="1" applyAlignment="1">
      <alignment/>
      <protection/>
    </xf>
    <xf numFmtId="0" fontId="0" fillId="6" borderId="0" xfId="0" applyNumberFormat="1" applyFont="1" applyFill="1" applyBorder="1" applyAlignment="1">
      <alignment/>
    </xf>
    <xf numFmtId="179" fontId="10" fillId="4" borderId="0" xfId="21" applyFont="1" applyFill="1" applyBorder="1" applyAlignment="1">
      <alignment/>
      <protection/>
    </xf>
    <xf numFmtId="179" fontId="10" fillId="3" borderId="0" xfId="21" applyFont="1" applyFill="1" applyBorder="1" applyAlignment="1">
      <alignment/>
      <protection/>
    </xf>
    <xf numFmtId="179" fontId="10" fillId="5" borderId="0" xfId="21" applyFont="1" applyFill="1" applyBorder="1" applyAlignment="1">
      <alignment/>
      <protection/>
    </xf>
    <xf numFmtId="179" fontId="10" fillId="6" borderId="0" xfId="22" applyFont="1" applyFill="1" applyBorder="1" applyAlignment="1">
      <alignment/>
      <protection/>
    </xf>
    <xf numFmtId="179" fontId="0" fillId="3" borderId="0" xfId="22" applyFont="1" applyFill="1" applyBorder="1" applyAlignment="1">
      <alignment/>
      <protection/>
    </xf>
    <xf numFmtId="179" fontId="10" fillId="3" borderId="0" xfId="22" applyFont="1" applyFill="1" applyBorder="1" applyAlignment="1">
      <alignment/>
      <protection/>
    </xf>
    <xf numFmtId="179" fontId="10" fillId="4" borderId="0" xfId="22" applyFont="1" applyFill="1" applyBorder="1" applyAlignment="1">
      <alignment/>
      <protection/>
    </xf>
    <xf numFmtId="179" fontId="10" fillId="5" borderId="0" xfId="22" applyFont="1" applyFill="1" applyBorder="1" applyAlignment="1">
      <alignment/>
      <protection/>
    </xf>
    <xf numFmtId="179" fontId="10" fillId="7" borderId="0" xfId="22" applyFont="1" applyFill="1" applyBorder="1" applyAlignment="1">
      <alignment/>
      <protection/>
    </xf>
    <xf numFmtId="179" fontId="10" fillId="2" borderId="0" xfId="22" applyFont="1" applyFill="1" applyBorder="1" applyAlignment="1">
      <alignment/>
      <protection/>
    </xf>
    <xf numFmtId="179" fontId="0" fillId="7" borderId="0" xfId="22" applyFont="1" applyFill="1" applyBorder="1" applyAlignment="1">
      <alignment/>
      <protection/>
    </xf>
    <xf numFmtId="179" fontId="0" fillId="2" borderId="0" xfId="22" applyFont="1" applyFill="1" applyBorder="1" applyAlignment="1">
      <alignment/>
      <protection/>
    </xf>
    <xf numFmtId="1" fontId="0" fillId="2" borderId="0" xfId="22" applyNumberFormat="1" applyFont="1" applyFill="1" applyBorder="1" applyAlignment="1">
      <alignment horizontal="right"/>
      <protection/>
    </xf>
    <xf numFmtId="174" fontId="23" fillId="0" borderId="9" xfId="15" applyNumberFormat="1" applyFont="1" applyBorder="1" applyAlignment="1">
      <alignment/>
    </xf>
    <xf numFmtId="174" fontId="23" fillId="0" borderId="9" xfId="15" applyNumberFormat="1" applyFont="1" applyBorder="1" applyAlignment="1">
      <alignment/>
    </xf>
    <xf numFmtId="174" fontId="23" fillId="0" borderId="9" xfId="15" applyNumberFormat="1" applyFont="1" applyFill="1" applyBorder="1" applyAlignment="1">
      <alignment/>
    </xf>
    <xf numFmtId="174" fontId="0" fillId="8" borderId="9" xfId="15" applyNumberFormat="1" applyFont="1" applyFill="1" applyBorder="1" applyAlignment="1">
      <alignment/>
    </xf>
    <xf numFmtId="174" fontId="23" fillId="0" borderId="9" xfId="15" applyNumberFormat="1" applyFont="1" applyFill="1" applyBorder="1" applyAlignment="1">
      <alignment/>
    </xf>
    <xf numFmtId="174" fontId="23" fillId="9" borderId="9" xfId="15" applyNumberFormat="1" applyFont="1" applyFill="1" applyBorder="1" applyAlignment="1">
      <alignment/>
    </xf>
    <xf numFmtId="174" fontId="18" fillId="8" borderId="9" xfId="15" applyNumberFormat="1" applyFont="1" applyFill="1" applyBorder="1" applyAlignment="1">
      <alignment/>
    </xf>
    <xf numFmtId="174" fontId="26" fillId="0" borderId="9" xfId="15" applyNumberFormat="1" applyFont="1" applyBorder="1" applyAlignment="1">
      <alignment/>
    </xf>
    <xf numFmtId="179" fontId="0" fillId="2" borderId="21" xfId="21" applyFont="1" applyFill="1" applyBorder="1" applyAlignment="1">
      <alignment horizontal="center"/>
      <protection/>
    </xf>
    <xf numFmtId="179" fontId="10" fillId="3" borderId="21" xfId="21" applyFont="1" applyFill="1" applyBorder="1" applyAlignment="1">
      <alignment horizontal="center"/>
      <protection/>
    </xf>
    <xf numFmtId="179" fontId="10" fillId="4" borderId="21" xfId="21" applyFont="1" applyFill="1" applyBorder="1" applyAlignment="1">
      <alignment horizontal="center"/>
      <protection/>
    </xf>
    <xf numFmtId="179" fontId="10" fillId="5" borderId="21" xfId="21" applyFont="1" applyFill="1" applyBorder="1" applyAlignment="1">
      <alignment horizontal="center"/>
      <protection/>
    </xf>
    <xf numFmtId="179" fontId="10" fillId="2" borderId="21" xfId="21" applyFont="1" applyFill="1" applyBorder="1" applyAlignment="1">
      <alignment horizontal="center"/>
      <protection/>
    </xf>
    <xf numFmtId="179" fontId="0" fillId="10" borderId="21" xfId="21" applyFont="1" applyFill="1" applyBorder="1" applyAlignment="1">
      <alignment horizontal="center"/>
      <protection/>
    </xf>
    <xf numFmtId="179" fontId="10" fillId="6" borderId="21" xfId="21" applyFont="1" applyFill="1" applyBorder="1" applyAlignment="1">
      <alignment horizontal="center"/>
      <protection/>
    </xf>
    <xf numFmtId="179" fontId="0" fillId="3" borderId="21" xfId="21" applyFont="1" applyFill="1" applyBorder="1" applyAlignment="1">
      <alignment horizontal="center"/>
      <protection/>
    </xf>
    <xf numFmtId="0" fontId="0" fillId="0" borderId="0" xfId="0" applyFont="1" applyFill="1" applyBorder="1" applyAlignment="1">
      <alignment/>
    </xf>
    <xf numFmtId="0" fontId="0" fillId="11" borderId="10" xfId="0" applyFont="1" applyFill="1" applyBorder="1" applyAlignment="1">
      <alignment/>
    </xf>
    <xf numFmtId="0" fontId="0" fillId="11" borderId="10" xfId="0" applyFont="1" applyFill="1" applyBorder="1" applyAlignment="1">
      <alignment wrapText="1"/>
    </xf>
    <xf numFmtId="0" fontId="0" fillId="11" borderId="13" xfId="0" applyFont="1" applyFill="1" applyBorder="1" applyAlignment="1">
      <alignment horizontal="center" wrapText="1"/>
    </xf>
    <xf numFmtId="0" fontId="0" fillId="11" borderId="13"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3" fontId="16" fillId="0" borderId="9" xfId="0" applyNumberFormat="1" applyFont="1" applyBorder="1" applyAlignment="1">
      <alignment/>
    </xf>
    <xf numFmtId="179" fontId="0" fillId="8" borderId="0" xfId="22" applyFont="1" applyFill="1" applyBorder="1" applyAlignment="1">
      <alignment horizontal="left"/>
      <protection/>
    </xf>
    <xf numFmtId="0" fontId="0" fillId="11" borderId="12" xfId="0" applyFont="1" applyFill="1" applyBorder="1" applyAlignment="1">
      <alignment horizontal="center" wrapText="1"/>
    </xf>
    <xf numFmtId="174" fontId="23" fillId="0" borderId="6" xfId="15" applyNumberFormat="1" applyFont="1" applyBorder="1" applyAlignment="1">
      <alignment/>
    </xf>
    <xf numFmtId="174" fontId="23" fillId="0" borderId="6" xfId="15" applyNumberFormat="1" applyFont="1" applyFill="1" applyBorder="1" applyAlignment="1">
      <alignment/>
    </xf>
    <xf numFmtId="174" fontId="23" fillId="0" borderId="6" xfId="15" applyNumberFormat="1" applyFont="1" applyBorder="1" applyAlignment="1">
      <alignment/>
    </xf>
    <xf numFmtId="174" fontId="26" fillId="0" borderId="6" xfId="15" applyNumberFormat="1" applyFont="1" applyBorder="1" applyAlignment="1">
      <alignment/>
    </xf>
    <xf numFmtId="0" fontId="0" fillId="0" borderId="8" xfId="0" applyBorder="1" applyAlignment="1">
      <alignment/>
    </xf>
    <xf numFmtId="0" fontId="0" fillId="0" borderId="22" xfId="0" applyBorder="1" applyAlignment="1">
      <alignment/>
    </xf>
    <xf numFmtId="0" fontId="1" fillId="0" borderId="0" xfId="23" applyFont="1" applyFill="1" applyBorder="1" applyAlignment="1">
      <alignment horizontal="left"/>
      <protection/>
    </xf>
    <xf numFmtId="0" fontId="1" fillId="0" borderId="17" xfId="23" applyFont="1" applyFill="1" applyBorder="1" applyAlignment="1">
      <alignment horizontal="left"/>
      <protection/>
    </xf>
    <xf numFmtId="0" fontId="27" fillId="0" borderId="12" xfId="23" applyFont="1" applyFill="1" applyBorder="1" applyAlignment="1">
      <alignment horizontal="left"/>
      <protection/>
    </xf>
    <xf numFmtId="0" fontId="1" fillId="0" borderId="10" xfId="23" applyFont="1" applyFill="1" applyBorder="1" applyAlignment="1">
      <alignment horizontal="left"/>
      <protection/>
    </xf>
    <xf numFmtId="0" fontId="1" fillId="0" borderId="0" xfId="0" applyFont="1" applyFill="1" applyBorder="1" applyAlignment="1">
      <alignment/>
    </xf>
    <xf numFmtId="3" fontId="28" fillId="0" borderId="0" xfId="27" applyFont="1" applyFill="1" applyBorder="1" applyProtection="1">
      <alignment/>
      <protection/>
    </xf>
    <xf numFmtId="1" fontId="28" fillId="0" borderId="0" xfId="27" applyNumberFormat="1" applyFont="1" applyFill="1" applyBorder="1" applyAlignment="1" applyProtection="1">
      <alignment horizontal="center"/>
      <protection/>
    </xf>
    <xf numFmtId="0" fontId="1" fillId="0" borderId="0" xfId="0" applyFont="1" applyBorder="1" applyAlignment="1">
      <alignment/>
    </xf>
    <xf numFmtId="3" fontId="29" fillId="9" borderId="18" xfId="0" applyNumberFormat="1" applyFont="1" applyFill="1" applyBorder="1" applyAlignment="1">
      <alignment horizontal="left"/>
    </xf>
    <xf numFmtId="0" fontId="1" fillId="8" borderId="18" xfId="0" applyFont="1" applyFill="1" applyBorder="1" applyAlignment="1">
      <alignment/>
    </xf>
    <xf numFmtId="0" fontId="30" fillId="0" borderId="18" xfId="0" applyFont="1" applyBorder="1" applyAlignment="1">
      <alignment/>
    </xf>
    <xf numFmtId="0" fontId="1" fillId="7" borderId="18" xfId="0" applyFont="1" applyFill="1" applyBorder="1" applyAlignment="1">
      <alignment/>
    </xf>
    <xf numFmtId="0" fontId="30" fillId="9" borderId="18" xfId="0" applyFont="1" applyFill="1" applyBorder="1" applyAlignment="1">
      <alignment/>
    </xf>
    <xf numFmtId="0" fontId="30" fillId="0" borderId="19" xfId="0" applyFont="1" applyBorder="1" applyAlignment="1">
      <alignment/>
    </xf>
    <xf numFmtId="0" fontId="1" fillId="0" borderId="3" xfId="0" applyFont="1" applyBorder="1" applyAlignment="1">
      <alignment/>
    </xf>
    <xf numFmtId="0" fontId="1" fillId="0" borderId="3" xfId="0" applyFont="1" applyFill="1" applyBorder="1" applyAlignment="1">
      <alignment wrapText="1"/>
    </xf>
    <xf numFmtId="0" fontId="1" fillId="0" borderId="3" xfId="0" applyFont="1" applyFill="1" applyBorder="1" applyAlignment="1">
      <alignment horizontal="center" wrapText="1"/>
    </xf>
    <xf numFmtId="0" fontId="16" fillId="0" borderId="6" xfId="0" applyFont="1" applyBorder="1" applyAlignment="1">
      <alignment horizontal="right"/>
    </xf>
    <xf numFmtId="0" fontId="0" fillId="0" borderId="23" xfId="0" applyBorder="1" applyAlignment="1">
      <alignment/>
    </xf>
    <xf numFmtId="172" fontId="0" fillId="0" borderId="0" xfId="30" applyNumberFormat="1" applyFont="1" applyFill="1" applyBorder="1" applyAlignment="1">
      <alignment horizontal="right"/>
    </xf>
    <xf numFmtId="172" fontId="0" fillId="0" borderId="24" xfId="30" applyNumberFormat="1" applyFont="1" applyFill="1" applyBorder="1" applyAlignment="1">
      <alignment horizontal="right"/>
    </xf>
    <xf numFmtId="172" fontId="0" fillId="0" borderId="17" xfId="30" applyNumberFormat="1" applyFont="1" applyFill="1" applyBorder="1" applyAlignment="1">
      <alignment horizontal="right"/>
    </xf>
    <xf numFmtId="2" fontId="0" fillId="0" borderId="0" xfId="30" applyNumberFormat="1" applyFont="1" applyFill="1" applyBorder="1" applyAlignment="1">
      <alignment horizontal="right"/>
    </xf>
    <xf numFmtId="172" fontId="0" fillId="0" borderId="3" xfId="30" applyNumberFormat="1" applyFont="1" applyFill="1" applyBorder="1" applyAlignment="1">
      <alignment horizontal="right"/>
    </xf>
    <xf numFmtId="172" fontId="0" fillId="0" borderId="25" xfId="30" applyNumberFormat="1" applyFont="1" applyFill="1" applyBorder="1" applyAlignment="1">
      <alignment horizontal="right"/>
    </xf>
    <xf numFmtId="2" fontId="0" fillId="0" borderId="17" xfId="30" applyNumberFormat="1" applyFont="1" applyFill="1" applyBorder="1" applyAlignment="1">
      <alignment horizontal="right"/>
    </xf>
    <xf numFmtId="180" fontId="0" fillId="0" borderId="17" xfId="30" applyNumberFormat="1" applyFont="1" applyFill="1" applyBorder="1" applyAlignment="1">
      <alignment horizontal="right"/>
    </xf>
    <xf numFmtId="180" fontId="0" fillId="0" borderId="0" xfId="30" applyNumberFormat="1" applyFont="1" applyFill="1" applyBorder="1" applyAlignment="1">
      <alignment horizontal="right"/>
    </xf>
    <xf numFmtId="0" fontId="0" fillId="0" borderId="11" xfId="0" applyFont="1" applyFill="1" applyBorder="1" applyAlignment="1">
      <alignment horizontal="left"/>
    </xf>
    <xf numFmtId="2" fontId="0" fillId="0" borderId="25" xfId="30" applyNumberFormat="1" applyFont="1" applyFill="1" applyBorder="1" applyAlignment="1">
      <alignment horizontal="right"/>
    </xf>
    <xf numFmtId="2" fontId="0" fillId="0" borderId="3" xfId="30" applyNumberFormat="1" applyFont="1" applyFill="1" applyBorder="1" applyAlignment="1">
      <alignment horizontal="right"/>
    </xf>
    <xf numFmtId="0" fontId="16" fillId="0" borderId="10" xfId="0" applyFont="1" applyBorder="1" applyAlignment="1">
      <alignment horizontal="centerContinuous"/>
    </xf>
    <xf numFmtId="0" fontId="16" fillId="0" borderId="15" xfId="0" applyFont="1" applyBorder="1" applyAlignment="1">
      <alignment horizontal="centerContinuous"/>
    </xf>
    <xf numFmtId="0" fontId="16" fillId="0" borderId="12" xfId="0" applyFont="1" applyBorder="1" applyAlignment="1">
      <alignment horizontal="centerContinuous"/>
    </xf>
    <xf numFmtId="0" fontId="0" fillId="0" borderId="19" xfId="0" applyBorder="1" applyAlignment="1">
      <alignment/>
    </xf>
    <xf numFmtId="0" fontId="0" fillId="0" borderId="16" xfId="0" applyBorder="1" applyAlignment="1">
      <alignment/>
    </xf>
    <xf numFmtId="0" fontId="16" fillId="0" borderId="12" xfId="0" applyFont="1" applyBorder="1" applyAlignment="1">
      <alignment horizontal="center" wrapText="1"/>
    </xf>
    <xf numFmtId="172" fontId="0" fillId="0" borderId="20" xfId="0" applyNumberFormat="1" applyBorder="1" applyAlignment="1">
      <alignment horizontal="center"/>
    </xf>
    <xf numFmtId="172" fontId="0" fillId="0" borderId="19" xfId="0" applyNumberFormat="1" applyBorder="1" applyAlignment="1">
      <alignment/>
    </xf>
    <xf numFmtId="172" fontId="0" fillId="0" borderId="0" xfId="0" applyNumberFormat="1" applyAlignment="1">
      <alignment/>
    </xf>
    <xf numFmtId="49" fontId="1" fillId="0" borderId="0" xfId="0" applyNumberFormat="1" applyFont="1" applyAlignment="1" quotePrefix="1">
      <alignment horizontal="right"/>
    </xf>
    <xf numFmtId="0" fontId="0" fillId="0" borderId="4" xfId="0" applyBorder="1" applyAlignment="1">
      <alignment/>
    </xf>
    <xf numFmtId="0" fontId="0" fillId="0" borderId="4" xfId="0" applyFont="1" applyBorder="1" applyAlignment="1">
      <alignment/>
    </xf>
    <xf numFmtId="0" fontId="0" fillId="0" borderId="5" xfId="0" applyFont="1" applyBorder="1" applyAlignment="1">
      <alignment/>
    </xf>
    <xf numFmtId="0" fontId="0" fillId="0" borderId="4" xfId="0" applyFont="1" applyBorder="1" applyAlignment="1">
      <alignment/>
    </xf>
    <xf numFmtId="9" fontId="0" fillId="0" borderId="5" xfId="0" applyNumberFormat="1" applyFont="1" applyBorder="1" applyAlignment="1">
      <alignment/>
    </xf>
    <xf numFmtId="9" fontId="0" fillId="0" borderId="5" xfId="0" applyNumberFormat="1" applyFont="1" applyBorder="1" applyAlignment="1">
      <alignment/>
    </xf>
    <xf numFmtId="9" fontId="0" fillId="0" borderId="26" xfId="0" applyNumberFormat="1" applyFont="1" applyBorder="1" applyAlignment="1">
      <alignment/>
    </xf>
    <xf numFmtId="179" fontId="0" fillId="2" borderId="0" xfId="21" applyFont="1" applyFill="1" applyBorder="1" applyAlignment="1">
      <alignment horizontal="center"/>
      <protection/>
    </xf>
    <xf numFmtId="174" fontId="23" fillId="0" borderId="18" xfId="15" applyNumberFormat="1" applyFont="1" applyBorder="1" applyAlignment="1">
      <alignment horizontal="center"/>
    </xf>
    <xf numFmtId="179" fontId="0" fillId="6" borderId="0" xfId="21" applyFont="1" applyFill="1" applyBorder="1" applyAlignment="1">
      <alignment horizontal="center"/>
      <protection/>
    </xf>
    <xf numFmtId="179" fontId="10" fillId="3" borderId="0" xfId="21" applyFont="1" applyFill="1" applyBorder="1" applyAlignment="1">
      <alignment horizontal="center"/>
      <protection/>
    </xf>
    <xf numFmtId="179" fontId="10" fillId="4" borderId="0" xfId="21" applyFont="1" applyFill="1" applyBorder="1" applyAlignment="1">
      <alignment horizontal="center"/>
      <protection/>
    </xf>
    <xf numFmtId="179" fontId="10" fillId="5" borderId="0" xfId="21" applyFont="1" applyFill="1" applyBorder="1" applyAlignment="1">
      <alignment horizontal="center"/>
      <protection/>
    </xf>
    <xf numFmtId="179" fontId="10" fillId="2" borderId="0" xfId="21" applyFont="1" applyFill="1" applyBorder="1" applyAlignment="1">
      <alignment horizontal="center"/>
      <protection/>
    </xf>
    <xf numFmtId="174" fontId="0" fillId="7" borderId="9" xfId="15" applyNumberFormat="1" applyFont="1" applyFill="1" applyBorder="1" applyAlignment="1">
      <alignment/>
    </xf>
    <xf numFmtId="3" fontId="10" fillId="5" borderId="0" xfId="26" applyFont="1" applyFill="1" applyBorder="1" applyAlignment="1" applyProtection="1">
      <alignment/>
      <protection/>
    </xf>
    <xf numFmtId="1" fontId="0" fillId="8" borderId="0" xfId="22" applyNumberFormat="1" applyFont="1" applyFill="1" applyBorder="1" applyAlignment="1">
      <alignment horizontal="center"/>
      <protection/>
    </xf>
    <xf numFmtId="1" fontId="0" fillId="8" borderId="0" xfId="26" applyNumberFormat="1" applyFont="1" applyFill="1" applyBorder="1" applyAlignment="1">
      <alignment horizontal="center"/>
      <protection/>
    </xf>
    <xf numFmtId="179" fontId="0" fillId="8" borderId="0" xfId="25" applyFont="1" applyFill="1" applyBorder="1" applyAlignment="1">
      <alignment horizontal="center"/>
      <protection/>
    </xf>
    <xf numFmtId="3" fontId="0" fillId="8" borderId="0" xfId="26" applyFont="1" applyFill="1" applyBorder="1" applyAlignment="1">
      <alignment horizontal="left"/>
      <protection/>
    </xf>
    <xf numFmtId="179" fontId="0" fillId="8" borderId="21" xfId="21" applyFont="1" applyFill="1" applyBorder="1" applyAlignment="1">
      <alignment horizontal="center"/>
      <protection/>
    </xf>
    <xf numFmtId="179" fontId="10" fillId="6" borderId="0" xfId="21" applyFont="1" applyFill="1" applyBorder="1" applyAlignment="1">
      <alignment horizontal="center"/>
      <protection/>
    </xf>
    <xf numFmtId="174" fontId="17" fillId="0" borderId="18" xfId="15" applyNumberFormat="1" applyFont="1" applyBorder="1" applyAlignment="1">
      <alignment/>
    </xf>
    <xf numFmtId="179" fontId="0" fillId="3" borderId="0" xfId="21" applyFont="1" applyFill="1" applyBorder="1" applyAlignment="1">
      <alignment horizontal="center"/>
      <protection/>
    </xf>
    <xf numFmtId="174" fontId="0" fillId="8" borderId="18" xfId="15" applyNumberFormat="1" applyFont="1" applyFill="1" applyBorder="1" applyAlignment="1">
      <alignment horizontal="center"/>
    </xf>
    <xf numFmtId="174" fontId="23" fillId="0" borderId="18" xfId="15" applyNumberFormat="1" applyFont="1" applyBorder="1" applyAlignment="1">
      <alignment horizontal="center"/>
    </xf>
    <xf numFmtId="174" fontId="23" fillId="0" borderId="18" xfId="15" applyNumberFormat="1" applyFont="1" applyBorder="1" applyAlignment="1">
      <alignment horizontal="right"/>
    </xf>
    <xf numFmtId="49" fontId="12" fillId="8" borderId="18" xfId="15" applyNumberFormat="1" applyFont="1" applyFill="1" applyBorder="1" applyAlignment="1">
      <alignment horizontal="right"/>
    </xf>
    <xf numFmtId="174" fontId="24" fillId="8" borderId="18" xfId="15" applyNumberFormat="1" applyFont="1" applyFill="1" applyBorder="1" applyAlignment="1">
      <alignment horizontal="center"/>
    </xf>
    <xf numFmtId="174" fontId="24" fillId="8" borderId="18" xfId="15" applyNumberFormat="1" applyFont="1" applyFill="1" applyBorder="1" applyAlignment="1">
      <alignment horizontal="right"/>
    </xf>
    <xf numFmtId="3" fontId="24" fillId="0" borderId="11" xfId="27" applyFont="1" applyFill="1" applyBorder="1" applyAlignment="1" applyProtection="1">
      <alignment wrapText="1"/>
      <protection/>
    </xf>
    <xf numFmtId="0" fontId="34" fillId="0" borderId="0" xfId="0" applyFont="1" applyAlignment="1">
      <alignment wrapText="1"/>
    </xf>
    <xf numFmtId="174" fontId="17" fillId="9" borderId="18" xfId="15" applyNumberFormat="1" applyFont="1" applyFill="1" applyBorder="1" applyAlignment="1">
      <alignment/>
    </xf>
    <xf numFmtId="174" fontId="23" fillId="0" borderId="18" xfId="15" applyNumberFormat="1" applyFont="1" applyBorder="1" applyAlignment="1">
      <alignment/>
    </xf>
    <xf numFmtId="174" fontId="23" fillId="0" borderId="18" xfId="15" applyNumberFormat="1" applyFont="1" applyFill="1" applyBorder="1" applyAlignment="1">
      <alignment/>
    </xf>
    <xf numFmtId="174" fontId="23" fillId="0" borderId="18" xfId="15" applyNumberFormat="1" applyFont="1" applyFill="1" applyBorder="1" applyAlignment="1">
      <alignment/>
    </xf>
    <xf numFmtId="174" fontId="23" fillId="0" borderId="18" xfId="15" applyNumberFormat="1" applyFont="1" applyBorder="1" applyAlignment="1">
      <alignment/>
    </xf>
    <xf numFmtId="179" fontId="0" fillId="8" borderId="0" xfId="22" applyFont="1" applyFill="1" applyBorder="1" applyAlignment="1">
      <alignment/>
      <protection/>
    </xf>
    <xf numFmtId="174" fontId="23" fillId="0" borderId="19" xfId="15" applyNumberFormat="1" applyFont="1" applyBorder="1" applyAlignment="1">
      <alignment/>
    </xf>
    <xf numFmtId="174" fontId="23" fillId="0" borderId="19" xfId="15" applyNumberFormat="1" applyFont="1" applyBorder="1" applyAlignment="1">
      <alignment/>
    </xf>
    <xf numFmtId="0" fontId="17" fillId="0" borderId="0" xfId="23" applyFont="1" applyFill="1" applyBorder="1" applyAlignment="1">
      <alignment/>
      <protection/>
    </xf>
    <xf numFmtId="179" fontId="0" fillId="8" borderId="0" xfId="25" applyFont="1" applyFill="1" applyBorder="1" applyAlignment="1">
      <alignment/>
      <protection/>
    </xf>
    <xf numFmtId="3" fontId="0" fillId="8" borderId="0" xfId="26" applyFont="1" applyFill="1" applyBorder="1" applyAlignment="1">
      <alignment/>
      <protection/>
    </xf>
    <xf numFmtId="174" fontId="0" fillId="8" borderId="18" xfId="15" applyNumberFormat="1" applyFont="1" applyFill="1" applyBorder="1" applyAlignment="1">
      <alignment/>
    </xf>
    <xf numFmtId="174" fontId="17" fillId="0" borderId="18" xfId="15" applyNumberFormat="1" applyFont="1" applyFill="1" applyBorder="1" applyAlignment="1">
      <alignment/>
    </xf>
    <xf numFmtId="174" fontId="17" fillId="0" borderId="18" xfId="15" applyNumberFormat="1" applyFont="1" applyBorder="1" applyAlignment="1">
      <alignment/>
    </xf>
    <xf numFmtId="174" fontId="17" fillId="0" borderId="18" xfId="15" applyNumberFormat="1" applyFont="1" applyBorder="1" applyAlignment="1">
      <alignment horizontal="centerContinuous"/>
    </xf>
    <xf numFmtId="174" fontId="23" fillId="0" borderId="18" xfId="15" applyNumberFormat="1" applyFont="1" applyBorder="1" applyAlignment="1">
      <alignment horizontal="centerContinuous"/>
    </xf>
    <xf numFmtId="174" fontId="23" fillId="9" borderId="18" xfId="15" applyNumberFormat="1" applyFont="1" applyFill="1" applyBorder="1" applyAlignment="1">
      <alignment/>
    </xf>
    <xf numFmtId="174" fontId="24" fillId="8" borderId="18" xfId="15" applyNumberFormat="1" applyFont="1" applyFill="1" applyBorder="1" applyAlignment="1">
      <alignment/>
    </xf>
    <xf numFmtId="174" fontId="18" fillId="8" borderId="18" xfId="15" applyNumberFormat="1" applyFont="1" applyFill="1" applyBorder="1" applyAlignment="1">
      <alignment/>
    </xf>
    <xf numFmtId="174" fontId="33" fillId="0" borderId="18" xfId="15" applyNumberFormat="1" applyFont="1" applyBorder="1" applyAlignment="1">
      <alignment/>
    </xf>
    <xf numFmtId="174" fontId="26" fillId="0" borderId="18" xfId="15" applyNumberFormat="1" applyFont="1" applyBorder="1" applyAlignment="1">
      <alignment/>
    </xf>
    <xf numFmtId="179" fontId="0" fillId="8" borderId="0" xfId="21" applyFont="1" applyFill="1" applyBorder="1" applyAlignment="1">
      <alignment/>
      <protection/>
    </xf>
    <xf numFmtId="179" fontId="10" fillId="7" borderId="0" xfId="21" applyFont="1" applyFill="1" applyBorder="1" applyAlignment="1">
      <alignment horizontal="center"/>
      <protection/>
    </xf>
    <xf numFmtId="179" fontId="0" fillId="6" borderId="17" xfId="21" applyFont="1" applyFill="1" applyBorder="1" applyAlignment="1">
      <alignment horizontal="center"/>
      <protection/>
    </xf>
    <xf numFmtId="179" fontId="10" fillId="3" borderId="17" xfId="21" applyFont="1" applyFill="1" applyBorder="1" applyAlignment="1">
      <alignment horizontal="center"/>
      <protection/>
    </xf>
    <xf numFmtId="179" fontId="0" fillId="12" borderId="21" xfId="29" applyNumberFormat="1" applyFont="1" applyFill="1" applyBorder="1" applyAlignment="1" applyProtection="1">
      <alignment horizontal="center"/>
      <protection/>
    </xf>
    <xf numFmtId="179" fontId="10" fillId="5" borderId="17" xfId="21" applyFont="1" applyFill="1" applyBorder="1" applyAlignment="1">
      <alignment horizontal="center"/>
      <protection/>
    </xf>
    <xf numFmtId="174" fontId="0" fillId="7" borderId="18" xfId="15" applyNumberFormat="1" applyFont="1" applyFill="1" applyBorder="1" applyAlignment="1">
      <alignment/>
    </xf>
    <xf numFmtId="174" fontId="17" fillId="9" borderId="9" xfId="15" applyNumberFormat="1" applyFont="1" applyFill="1" applyBorder="1" applyAlignment="1">
      <alignment/>
    </xf>
    <xf numFmtId="3" fontId="0" fillId="0" borderId="18" xfId="0" applyNumberFormat="1" applyFont="1" applyBorder="1" applyAlignment="1">
      <alignment/>
    </xf>
    <xf numFmtId="3" fontId="0" fillId="0" borderId="9" xfId="0" applyNumberFormat="1" applyFont="1" applyBorder="1" applyAlignment="1">
      <alignment/>
    </xf>
    <xf numFmtId="174" fontId="23" fillId="0" borderId="0" xfId="15" applyNumberFormat="1" applyFont="1" applyBorder="1" applyAlignment="1">
      <alignment/>
    </xf>
    <xf numFmtId="3" fontId="16" fillId="0" borderId="18" xfId="0" applyNumberFormat="1" applyFont="1" applyBorder="1" applyAlignment="1">
      <alignment/>
    </xf>
    <xf numFmtId="174" fontId="25" fillId="11" borderId="18" xfId="15" applyNumberFormat="1" applyFont="1" applyFill="1" applyBorder="1" applyAlignment="1">
      <alignment/>
    </xf>
    <xf numFmtId="174" fontId="17" fillId="0" borderId="0" xfId="15" applyNumberFormat="1" applyFont="1" applyBorder="1" applyAlignment="1">
      <alignment/>
    </xf>
    <xf numFmtId="174" fontId="17" fillId="0" borderId="0" xfId="15" applyNumberFormat="1" applyFont="1" applyBorder="1" applyAlignment="1">
      <alignment/>
    </xf>
    <xf numFmtId="174" fontId="33" fillId="0" borderId="9" xfId="15" applyNumberFormat="1" applyFont="1" applyBorder="1" applyAlignment="1">
      <alignment/>
    </xf>
    <xf numFmtId="174" fontId="33" fillId="0" borderId="0" xfId="15" applyNumberFormat="1" applyFont="1" applyBorder="1" applyAlignment="1">
      <alignment/>
    </xf>
    <xf numFmtId="3" fontId="16" fillId="0" borderId="9" xfId="0" applyNumberFormat="1" applyFont="1" applyBorder="1" applyAlignment="1">
      <alignment/>
    </xf>
    <xf numFmtId="3" fontId="16" fillId="0" borderId="18" xfId="0" applyNumberFormat="1" applyFont="1" applyBorder="1" applyAlignment="1">
      <alignment/>
    </xf>
    <xf numFmtId="174" fontId="17" fillId="8" borderId="9" xfId="15" applyNumberFormat="1" applyFont="1" applyFill="1" applyBorder="1" applyAlignment="1">
      <alignment/>
    </xf>
    <xf numFmtId="174" fontId="26" fillId="0" borderId="0" xfId="15" applyNumberFormat="1" applyFont="1" applyBorder="1" applyAlignment="1">
      <alignment/>
    </xf>
    <xf numFmtId="174" fontId="23" fillId="0" borderId="19" xfId="15" applyNumberFormat="1" applyFont="1" applyFill="1" applyBorder="1" applyAlignment="1">
      <alignment/>
    </xf>
    <xf numFmtId="174" fontId="26" fillId="0" borderId="19" xfId="15" applyNumberFormat="1" applyFont="1" applyBorder="1" applyAlignment="1">
      <alignment/>
    </xf>
    <xf numFmtId="174" fontId="23" fillId="0" borderId="19" xfId="15" applyNumberFormat="1" applyFont="1" applyBorder="1" applyAlignment="1">
      <alignment horizontal="center"/>
    </xf>
    <xf numFmtId="174" fontId="23" fillId="0" borderId="19" xfId="15" applyNumberFormat="1" applyFont="1" applyBorder="1" applyAlignment="1">
      <alignment horizontal="centerContinuous"/>
    </xf>
    <xf numFmtId="174" fontId="0" fillId="7" borderId="18" xfId="15" applyNumberFormat="1" applyFont="1" applyFill="1" applyBorder="1" applyAlignment="1">
      <alignment/>
    </xf>
    <xf numFmtId="174" fontId="0" fillId="8" borderId="18" xfId="15" applyNumberFormat="1" applyFont="1" applyFill="1" applyBorder="1" applyAlignment="1">
      <alignment/>
    </xf>
    <xf numFmtId="0" fontId="0" fillId="0" borderId="0" xfId="23" applyFont="1" applyFill="1" applyBorder="1" applyAlignment="1">
      <alignment/>
      <protection/>
    </xf>
    <xf numFmtId="174" fontId="0" fillId="8" borderId="18" xfId="15" applyNumberFormat="1" applyFont="1" applyFill="1" applyBorder="1" applyAlignment="1">
      <alignment horizontal="center"/>
    </xf>
    <xf numFmtId="174" fontId="0" fillId="7" borderId="0" xfId="15" applyNumberFormat="1" applyFont="1" applyFill="1" applyBorder="1" applyAlignment="1">
      <alignment/>
    </xf>
    <xf numFmtId="174" fontId="0" fillId="8" borderId="9" xfId="15" applyNumberFormat="1" applyFont="1" applyFill="1" applyBorder="1" applyAlignment="1">
      <alignment/>
    </xf>
    <xf numFmtId="174" fontId="0" fillId="7" borderId="9" xfId="15" applyNumberFormat="1" applyFont="1" applyFill="1" applyBorder="1" applyAlignment="1">
      <alignment/>
    </xf>
    <xf numFmtId="0" fontId="0" fillId="4" borderId="0" xfId="23" applyFont="1" applyFill="1" applyBorder="1" applyAlignment="1">
      <alignment/>
      <protection/>
    </xf>
    <xf numFmtId="3" fontId="0" fillId="8" borderId="9" xfId="15" applyNumberFormat="1" applyFont="1" applyFill="1" applyBorder="1" applyAlignment="1">
      <alignment/>
    </xf>
    <xf numFmtId="3" fontId="0" fillId="8" borderId="18" xfId="15" applyNumberFormat="1" applyFont="1" applyFill="1" applyBorder="1" applyAlignment="1">
      <alignment/>
    </xf>
    <xf numFmtId="174" fontId="0" fillId="13" borderId="9" xfId="15" applyNumberFormat="1" applyFont="1" applyFill="1" applyBorder="1" applyAlignment="1">
      <alignment/>
    </xf>
    <xf numFmtId="0" fontId="0" fillId="0" borderId="0" xfId="24" applyFont="1" applyFill="1" applyBorder="1" applyAlignment="1">
      <alignment/>
      <protection/>
    </xf>
    <xf numFmtId="174" fontId="0" fillId="8" borderId="18" xfId="15" applyNumberFormat="1" applyFont="1" applyFill="1" applyBorder="1" applyAlignment="1">
      <alignment horizontal="right"/>
    </xf>
    <xf numFmtId="0" fontId="0" fillId="0" borderId="0" xfId="0" applyFont="1" applyBorder="1" applyAlignment="1">
      <alignment/>
    </xf>
    <xf numFmtId="174" fontId="0" fillId="8" borderId="9" xfId="15" applyNumberFormat="1" applyFont="1" applyFill="1" applyBorder="1" applyAlignment="1">
      <alignment/>
    </xf>
    <xf numFmtId="0" fontId="0" fillId="0" borderId="9" xfId="0" applyFont="1" applyBorder="1" applyAlignment="1">
      <alignment/>
    </xf>
    <xf numFmtId="0" fontId="0" fillId="0" borderId="18" xfId="0" applyFont="1" applyBorder="1" applyAlignment="1">
      <alignment/>
    </xf>
    <xf numFmtId="174" fontId="0" fillId="8" borderId="18" xfId="15" applyNumberFormat="1" applyFont="1" applyFill="1" applyBorder="1" applyAlignment="1">
      <alignment/>
    </xf>
    <xf numFmtId="0" fontId="0" fillId="0" borderId="18" xfId="0" applyFont="1" applyBorder="1" applyAlignment="1">
      <alignment/>
    </xf>
    <xf numFmtId="0" fontId="0" fillId="0" borderId="9" xfId="0" applyFont="1" applyBorder="1" applyAlignment="1">
      <alignment/>
    </xf>
    <xf numFmtId="0" fontId="0" fillId="0" borderId="0" xfId="0" applyFont="1" applyBorder="1" applyAlignment="1">
      <alignment/>
    </xf>
    <xf numFmtId="174" fontId="0" fillId="8" borderId="14" xfId="15" applyNumberFormat="1" applyFont="1" applyFill="1" applyBorder="1" applyAlignment="1">
      <alignment/>
    </xf>
    <xf numFmtId="174" fontId="0" fillId="8" borderId="11" xfId="15" applyNumberFormat="1" applyFont="1" applyFill="1" applyBorder="1" applyAlignment="1">
      <alignment/>
    </xf>
    <xf numFmtId="174" fontId="0" fillId="8" borderId="24" xfId="15" applyNumberFormat="1" applyFont="1" applyFill="1" applyBorder="1" applyAlignment="1">
      <alignment/>
    </xf>
    <xf numFmtId="174" fontId="23" fillId="0" borderId="14" xfId="15" applyNumberFormat="1" applyFont="1" applyBorder="1" applyAlignment="1">
      <alignment/>
    </xf>
    <xf numFmtId="174" fontId="23" fillId="0" borderId="11" xfId="15" applyNumberFormat="1" applyFont="1" applyBorder="1" applyAlignment="1">
      <alignment/>
    </xf>
    <xf numFmtId="174" fontId="23" fillId="0" borderId="24" xfId="15" applyNumberFormat="1" applyFont="1" applyBorder="1" applyAlignment="1">
      <alignment/>
    </xf>
    <xf numFmtId="174" fontId="0" fillId="7" borderId="19" xfId="15" applyNumberFormat="1" applyFont="1" applyFill="1" applyBorder="1" applyAlignment="1">
      <alignment/>
    </xf>
    <xf numFmtId="174" fontId="23" fillId="9" borderId="0" xfId="15" applyNumberFormat="1" applyFont="1" applyFill="1" applyBorder="1" applyAlignment="1">
      <alignment/>
    </xf>
    <xf numFmtId="174" fontId="0" fillId="8" borderId="0" xfId="15" applyNumberFormat="1" applyFont="1" applyFill="1" applyBorder="1" applyAlignment="1">
      <alignment/>
    </xf>
    <xf numFmtId="174" fontId="0" fillId="8" borderId="0" xfId="15" applyNumberFormat="1" applyFont="1" applyFill="1" applyBorder="1" applyAlignment="1">
      <alignment horizontal="center"/>
    </xf>
    <xf numFmtId="174" fontId="23" fillId="0" borderId="0" xfId="15" applyNumberFormat="1" applyFont="1" applyBorder="1" applyAlignment="1">
      <alignment horizontal="center"/>
    </xf>
    <xf numFmtId="174" fontId="0" fillId="8" borderId="19" xfId="15" applyNumberFormat="1" applyFont="1" applyFill="1" applyBorder="1" applyAlignment="1">
      <alignment/>
    </xf>
    <xf numFmtId="174" fontId="0" fillId="8" borderId="17" xfId="15" applyNumberFormat="1" applyFont="1" applyFill="1" applyBorder="1" applyAlignment="1">
      <alignment/>
    </xf>
    <xf numFmtId="174" fontId="23" fillId="0" borderId="17" xfId="15" applyNumberFormat="1" applyFont="1" applyBorder="1" applyAlignment="1">
      <alignment/>
    </xf>
    <xf numFmtId="3" fontId="16" fillId="0" borderId="0" xfId="0" applyNumberFormat="1" applyFont="1" applyBorder="1" applyAlignment="1">
      <alignment/>
    </xf>
    <xf numFmtId="174" fontId="0" fillId="7" borderId="19" xfId="15" applyNumberFormat="1" applyFont="1" applyFill="1" applyBorder="1" applyAlignment="1">
      <alignment/>
    </xf>
    <xf numFmtId="174" fontId="17" fillId="9" borderId="0" xfId="15" applyNumberFormat="1" applyFont="1" applyFill="1" applyBorder="1" applyAlignment="1">
      <alignment/>
    </xf>
    <xf numFmtId="174" fontId="0" fillId="8" borderId="19" xfId="15" applyNumberFormat="1" applyFont="1" applyFill="1" applyBorder="1" applyAlignment="1">
      <alignment horizontal="right"/>
    </xf>
    <xf numFmtId="174" fontId="0" fillId="8" borderId="0" xfId="15" applyNumberFormat="1" applyFont="1" applyFill="1" applyBorder="1" applyAlignment="1">
      <alignment horizontal="right"/>
    </xf>
    <xf numFmtId="174" fontId="0" fillId="8" borderId="17" xfId="15" applyNumberFormat="1" applyFont="1" applyFill="1" applyBorder="1" applyAlignment="1">
      <alignment horizontal="right"/>
    </xf>
    <xf numFmtId="174" fontId="23" fillId="0" borderId="19" xfId="15" applyNumberFormat="1" applyFont="1" applyBorder="1" applyAlignment="1">
      <alignment horizontal="right"/>
    </xf>
    <xf numFmtId="174" fontId="23" fillId="0" borderId="0" xfId="15" applyNumberFormat="1" applyFont="1" applyBorder="1" applyAlignment="1">
      <alignment horizontal="right"/>
    </xf>
    <xf numFmtId="174" fontId="23" fillId="0" borderId="17" xfId="15" applyNumberFormat="1" applyFont="1" applyBorder="1" applyAlignment="1">
      <alignment horizontal="right"/>
    </xf>
    <xf numFmtId="174" fontId="23" fillId="0" borderId="19" xfId="15" applyNumberFormat="1" applyFont="1" applyBorder="1" applyAlignment="1">
      <alignment horizontal="center"/>
    </xf>
    <xf numFmtId="174" fontId="0" fillId="8" borderId="0" xfId="15" applyNumberFormat="1" applyFont="1" applyFill="1" applyBorder="1" applyAlignment="1">
      <alignment/>
    </xf>
    <xf numFmtId="3" fontId="0" fillId="0" borderId="0" xfId="0" applyNumberFormat="1" applyFont="1" applyBorder="1" applyAlignment="1">
      <alignment/>
    </xf>
    <xf numFmtId="174" fontId="18" fillId="8" borderId="0" xfId="15" applyNumberFormat="1" applyFont="1" applyFill="1" applyBorder="1" applyAlignment="1">
      <alignment/>
    </xf>
    <xf numFmtId="174" fontId="23" fillId="0" borderId="0" xfId="15" applyNumberFormat="1" applyFont="1" applyBorder="1" applyAlignment="1">
      <alignment/>
    </xf>
    <xf numFmtId="3" fontId="0" fillId="0" borderId="19" xfId="0" applyNumberFormat="1" applyFont="1" applyBorder="1" applyAlignment="1">
      <alignment/>
    </xf>
    <xf numFmtId="3" fontId="0" fillId="0" borderId="17" xfId="0" applyNumberFormat="1" applyFont="1" applyBorder="1" applyAlignment="1">
      <alignment/>
    </xf>
    <xf numFmtId="174" fontId="0" fillId="8" borderId="0" xfId="15" applyNumberFormat="1" applyFont="1" applyFill="1" applyBorder="1" applyAlignment="1">
      <alignment/>
    </xf>
    <xf numFmtId="174" fontId="18" fillId="8" borderId="19" xfId="15" applyNumberFormat="1" applyFont="1" applyFill="1" applyBorder="1" applyAlignment="1">
      <alignment/>
    </xf>
    <xf numFmtId="174" fontId="18" fillId="8" borderId="17" xfId="15" applyNumberFormat="1" applyFont="1" applyFill="1" applyBorder="1" applyAlignment="1">
      <alignment/>
    </xf>
    <xf numFmtId="0" fontId="0" fillId="0" borderId="19" xfId="0" applyFont="1" applyBorder="1" applyAlignment="1">
      <alignment/>
    </xf>
    <xf numFmtId="0" fontId="0" fillId="0" borderId="17" xfId="0" applyFont="1" applyBorder="1" applyAlignment="1">
      <alignment/>
    </xf>
    <xf numFmtId="0" fontId="0" fillId="0" borderId="17" xfId="0" applyFont="1" applyBorder="1" applyAlignment="1">
      <alignment/>
    </xf>
    <xf numFmtId="174" fontId="26" fillId="0" borderId="17" xfId="15" applyNumberFormat="1" applyFont="1" applyBorder="1" applyAlignment="1">
      <alignment/>
    </xf>
    <xf numFmtId="179" fontId="10" fillId="6" borderId="17" xfId="21" applyFont="1" applyFill="1" applyBorder="1" applyAlignment="1">
      <alignment horizontal="center"/>
      <protection/>
    </xf>
    <xf numFmtId="174" fontId="0" fillId="8" borderId="19" xfId="15" applyNumberFormat="1" applyFont="1" applyFill="1" applyBorder="1" applyAlignment="1">
      <alignment/>
    </xf>
    <xf numFmtId="174" fontId="0" fillId="8" borderId="17" xfId="15" applyNumberFormat="1" applyFont="1" applyFill="1" applyBorder="1" applyAlignment="1">
      <alignment/>
    </xf>
    <xf numFmtId="174" fontId="17" fillId="0" borderId="9" xfId="15" applyNumberFormat="1" applyFont="1" applyBorder="1" applyAlignment="1">
      <alignment/>
    </xf>
    <xf numFmtId="174" fontId="17" fillId="0" borderId="9" xfId="15" applyNumberFormat="1" applyFont="1" applyFill="1" applyBorder="1" applyAlignment="1">
      <alignment/>
    </xf>
    <xf numFmtId="174" fontId="17" fillId="0" borderId="19" xfId="15" applyNumberFormat="1" applyFont="1" applyBorder="1" applyAlignment="1">
      <alignment/>
    </xf>
    <xf numFmtId="174" fontId="17" fillId="0" borderId="9" xfId="15" applyNumberFormat="1" applyFont="1" applyBorder="1" applyAlignment="1">
      <alignment/>
    </xf>
    <xf numFmtId="174" fontId="17" fillId="0" borderId="17" xfId="15" applyNumberFormat="1" applyFont="1" applyBorder="1" applyAlignment="1">
      <alignment/>
    </xf>
    <xf numFmtId="174" fontId="0" fillId="8" borderId="19" xfId="15" applyNumberFormat="1" applyFont="1" applyFill="1" applyBorder="1" applyAlignment="1">
      <alignment horizontal="center"/>
    </xf>
    <xf numFmtId="174" fontId="0" fillId="8" borderId="17" xfId="15" applyNumberFormat="1" applyFont="1" applyFill="1" applyBorder="1" applyAlignment="1">
      <alignment horizontal="center"/>
    </xf>
    <xf numFmtId="174" fontId="23" fillId="0" borderId="17" xfId="15" applyNumberFormat="1" applyFont="1" applyBorder="1" applyAlignment="1">
      <alignment horizontal="center"/>
    </xf>
    <xf numFmtId="174" fontId="23" fillId="0" borderId="17" xfId="15" applyNumberFormat="1" applyFont="1" applyBorder="1" applyAlignment="1">
      <alignment/>
    </xf>
    <xf numFmtId="0" fontId="12" fillId="11" borderId="0" xfId="24" applyFont="1" applyFill="1" applyBorder="1">
      <alignment/>
      <protection/>
    </xf>
    <xf numFmtId="0" fontId="12" fillId="8" borderId="0" xfId="24" applyFont="1" applyFill="1" applyBorder="1">
      <alignment/>
      <protection/>
    </xf>
    <xf numFmtId="0" fontId="35" fillId="8" borderId="0" xfId="24" applyFont="1" applyFill="1" applyBorder="1">
      <alignment/>
      <protection/>
    </xf>
    <xf numFmtId="0" fontId="36" fillId="11" borderId="0" xfId="24" applyFont="1" applyFill="1" applyBorder="1">
      <alignment/>
      <protection/>
    </xf>
    <xf numFmtId="0" fontId="25" fillId="11" borderId="0" xfId="24" applyFont="1" applyFill="1" applyBorder="1">
      <alignment/>
      <protection/>
    </xf>
    <xf numFmtId="174" fontId="23" fillId="0" borderId="18" xfId="15" applyNumberFormat="1" applyFont="1" applyBorder="1" applyAlignment="1">
      <alignment/>
    </xf>
    <xf numFmtId="179" fontId="0" fillId="2" borderId="0" xfId="21" applyFont="1" applyFill="1" applyBorder="1">
      <alignment/>
      <protection/>
    </xf>
    <xf numFmtId="179" fontId="0" fillId="6" borderId="0" xfId="21" applyFont="1" applyFill="1" applyBorder="1">
      <alignment/>
      <protection/>
    </xf>
    <xf numFmtId="179" fontId="0" fillId="3" borderId="0" xfId="21" applyFont="1" applyFill="1" applyBorder="1">
      <alignment/>
      <protection/>
    </xf>
    <xf numFmtId="179" fontId="0" fillId="4" borderId="0" xfId="21" applyFont="1" applyFill="1" applyBorder="1">
      <alignment/>
      <protection/>
    </xf>
    <xf numFmtId="179" fontId="0" fillId="5" borderId="0" xfId="21" applyFont="1" applyFill="1" applyBorder="1">
      <alignment/>
      <protection/>
    </xf>
    <xf numFmtId="179" fontId="0" fillId="2" borderId="0" xfId="22" applyFont="1" applyFill="1" applyBorder="1">
      <alignment/>
      <protection/>
    </xf>
    <xf numFmtId="179" fontId="10" fillId="10" borderId="0" xfId="22" applyFont="1" applyFill="1" applyBorder="1" applyAlignment="1">
      <alignment/>
      <protection/>
    </xf>
    <xf numFmtId="179" fontId="0" fillId="10" borderId="0" xfId="22" applyFont="1" applyFill="1" applyBorder="1" applyAlignment="1">
      <alignment/>
      <protection/>
    </xf>
    <xf numFmtId="1" fontId="0" fillId="10" borderId="0" xfId="22" applyNumberFormat="1" applyFont="1" applyFill="1" applyBorder="1" applyAlignment="1">
      <alignment horizontal="right"/>
      <protection/>
    </xf>
    <xf numFmtId="174" fontId="0" fillId="8" borderId="9" xfId="15" applyNumberFormat="1" applyFont="1" applyFill="1" applyBorder="1" applyAlignment="1">
      <alignment/>
    </xf>
    <xf numFmtId="174" fontId="0" fillId="7" borderId="9" xfId="15" applyNumberFormat="1" applyFont="1" applyFill="1" applyBorder="1" applyAlignment="1">
      <alignment/>
    </xf>
    <xf numFmtId="0" fontId="0" fillId="0" borderId="0" xfId="23" applyFont="1" applyFill="1" applyBorder="1" applyAlignment="1">
      <alignment/>
      <protection/>
    </xf>
    <xf numFmtId="179" fontId="0" fillId="10" borderId="0" xfId="22" applyFont="1" applyFill="1" applyBorder="1">
      <alignment/>
      <protection/>
    </xf>
    <xf numFmtId="179" fontId="12" fillId="10" borderId="0" xfId="21" applyFont="1" applyFill="1" applyBorder="1" applyAlignment="1">
      <alignment horizontal="center"/>
      <protection/>
    </xf>
    <xf numFmtId="174" fontId="25" fillId="0" borderId="9" xfId="15" applyNumberFormat="1" applyFont="1" applyBorder="1" applyAlignment="1">
      <alignment/>
    </xf>
    <xf numFmtId="179" fontId="25" fillId="10" borderId="0" xfId="21" applyFont="1" applyFill="1" applyBorder="1" applyAlignment="1">
      <alignment horizontal="center"/>
      <protection/>
    </xf>
    <xf numFmtId="3" fontId="10" fillId="10" borderId="0" xfId="26" applyFont="1" applyFill="1" applyBorder="1" applyAlignment="1">
      <alignment/>
      <protection/>
    </xf>
    <xf numFmtId="179" fontId="0" fillId="6" borderId="0" xfId="22" applyFont="1" applyFill="1" applyBorder="1">
      <alignment/>
      <protection/>
    </xf>
    <xf numFmtId="179" fontId="0" fillId="3" borderId="0" xfId="22" applyFont="1" applyFill="1" applyBorder="1">
      <alignment/>
      <protection/>
    </xf>
    <xf numFmtId="179" fontId="0" fillId="4" borderId="0" xfId="22" applyFont="1" applyFill="1" applyBorder="1">
      <alignment/>
      <protection/>
    </xf>
    <xf numFmtId="179" fontId="0" fillId="7" borderId="0" xfId="22" applyFont="1" applyFill="1" applyBorder="1">
      <alignment/>
      <protection/>
    </xf>
    <xf numFmtId="179" fontId="0" fillId="5" borderId="0" xfId="22" applyFont="1" applyFill="1" applyBorder="1">
      <alignment/>
      <protection/>
    </xf>
    <xf numFmtId="0" fontId="10" fillId="2" borderId="0" xfId="22" applyNumberFormat="1" applyFont="1" applyFill="1" applyBorder="1" applyAlignment="1">
      <alignment horizontal="right"/>
      <protection/>
    </xf>
    <xf numFmtId="3" fontId="10" fillId="2" borderId="0" xfId="26" applyFont="1" applyFill="1" applyBorder="1" applyAlignment="1">
      <alignment/>
      <protection/>
    </xf>
    <xf numFmtId="186" fontId="16" fillId="0" borderId="6" xfId="0" applyNumberFormat="1" applyFont="1" applyBorder="1" applyAlignment="1">
      <alignment/>
    </xf>
    <xf numFmtId="186" fontId="16" fillId="0" borderId="9" xfId="0" applyNumberFormat="1" applyFont="1" applyBorder="1" applyAlignment="1">
      <alignment/>
    </xf>
    <xf numFmtId="186" fontId="16" fillId="0" borderId="0" xfId="0" applyNumberFormat="1" applyFont="1" applyBorder="1" applyAlignment="1">
      <alignment/>
    </xf>
    <xf numFmtId="179" fontId="10" fillId="4" borderId="3" xfId="21" applyFont="1" applyFill="1" applyBorder="1" applyAlignment="1">
      <alignment/>
      <protection/>
    </xf>
    <xf numFmtId="1" fontId="10" fillId="4" borderId="3" xfId="21" applyNumberFormat="1" applyFont="1" applyFill="1" applyBorder="1" applyAlignment="1">
      <alignment horizontal="right"/>
      <protection/>
    </xf>
    <xf numFmtId="179" fontId="10" fillId="4" borderId="27" xfId="21" applyFont="1" applyFill="1" applyBorder="1" applyAlignment="1">
      <alignment horizontal="center"/>
      <protection/>
    </xf>
    <xf numFmtId="174" fontId="0" fillId="7" borderId="28" xfId="15" applyNumberFormat="1" applyFont="1" applyFill="1" applyBorder="1" applyAlignment="1">
      <alignment/>
    </xf>
    <xf numFmtId="174" fontId="23" fillId="9" borderId="28" xfId="15" applyNumberFormat="1" applyFont="1" applyFill="1" applyBorder="1" applyAlignment="1">
      <alignment/>
    </xf>
    <xf numFmtId="3" fontId="0" fillId="8" borderId="28" xfId="15" applyNumberFormat="1" applyFont="1" applyFill="1" applyBorder="1" applyAlignment="1">
      <alignment/>
    </xf>
    <xf numFmtId="3" fontId="16" fillId="0" borderId="28" xfId="0" applyNumberFormat="1" applyFont="1" applyBorder="1" applyAlignment="1">
      <alignment/>
    </xf>
    <xf numFmtId="3" fontId="16" fillId="0" borderId="3" xfId="0" applyNumberFormat="1" applyFont="1" applyBorder="1" applyAlignment="1">
      <alignment/>
    </xf>
    <xf numFmtId="174" fontId="0" fillId="7" borderId="28" xfId="15" applyNumberFormat="1" applyFont="1" applyFill="1" applyBorder="1" applyAlignment="1">
      <alignment/>
    </xf>
    <xf numFmtId="174" fontId="0" fillId="8" borderId="28" xfId="15" applyNumberFormat="1" applyFont="1" applyFill="1" applyBorder="1" applyAlignment="1">
      <alignment/>
    </xf>
    <xf numFmtId="174" fontId="23" fillId="0" borderId="28" xfId="15" applyNumberFormat="1" applyFont="1" applyBorder="1" applyAlignment="1">
      <alignment/>
    </xf>
    <xf numFmtId="174" fontId="23" fillId="0" borderId="29" xfId="15" applyNumberFormat="1" applyFont="1" applyBorder="1" applyAlignment="1">
      <alignment/>
    </xf>
    <xf numFmtId="179" fontId="10" fillId="8" borderId="0" xfId="21" applyFont="1" applyFill="1" applyBorder="1">
      <alignment/>
      <protection/>
    </xf>
    <xf numFmtId="1" fontId="10" fillId="8" borderId="0" xfId="21" applyNumberFormat="1" applyFont="1" applyFill="1" applyBorder="1" applyAlignment="1">
      <alignment horizontal="right"/>
      <protection/>
    </xf>
    <xf numFmtId="179" fontId="10" fillId="8" borderId="0" xfId="21" applyFont="1" applyFill="1" applyBorder="1" applyAlignment="1">
      <alignment horizontal="center"/>
      <protection/>
    </xf>
    <xf numFmtId="174" fontId="0" fillId="7" borderId="18" xfId="15" applyNumberFormat="1" applyFont="1" applyFill="1" applyBorder="1" applyAlignment="1">
      <alignment/>
    </xf>
    <xf numFmtId="174" fontId="17" fillId="9" borderId="18" xfId="15" applyNumberFormat="1" applyFont="1" applyFill="1" applyBorder="1" applyAlignment="1">
      <alignment/>
    </xf>
    <xf numFmtId="174" fontId="0" fillId="8" borderId="18" xfId="15" applyNumberFormat="1" applyFont="1" applyFill="1" applyBorder="1" applyAlignment="1">
      <alignment/>
    </xf>
    <xf numFmtId="174" fontId="0" fillId="0" borderId="18" xfId="15" applyNumberFormat="1" applyFont="1" applyFill="1" applyBorder="1" applyAlignment="1">
      <alignment/>
    </xf>
    <xf numFmtId="174" fontId="17" fillId="0" borderId="18" xfId="15" applyNumberFormat="1" applyFont="1" applyBorder="1" applyAlignment="1">
      <alignment/>
    </xf>
    <xf numFmtId="174" fontId="0" fillId="8" borderId="18" xfId="15" applyNumberFormat="1" applyFont="1" applyFill="1" applyBorder="1" applyAlignment="1">
      <alignment horizontal="center"/>
    </xf>
    <xf numFmtId="49" fontId="23" fillId="0" borderId="18" xfId="15" applyNumberFormat="1" applyFont="1" applyBorder="1" applyAlignment="1">
      <alignment horizontal="right"/>
    </xf>
    <xf numFmtId="0" fontId="0" fillId="0" borderId="0" xfId="23" applyFont="1" applyFill="1" applyBorder="1">
      <alignment/>
      <protection/>
    </xf>
    <xf numFmtId="49" fontId="0" fillId="0" borderId="0" xfId="23" applyNumberFormat="1" applyFont="1" applyFill="1" applyBorder="1">
      <alignment/>
      <protection/>
    </xf>
    <xf numFmtId="3" fontId="10" fillId="8" borderId="0" xfId="26" applyFont="1" applyFill="1" applyBorder="1" applyAlignment="1" applyProtection="1">
      <alignment/>
      <protection/>
    </xf>
    <xf numFmtId="179" fontId="0" fillId="8" borderId="0" xfId="21" applyFont="1" applyFill="1" applyBorder="1">
      <alignment/>
      <protection/>
    </xf>
    <xf numFmtId="179" fontId="10" fillId="8" borderId="3" xfId="21" applyFont="1" applyFill="1" applyBorder="1">
      <alignment/>
      <protection/>
    </xf>
    <xf numFmtId="3" fontId="10" fillId="8" borderId="3" xfId="26" applyFont="1" applyFill="1" applyBorder="1" applyAlignment="1" applyProtection="1">
      <alignment/>
      <protection/>
    </xf>
    <xf numFmtId="1" fontId="10" fillId="8" borderId="3" xfId="21" applyNumberFormat="1" applyFont="1" applyFill="1" applyBorder="1" applyAlignment="1">
      <alignment horizontal="right"/>
      <protection/>
    </xf>
    <xf numFmtId="179" fontId="10" fillId="8" borderId="3" xfId="21" applyFont="1" applyFill="1" applyBorder="1" applyAlignment="1">
      <alignment horizontal="center"/>
      <protection/>
    </xf>
    <xf numFmtId="174" fontId="0" fillId="7" borderId="20" xfId="15" applyNumberFormat="1" applyFont="1" applyFill="1" applyBorder="1" applyAlignment="1">
      <alignment/>
    </xf>
    <xf numFmtId="174" fontId="17" fillId="9" borderId="20" xfId="15" applyNumberFormat="1" applyFont="1" applyFill="1" applyBorder="1" applyAlignment="1">
      <alignment/>
    </xf>
    <xf numFmtId="174" fontId="0" fillId="8" borderId="20" xfId="15" applyNumberFormat="1" applyFont="1" applyFill="1" applyBorder="1" applyAlignment="1">
      <alignment/>
    </xf>
    <xf numFmtId="174" fontId="0" fillId="0" borderId="20" xfId="15" applyNumberFormat="1" applyFont="1" applyFill="1" applyBorder="1" applyAlignment="1">
      <alignment/>
    </xf>
    <xf numFmtId="174" fontId="17" fillId="0" borderId="20" xfId="15" applyNumberFormat="1" applyFont="1" applyBorder="1" applyAlignment="1">
      <alignment/>
    </xf>
    <xf numFmtId="174" fontId="0" fillId="8" borderId="20" xfId="15" applyNumberFormat="1" applyFont="1" applyFill="1" applyBorder="1" applyAlignment="1">
      <alignment horizontal="center"/>
    </xf>
    <xf numFmtId="174" fontId="23" fillId="0" borderId="20" xfId="15" applyNumberFormat="1" applyFont="1" applyBorder="1" applyAlignment="1">
      <alignment/>
    </xf>
    <xf numFmtId="174" fontId="23" fillId="0" borderId="20" xfId="15" applyNumberFormat="1" applyFont="1" applyBorder="1" applyAlignment="1">
      <alignment horizontal="center"/>
    </xf>
    <xf numFmtId="43" fontId="0" fillId="0" borderId="0" xfId="15" applyAlignment="1">
      <alignment/>
    </xf>
    <xf numFmtId="164" fontId="0" fillId="0" borderId="0" xfId="15" applyNumberFormat="1" applyAlignment="1">
      <alignment/>
    </xf>
    <xf numFmtId="186" fontId="0" fillId="0" borderId="30" xfId="0" applyNumberFormat="1" applyBorder="1" applyAlignment="1">
      <alignment/>
    </xf>
    <xf numFmtId="186" fontId="0" fillId="0" borderId="31" xfId="0" applyNumberFormat="1" applyBorder="1" applyAlignment="1">
      <alignment/>
    </xf>
    <xf numFmtId="186" fontId="0" fillId="0" borderId="4" xfId="0" applyNumberFormat="1" applyBorder="1" applyAlignment="1">
      <alignment/>
    </xf>
    <xf numFmtId="186" fontId="0" fillId="0" borderId="7" xfId="0" applyNumberFormat="1" applyBorder="1" applyAlignment="1">
      <alignment/>
    </xf>
    <xf numFmtId="186" fontId="0" fillId="0" borderId="8" xfId="0" applyNumberFormat="1" applyBorder="1" applyAlignment="1">
      <alignment/>
    </xf>
    <xf numFmtId="186" fontId="0" fillId="0" borderId="0" xfId="0" applyNumberFormat="1" applyAlignment="1">
      <alignment/>
    </xf>
    <xf numFmtId="186" fontId="0" fillId="0" borderId="32" xfId="0" applyNumberFormat="1" applyBorder="1" applyAlignment="1">
      <alignment/>
    </xf>
    <xf numFmtId="186" fontId="0" fillId="0" borderId="33" xfId="0" applyNumberFormat="1" applyBorder="1" applyAlignment="1">
      <alignment/>
    </xf>
    <xf numFmtId="186" fontId="0" fillId="0" borderId="23" xfId="0" applyNumberFormat="1" applyBorder="1" applyAlignment="1">
      <alignment/>
    </xf>
    <xf numFmtId="183" fontId="0" fillId="0" borderId="17" xfId="30" applyNumberFormat="1" applyFont="1" applyFill="1" applyBorder="1" applyAlignment="1">
      <alignment horizontal="right"/>
    </xf>
    <xf numFmtId="172" fontId="0" fillId="0" borderId="0" xfId="0" applyNumberFormat="1" applyBorder="1" applyAlignment="1">
      <alignment horizontal="center"/>
    </xf>
    <xf numFmtId="1" fontId="0" fillId="0" borderId="0" xfId="0" applyNumberFormat="1" applyBorder="1" applyAlignment="1">
      <alignment horizontal="center"/>
    </xf>
    <xf numFmtId="0" fontId="16" fillId="0" borderId="9" xfId="0" applyFont="1" applyBorder="1" applyAlignment="1">
      <alignment/>
    </xf>
    <xf numFmtId="166" fontId="0" fillId="0" borderId="0" xfId="0" applyNumberFormat="1" applyAlignment="1">
      <alignment/>
    </xf>
    <xf numFmtId="0" fontId="16" fillId="0" borderId="34" xfId="0" applyFont="1" applyBorder="1" applyAlignment="1">
      <alignment/>
    </xf>
    <xf numFmtId="166" fontId="16" fillId="0" borderId="6" xfId="0" applyNumberFormat="1" applyFont="1" applyBorder="1" applyAlignment="1">
      <alignment/>
    </xf>
    <xf numFmtId="166" fontId="16" fillId="0" borderId="9" xfId="0" applyNumberFormat="1" applyFont="1" applyBorder="1" applyAlignment="1">
      <alignment/>
    </xf>
    <xf numFmtId="166" fontId="0" fillId="0" borderId="35" xfId="0" applyNumberFormat="1" applyBorder="1" applyAlignment="1">
      <alignment/>
    </xf>
    <xf numFmtId="166" fontId="0" fillId="0" borderId="36" xfId="0" applyNumberFormat="1" applyBorder="1" applyAlignment="1">
      <alignment/>
    </xf>
    <xf numFmtId="164" fontId="0" fillId="0" borderId="6" xfId="0" applyNumberFormat="1" applyBorder="1" applyAlignment="1">
      <alignment/>
    </xf>
    <xf numFmtId="164" fontId="0" fillId="0" borderId="9" xfId="0" applyNumberFormat="1" applyBorder="1" applyAlignment="1">
      <alignment/>
    </xf>
    <xf numFmtId="179" fontId="25" fillId="2" borderId="0" xfId="21" applyFont="1" applyFill="1" applyBorder="1" applyAlignment="1">
      <alignment/>
      <protection/>
    </xf>
    <xf numFmtId="1" fontId="25" fillId="2" borderId="0" xfId="21" applyNumberFormat="1" applyFont="1" applyFill="1" applyBorder="1" applyAlignment="1">
      <alignment horizontal="right"/>
      <protection/>
    </xf>
    <xf numFmtId="179" fontId="25" fillId="2" borderId="0" xfId="21" applyFont="1" applyFill="1" applyBorder="1" applyAlignment="1">
      <alignment horizontal="center"/>
      <protection/>
    </xf>
    <xf numFmtId="174" fontId="23" fillId="11" borderId="18" xfId="15" applyNumberFormat="1" applyFont="1" applyFill="1" applyBorder="1" applyAlignment="1">
      <alignment/>
    </xf>
    <xf numFmtId="174" fontId="25" fillId="0" borderId="18" xfId="15" applyNumberFormat="1" applyFont="1" applyBorder="1" applyAlignment="1">
      <alignment/>
    </xf>
    <xf numFmtId="179" fontId="25" fillId="2" borderId="0" xfId="21" applyFont="1" applyFill="1" applyBorder="1">
      <alignment/>
      <protection/>
    </xf>
    <xf numFmtId="174" fontId="0" fillId="11" borderId="18" xfId="15" applyNumberFormat="1" applyFont="1" applyFill="1" applyBorder="1" applyAlignment="1">
      <alignment/>
    </xf>
    <xf numFmtId="3" fontId="25" fillId="2" borderId="0" xfId="26" applyFont="1" applyFill="1" applyBorder="1" applyAlignment="1" applyProtection="1">
      <alignment/>
      <protection/>
    </xf>
    <xf numFmtId="174" fontId="17" fillId="11" borderId="18" xfId="15" applyNumberFormat="1" applyFont="1" applyFill="1" applyBorder="1" applyAlignment="1">
      <alignment/>
    </xf>
    <xf numFmtId="166" fontId="16" fillId="0" borderId="29" xfId="0" applyNumberFormat="1" applyFont="1" applyBorder="1" applyAlignment="1">
      <alignment/>
    </xf>
    <xf numFmtId="166" fontId="16" fillId="0" borderId="28" xfId="0" applyNumberFormat="1" applyFont="1" applyBorder="1" applyAlignment="1">
      <alignment/>
    </xf>
    <xf numFmtId="172" fontId="16" fillId="0" borderId="6" xfId="0" applyNumberFormat="1" applyFont="1" applyBorder="1" applyAlignment="1">
      <alignment/>
    </xf>
    <xf numFmtId="172" fontId="16" fillId="0" borderId="9" xfId="0" applyNumberFormat="1" applyFont="1" applyBorder="1" applyAlignment="1">
      <alignment/>
    </xf>
    <xf numFmtId="0" fontId="22" fillId="0" borderId="0" xfId="0" applyFont="1" applyFill="1" applyBorder="1" applyAlignment="1">
      <alignment wrapText="1"/>
    </xf>
    <xf numFmtId="0" fontId="16" fillId="0" borderId="2" xfId="0" applyFont="1" applyFill="1" applyBorder="1" applyAlignment="1">
      <alignment/>
    </xf>
    <xf numFmtId="0" fontId="16" fillId="0" borderId="6" xfId="0" applyFont="1" applyBorder="1" applyAlignment="1">
      <alignment/>
    </xf>
    <xf numFmtId="0" fontId="16" fillId="0" borderId="29" xfId="0" applyFont="1" applyBorder="1" applyAlignment="1">
      <alignment horizontal="right"/>
    </xf>
    <xf numFmtId="187" fontId="0" fillId="0" borderId="6" xfId="0" applyNumberFormat="1" applyBorder="1" applyAlignment="1">
      <alignment/>
    </xf>
    <xf numFmtId="166" fontId="0" fillId="0" borderId="1" xfId="0" applyNumberFormat="1" applyBorder="1" applyAlignment="1">
      <alignment/>
    </xf>
    <xf numFmtId="186" fontId="16" fillId="0" borderId="0" xfId="0" applyNumberFormat="1" applyFont="1" applyAlignment="1">
      <alignment/>
    </xf>
    <xf numFmtId="186" fontId="16" fillId="0" borderId="3" xfId="0" applyNumberFormat="1" applyFont="1" applyBorder="1" applyAlignment="1">
      <alignment/>
    </xf>
    <xf numFmtId="10" fontId="0" fillId="0" borderId="6" xfId="0" applyNumberFormat="1" applyBorder="1" applyAlignment="1">
      <alignment/>
    </xf>
    <xf numFmtId="166" fontId="0" fillId="0" borderId="37" xfId="0" applyNumberFormat="1" applyBorder="1" applyAlignment="1">
      <alignment/>
    </xf>
    <xf numFmtId="166" fontId="0" fillId="0" borderId="38" xfId="0" applyNumberFormat="1" applyBorder="1" applyAlignment="1">
      <alignment/>
    </xf>
    <xf numFmtId="10" fontId="0" fillId="0" borderId="0" xfId="0" applyNumberFormat="1" applyAlignment="1">
      <alignment/>
    </xf>
    <xf numFmtId="187" fontId="0" fillId="0" borderId="0" xfId="0" applyNumberFormat="1" applyAlignment="1">
      <alignment/>
    </xf>
    <xf numFmtId="166" fontId="0" fillId="0" borderId="39" xfId="0" applyNumberFormat="1" applyBorder="1" applyAlignment="1">
      <alignment/>
    </xf>
    <xf numFmtId="166" fontId="0" fillId="0" borderId="40" xfId="0" applyNumberFormat="1" applyBorder="1" applyAlignment="1">
      <alignment/>
    </xf>
    <xf numFmtId="166" fontId="0" fillId="0" borderId="0" xfId="0" applyNumberFormat="1" applyBorder="1" applyAlignment="1">
      <alignment/>
    </xf>
    <xf numFmtId="166" fontId="0" fillId="0" borderId="41" xfId="0" applyNumberFormat="1" applyBorder="1" applyAlignment="1">
      <alignment/>
    </xf>
    <xf numFmtId="166" fontId="0" fillId="0" borderId="42" xfId="0" applyNumberFormat="1" applyBorder="1" applyAlignment="1">
      <alignment/>
    </xf>
    <xf numFmtId="166" fontId="0" fillId="0" borderId="43" xfId="0" applyNumberFormat="1" applyBorder="1" applyAlignment="1">
      <alignment/>
    </xf>
    <xf numFmtId="166" fontId="0" fillId="0" borderId="44" xfId="0" applyNumberFormat="1" applyBorder="1" applyAlignment="1">
      <alignment/>
    </xf>
    <xf numFmtId="166" fontId="0" fillId="0" borderId="45" xfId="0" applyNumberFormat="1" applyBorder="1" applyAlignment="1">
      <alignment/>
    </xf>
    <xf numFmtId="166" fontId="0" fillId="0" borderId="46" xfId="0" applyNumberFormat="1" applyBorder="1" applyAlignment="1">
      <alignment/>
    </xf>
    <xf numFmtId="166" fontId="0" fillId="0" borderId="47" xfId="0" applyNumberFormat="1" applyBorder="1" applyAlignment="1">
      <alignment/>
    </xf>
    <xf numFmtId="166" fontId="0" fillId="0" borderId="23" xfId="0" applyNumberFormat="1" applyBorder="1" applyAlignment="1">
      <alignment/>
    </xf>
    <xf numFmtId="0" fontId="16" fillId="0" borderId="48" xfId="0" applyFont="1" applyBorder="1" applyAlignment="1">
      <alignment/>
    </xf>
    <xf numFmtId="0" fontId="0" fillId="0" borderId="35" xfId="0" applyBorder="1" applyAlignment="1">
      <alignment/>
    </xf>
    <xf numFmtId="186" fontId="16" fillId="0" borderId="29" xfId="0" applyNumberFormat="1" applyFont="1" applyBorder="1" applyAlignment="1">
      <alignment/>
    </xf>
    <xf numFmtId="0" fontId="16" fillId="0" borderId="29" xfId="0" applyFont="1" applyBorder="1" applyAlignment="1">
      <alignment/>
    </xf>
    <xf numFmtId="166" fontId="0" fillId="0" borderId="49" xfId="0" applyNumberFormat="1" applyBorder="1" applyAlignment="1">
      <alignment/>
    </xf>
    <xf numFmtId="166" fontId="0" fillId="0" borderId="18" xfId="0" applyNumberFormat="1" applyBorder="1" applyAlignment="1">
      <alignment/>
    </xf>
    <xf numFmtId="186" fontId="16" fillId="0" borderId="20" xfId="0" applyNumberFormat="1" applyFont="1" applyBorder="1" applyAlignment="1">
      <alignment/>
    </xf>
    <xf numFmtId="166" fontId="0" fillId="0" borderId="20" xfId="0" applyNumberFormat="1" applyBorder="1" applyAlignment="1">
      <alignment/>
    </xf>
    <xf numFmtId="166" fontId="0" fillId="0" borderId="24" xfId="0" applyNumberFormat="1" applyBorder="1" applyAlignment="1">
      <alignment/>
    </xf>
    <xf numFmtId="166" fontId="0" fillId="0" borderId="17" xfId="0" applyNumberFormat="1" applyBorder="1" applyAlignment="1">
      <alignment/>
    </xf>
    <xf numFmtId="166" fontId="0" fillId="0" borderId="25" xfId="0" applyNumberFormat="1" applyBorder="1" applyAlignment="1">
      <alignment/>
    </xf>
    <xf numFmtId="9" fontId="0" fillId="0" borderId="6" xfId="0" applyNumberFormat="1" applyBorder="1" applyAlignment="1">
      <alignment/>
    </xf>
    <xf numFmtId="166" fontId="0" fillId="0" borderId="50" xfId="0" applyNumberFormat="1" applyBorder="1" applyAlignment="1">
      <alignment/>
    </xf>
    <xf numFmtId="166" fontId="0" fillId="0" borderId="51" xfId="0" applyNumberFormat="1" applyBorder="1" applyAlignment="1">
      <alignment/>
    </xf>
    <xf numFmtId="166" fontId="0" fillId="0" borderId="12" xfId="0" applyNumberFormat="1" applyBorder="1" applyAlignment="1">
      <alignment/>
    </xf>
    <xf numFmtId="166" fontId="0" fillId="0" borderId="10" xfId="0" applyNumberFormat="1" applyBorder="1" applyAlignment="1">
      <alignment/>
    </xf>
    <xf numFmtId="166" fontId="0" fillId="0" borderId="15" xfId="0" applyNumberFormat="1" applyBorder="1" applyAlignment="1">
      <alignment/>
    </xf>
    <xf numFmtId="166" fontId="0" fillId="6" borderId="49" xfId="0" applyNumberFormat="1" applyFill="1" applyBorder="1" applyAlignment="1">
      <alignment/>
    </xf>
    <xf numFmtId="166" fontId="0" fillId="6" borderId="18" xfId="0" applyNumberFormat="1" applyFill="1" applyBorder="1" applyAlignment="1">
      <alignment/>
    </xf>
    <xf numFmtId="166" fontId="0" fillId="6" borderId="20" xfId="0" applyNumberFormat="1" applyFill="1" applyBorder="1" applyAlignment="1">
      <alignment/>
    </xf>
    <xf numFmtId="166" fontId="0" fillId="0" borderId="52" xfId="0" applyNumberFormat="1" applyBorder="1" applyAlignment="1">
      <alignment/>
    </xf>
    <xf numFmtId="166" fontId="0" fillId="0" borderId="53" xfId="0" applyNumberFormat="1" applyBorder="1" applyAlignment="1">
      <alignment/>
    </xf>
    <xf numFmtId="166" fontId="0" fillId="0" borderId="54" xfId="0" applyNumberFormat="1" applyBorder="1" applyAlignment="1">
      <alignment/>
    </xf>
    <xf numFmtId="166" fontId="0" fillId="0" borderId="14" xfId="0" applyNumberFormat="1" applyBorder="1" applyAlignment="1">
      <alignment/>
    </xf>
    <xf numFmtId="166" fontId="0" fillId="0" borderId="19" xfId="0" applyNumberFormat="1" applyBorder="1" applyAlignment="1">
      <alignment/>
    </xf>
    <xf numFmtId="166" fontId="0" fillId="0" borderId="5" xfId="0" applyNumberFormat="1" applyBorder="1" applyAlignment="1">
      <alignment/>
    </xf>
    <xf numFmtId="164" fontId="0" fillId="0" borderId="0" xfId="0" applyNumberFormat="1" applyAlignment="1">
      <alignment/>
    </xf>
    <xf numFmtId="164" fontId="0" fillId="0" borderId="20" xfId="0" applyNumberFormat="1" applyBorder="1" applyAlignment="1">
      <alignment/>
    </xf>
    <xf numFmtId="166" fontId="16" fillId="0" borderId="0" xfId="0" applyNumberFormat="1" applyFont="1" applyBorder="1" applyAlignment="1">
      <alignment/>
    </xf>
    <xf numFmtId="166" fontId="16" fillId="0" borderId="20" xfId="0" applyNumberFormat="1" applyFont="1" applyBorder="1" applyAlignment="1">
      <alignment/>
    </xf>
    <xf numFmtId="166" fontId="16" fillId="0" borderId="25" xfId="0" applyNumberFormat="1" applyFont="1" applyBorder="1" applyAlignment="1">
      <alignment/>
    </xf>
    <xf numFmtId="166" fontId="16" fillId="0" borderId="3" xfId="0" applyNumberFormat="1" applyFont="1" applyBorder="1" applyAlignment="1">
      <alignment/>
    </xf>
    <xf numFmtId="166" fontId="16" fillId="0" borderId="0" xfId="0" applyNumberFormat="1" applyFont="1" applyAlignment="1">
      <alignment/>
    </xf>
    <xf numFmtId="166" fontId="16" fillId="0" borderId="18" xfId="0" applyNumberFormat="1" applyFont="1" applyBorder="1" applyAlignment="1">
      <alignment/>
    </xf>
    <xf numFmtId="166" fontId="16" fillId="0" borderId="16" xfId="0" applyNumberFormat="1" applyFont="1" applyBorder="1" applyAlignment="1">
      <alignment/>
    </xf>
    <xf numFmtId="172" fontId="16" fillId="0" borderId="0" xfId="0" applyNumberFormat="1" applyFont="1" applyAlignment="1">
      <alignment/>
    </xf>
    <xf numFmtId="186" fontId="16" fillId="11" borderId="0" xfId="0" applyNumberFormat="1" applyFont="1" applyFill="1" applyBorder="1" applyAlignment="1">
      <alignment/>
    </xf>
    <xf numFmtId="166" fontId="16" fillId="11" borderId="0" xfId="0" applyNumberFormat="1" applyFont="1" applyFill="1" applyBorder="1" applyAlignment="1">
      <alignment/>
    </xf>
    <xf numFmtId="166" fontId="16" fillId="11" borderId="20" xfId="0" applyNumberFormat="1" applyFont="1" applyFill="1" applyBorder="1" applyAlignment="1">
      <alignment/>
    </xf>
    <xf numFmtId="166" fontId="16" fillId="0" borderId="38" xfId="0" applyNumberFormat="1" applyFont="1" applyBorder="1" applyAlignment="1">
      <alignment/>
    </xf>
    <xf numFmtId="166" fontId="16" fillId="0" borderId="40" xfId="0" applyNumberFormat="1" applyFont="1" applyBorder="1" applyAlignment="1">
      <alignment/>
    </xf>
    <xf numFmtId="166" fontId="16" fillId="0" borderId="41" xfId="0" applyNumberFormat="1" applyFont="1" applyBorder="1" applyAlignment="1">
      <alignment/>
    </xf>
    <xf numFmtId="166" fontId="16" fillId="0" borderId="1" xfId="0" applyNumberFormat="1" applyFont="1" applyBorder="1" applyAlignment="1">
      <alignment/>
    </xf>
    <xf numFmtId="186" fontId="16" fillId="0" borderId="4" xfId="0" applyNumberFormat="1" applyFont="1" applyBorder="1" applyAlignment="1">
      <alignment/>
    </xf>
    <xf numFmtId="186" fontId="16" fillId="0" borderId="7" xfId="0" applyNumberFormat="1" applyFont="1" applyBorder="1" applyAlignment="1">
      <alignment/>
    </xf>
    <xf numFmtId="186" fontId="16" fillId="0" borderId="8" xfId="0" applyNumberFormat="1" applyFont="1" applyBorder="1" applyAlignment="1">
      <alignment/>
    </xf>
    <xf numFmtId="166" fontId="0" fillId="11" borderId="49" xfId="0" applyNumberFormat="1" applyFill="1" applyBorder="1" applyAlignment="1">
      <alignment/>
    </xf>
    <xf numFmtId="166" fontId="0" fillId="11" borderId="18" xfId="0" applyNumberFormat="1" applyFill="1" applyBorder="1" applyAlignment="1">
      <alignment/>
    </xf>
    <xf numFmtId="166" fontId="0" fillId="11" borderId="20" xfId="0" applyNumberFormat="1" applyFill="1" applyBorder="1" applyAlignment="1">
      <alignment/>
    </xf>
    <xf numFmtId="166" fontId="0" fillId="0" borderId="51" xfId="0" applyNumberFormat="1" applyFill="1" applyBorder="1" applyAlignment="1">
      <alignment/>
    </xf>
    <xf numFmtId="166" fontId="0" fillId="0" borderId="18" xfId="0" applyNumberFormat="1" applyFill="1" applyBorder="1" applyAlignment="1">
      <alignment/>
    </xf>
    <xf numFmtId="166" fontId="16" fillId="0" borderId="20" xfId="0" applyNumberFormat="1" applyFont="1" applyFill="1" applyBorder="1" applyAlignment="1">
      <alignment/>
    </xf>
    <xf numFmtId="166" fontId="0" fillId="0" borderId="49" xfId="0" applyNumberFormat="1" applyFill="1" applyBorder="1" applyAlignment="1">
      <alignment/>
    </xf>
    <xf numFmtId="166" fontId="0" fillId="0" borderId="20" xfId="0" applyNumberFormat="1" applyFill="1" applyBorder="1" applyAlignment="1">
      <alignment/>
    </xf>
    <xf numFmtId="174" fontId="24" fillId="0" borderId="18" xfId="15" applyNumberFormat="1" applyFont="1" applyBorder="1" applyAlignment="1">
      <alignment/>
    </xf>
    <xf numFmtId="166" fontId="0" fillId="11" borderId="24" xfId="0" applyNumberFormat="1" applyFill="1" applyBorder="1" applyAlignment="1">
      <alignment/>
    </xf>
    <xf numFmtId="166" fontId="0" fillId="11" borderId="17" xfId="0" applyNumberFormat="1" applyFill="1" applyBorder="1" applyAlignment="1">
      <alignment/>
    </xf>
    <xf numFmtId="186" fontId="16" fillId="11" borderId="20" xfId="0" applyNumberFormat="1" applyFont="1" applyFill="1" applyBorder="1" applyAlignment="1">
      <alignment/>
    </xf>
    <xf numFmtId="186" fontId="16" fillId="11" borderId="25" xfId="0" applyNumberFormat="1" applyFont="1" applyFill="1" applyBorder="1" applyAlignment="1">
      <alignment/>
    </xf>
    <xf numFmtId="183" fontId="0" fillId="0" borderId="3" xfId="30" applyNumberFormat="1" applyFont="1" applyFill="1" applyBorder="1" applyAlignment="1">
      <alignment horizontal="right"/>
    </xf>
    <xf numFmtId="184" fontId="0" fillId="0" borderId="0" xfId="30" applyNumberFormat="1" applyFont="1" applyFill="1" applyBorder="1" applyAlignment="1">
      <alignment horizontal="right"/>
    </xf>
    <xf numFmtId="49" fontId="1" fillId="0" borderId="0" xfId="0" applyNumberFormat="1" applyFont="1" applyFill="1" applyAlignment="1" quotePrefix="1">
      <alignment horizontal="right"/>
    </xf>
    <xf numFmtId="180" fontId="0" fillId="0" borderId="25" xfId="30" applyNumberFormat="1" applyFont="1" applyFill="1" applyBorder="1" applyAlignment="1">
      <alignment horizontal="right"/>
    </xf>
    <xf numFmtId="2" fontId="0" fillId="0" borderId="19" xfId="0" applyNumberFormat="1" applyBorder="1" applyAlignment="1">
      <alignment horizontal="center"/>
    </xf>
    <xf numFmtId="2" fontId="0" fillId="0" borderId="16" xfId="0" applyNumberFormat="1" applyBorder="1" applyAlignment="1">
      <alignment horizontal="center"/>
    </xf>
    <xf numFmtId="2" fontId="0" fillId="0" borderId="0" xfId="0" applyNumberFormat="1" applyAlignment="1">
      <alignment horizontal="center"/>
    </xf>
    <xf numFmtId="0" fontId="0" fillId="0" borderId="0" xfId="0" applyBorder="1" applyAlignment="1">
      <alignment vertical="top" wrapText="1"/>
    </xf>
    <xf numFmtId="0" fontId="22" fillId="0" borderId="0" xfId="0" applyFont="1" applyFill="1" applyBorder="1" applyAlignment="1">
      <alignment vertical="top" wrapText="1"/>
    </xf>
    <xf numFmtId="0" fontId="0" fillId="0" borderId="0" xfId="0" applyAlignment="1">
      <alignment wrapText="1"/>
    </xf>
    <xf numFmtId="0" fontId="16" fillId="3" borderId="0" xfId="0" applyFont="1" applyFill="1" applyAlignment="1">
      <alignment/>
    </xf>
    <xf numFmtId="0" fontId="16" fillId="3" borderId="19" xfId="0" applyFont="1" applyFill="1" applyBorder="1" applyAlignment="1">
      <alignment/>
    </xf>
    <xf numFmtId="0" fontId="16" fillId="3" borderId="0" xfId="0" applyFont="1" applyFill="1" applyAlignment="1">
      <alignment horizontal="center"/>
    </xf>
    <xf numFmtId="0" fontId="16" fillId="3" borderId="19" xfId="0" applyFont="1" applyFill="1" applyBorder="1" applyAlignment="1">
      <alignment horizontal="center"/>
    </xf>
    <xf numFmtId="172" fontId="0" fillId="3" borderId="0" xfId="0" applyNumberFormat="1" applyFill="1" applyAlignment="1">
      <alignment/>
    </xf>
    <xf numFmtId="172" fontId="0" fillId="3" borderId="19" xfId="0" applyNumberFormat="1" applyFill="1" applyBorder="1" applyAlignment="1">
      <alignment horizontal="right"/>
    </xf>
    <xf numFmtId="172" fontId="0" fillId="3" borderId="0" xfId="0" applyNumberFormat="1" applyFill="1" applyBorder="1" applyAlignment="1">
      <alignment horizontal="right"/>
    </xf>
    <xf numFmtId="0" fontId="1" fillId="8" borderId="15" xfId="0" applyFont="1" applyFill="1" applyBorder="1" applyAlignment="1">
      <alignment horizontal="left" wrapText="1"/>
    </xf>
    <xf numFmtId="0" fontId="0" fillId="0" borderId="4" xfId="0" applyFont="1" applyFill="1" applyBorder="1" applyAlignment="1">
      <alignment/>
    </xf>
    <xf numFmtId="0" fontId="0" fillId="0" borderId="5" xfId="0" applyFont="1" applyFill="1" applyBorder="1" applyAlignment="1">
      <alignment/>
    </xf>
    <xf numFmtId="0" fontId="0" fillId="0" borderId="4" xfId="0" applyFill="1" applyBorder="1" applyAlignment="1">
      <alignment/>
    </xf>
    <xf numFmtId="9" fontId="0" fillId="0" borderId="5" xfId="0" applyNumberFormat="1" applyFont="1" applyFill="1" applyBorder="1" applyAlignment="1">
      <alignment/>
    </xf>
    <xf numFmtId="9" fontId="0" fillId="0" borderId="26" xfId="0" applyNumberFormat="1" applyFont="1" applyFill="1" applyBorder="1" applyAlignment="1">
      <alignment/>
    </xf>
    <xf numFmtId="0" fontId="0" fillId="0" borderId="0" xfId="0" applyFill="1" applyAlignment="1">
      <alignment/>
    </xf>
    <xf numFmtId="0" fontId="0" fillId="0" borderId="5" xfId="0" applyFill="1" applyBorder="1" applyAlignment="1">
      <alignment/>
    </xf>
    <xf numFmtId="0" fontId="0" fillId="0" borderId="8" xfId="0" applyFill="1" applyBorder="1" applyAlignment="1">
      <alignment/>
    </xf>
    <xf numFmtId="0" fontId="0" fillId="0" borderId="7" xfId="0" applyFill="1" applyBorder="1" applyAlignment="1">
      <alignment/>
    </xf>
    <xf numFmtId="0" fontId="0" fillId="0" borderId="2" xfId="0" applyFill="1" applyBorder="1" applyAlignment="1">
      <alignment/>
    </xf>
    <xf numFmtId="0" fontId="0" fillId="0" borderId="22" xfId="0" applyFill="1" applyBorder="1" applyAlignment="1">
      <alignment/>
    </xf>
    <xf numFmtId="0" fontId="16" fillId="0" borderId="4" xfId="0" applyFont="1" applyFill="1" applyBorder="1" applyAlignment="1">
      <alignment/>
    </xf>
    <xf numFmtId="166" fontId="0" fillId="0" borderId="4" xfId="0" applyNumberFormat="1" applyFill="1" applyBorder="1" applyAlignment="1">
      <alignment/>
    </xf>
    <xf numFmtId="166" fontId="0" fillId="0" borderId="7" xfId="0" applyNumberFormat="1" applyFill="1" applyBorder="1" applyAlignment="1">
      <alignment/>
    </xf>
    <xf numFmtId="166" fontId="0" fillId="0" borderId="8" xfId="0" applyNumberFormat="1" applyFill="1" applyBorder="1" applyAlignment="1">
      <alignment/>
    </xf>
    <xf numFmtId="0" fontId="30" fillId="0" borderId="20" xfId="0" applyFont="1" applyBorder="1" applyAlignment="1">
      <alignment horizontal="center" wrapText="1"/>
    </xf>
    <xf numFmtId="0" fontId="30" fillId="9" borderId="18" xfId="0" applyFont="1" applyFill="1" applyBorder="1" applyAlignment="1">
      <alignment horizontal="center" wrapText="1"/>
    </xf>
    <xf numFmtId="0" fontId="30" fillId="9" borderId="20" xfId="0" applyFont="1" applyFill="1" applyBorder="1" applyAlignment="1">
      <alignment horizontal="center" wrapText="1"/>
    </xf>
    <xf numFmtId="0" fontId="27" fillId="8" borderId="18" xfId="0" applyFont="1" applyFill="1" applyBorder="1" applyAlignment="1">
      <alignment horizontal="center" wrapText="1"/>
    </xf>
    <xf numFmtId="0" fontId="1" fillId="8" borderId="20" xfId="0" applyFont="1" applyFill="1" applyBorder="1" applyAlignment="1">
      <alignment horizontal="center" wrapText="1"/>
    </xf>
    <xf numFmtId="0" fontId="27" fillId="8" borderId="12" xfId="0" applyFont="1" applyFill="1" applyBorder="1" applyAlignment="1">
      <alignment horizontal="left" wrapText="1"/>
    </xf>
    <xf numFmtId="0" fontId="1" fillId="8" borderId="10" xfId="0" applyFont="1" applyFill="1" applyBorder="1" applyAlignment="1">
      <alignment horizontal="left" wrapText="1"/>
    </xf>
    <xf numFmtId="0" fontId="0" fillId="0" borderId="6" xfId="0" applyFill="1" applyBorder="1" applyAlignment="1">
      <alignment/>
    </xf>
    <xf numFmtId="166" fontId="0" fillId="0" borderId="6" xfId="0" applyNumberFormat="1" applyFill="1" applyBorder="1" applyAlignment="1">
      <alignment/>
    </xf>
    <xf numFmtId="166" fontId="0" fillId="0" borderId="9" xfId="0" applyNumberFormat="1" applyFill="1" applyBorder="1" applyAlignment="1">
      <alignment/>
    </xf>
    <xf numFmtId="0" fontId="16" fillId="0" borderId="6" xfId="0" applyFont="1" applyFill="1" applyBorder="1" applyAlignment="1">
      <alignment horizontal="right"/>
    </xf>
    <xf numFmtId="186" fontId="16" fillId="0" borderId="6" xfId="0" applyNumberFormat="1" applyFont="1" applyFill="1" applyBorder="1" applyAlignment="1">
      <alignment/>
    </xf>
    <xf numFmtId="186" fontId="16" fillId="0" borderId="0" xfId="0" applyNumberFormat="1" applyFont="1" applyFill="1" applyBorder="1" applyAlignment="1">
      <alignment/>
    </xf>
    <xf numFmtId="186" fontId="16" fillId="0" borderId="9" xfId="0" applyNumberFormat="1" applyFont="1" applyFill="1" applyBorder="1" applyAlignment="1">
      <alignment/>
    </xf>
    <xf numFmtId="166" fontId="0" fillId="0" borderId="0" xfId="0" applyNumberFormat="1" applyFill="1" applyAlignment="1">
      <alignment/>
    </xf>
    <xf numFmtId="0" fontId="16" fillId="0" borderId="29" xfId="0" applyFont="1" applyFill="1" applyBorder="1" applyAlignment="1">
      <alignment/>
    </xf>
    <xf numFmtId="0" fontId="16" fillId="0" borderId="34" xfId="0" applyFont="1" applyFill="1" applyBorder="1" applyAlignment="1">
      <alignment/>
    </xf>
    <xf numFmtId="0" fontId="0" fillId="0" borderId="23" xfId="0" applyFill="1" applyBorder="1" applyAlignment="1">
      <alignment/>
    </xf>
    <xf numFmtId="43" fontId="0" fillId="0" borderId="0" xfId="15" applyFill="1" applyAlignment="1">
      <alignment/>
    </xf>
    <xf numFmtId="164" fontId="0" fillId="0" borderId="0" xfId="15" applyNumberFormat="1" applyFill="1" applyAlignment="1">
      <alignment/>
    </xf>
    <xf numFmtId="0" fontId="16" fillId="0" borderId="48" xfId="0" applyFont="1" applyFill="1" applyBorder="1" applyAlignment="1">
      <alignment/>
    </xf>
    <xf numFmtId="0" fontId="0" fillId="0" borderId="35" xfId="0" applyFill="1" applyBorder="1" applyAlignment="1">
      <alignment/>
    </xf>
    <xf numFmtId="186" fontId="0" fillId="0" borderId="0" xfId="0" applyNumberFormat="1" applyFill="1" applyAlignment="1">
      <alignment/>
    </xf>
    <xf numFmtId="186" fontId="0" fillId="0" borderId="23" xfId="0" applyNumberFormat="1" applyFill="1" applyBorder="1" applyAlignment="1">
      <alignment/>
    </xf>
    <xf numFmtId="0" fontId="0" fillId="0" borderId="29" xfId="0" applyFill="1" applyBorder="1" applyAlignment="1">
      <alignment/>
    </xf>
    <xf numFmtId="174" fontId="0" fillId="0" borderId="0" xfId="15" applyNumberFormat="1" applyAlignment="1">
      <alignment/>
    </xf>
    <xf numFmtId="174" fontId="0" fillId="0" borderId="4" xfId="0" applyNumberFormat="1" applyFill="1" applyBorder="1" applyAlignment="1">
      <alignment/>
    </xf>
    <xf numFmtId="174" fontId="0" fillId="0" borderId="7" xfId="0" applyNumberFormat="1" applyFill="1" applyBorder="1" applyAlignment="1">
      <alignment/>
    </xf>
    <xf numFmtId="174" fontId="0" fillId="0" borderId="8" xfId="0" applyNumberFormat="1" applyFill="1" applyBorder="1" applyAlignment="1">
      <alignment/>
    </xf>
    <xf numFmtId="174" fontId="0" fillId="0" borderId="6" xfId="0" applyNumberFormat="1" applyFill="1" applyBorder="1" applyAlignment="1">
      <alignment/>
    </xf>
    <xf numFmtId="174" fontId="0" fillId="0" borderId="0" xfId="0" applyNumberFormat="1" applyFill="1" applyBorder="1" applyAlignment="1">
      <alignment/>
    </xf>
    <xf numFmtId="174" fontId="0" fillId="0" borderId="9" xfId="0" applyNumberFormat="1" applyFill="1" applyBorder="1" applyAlignment="1">
      <alignment/>
    </xf>
    <xf numFmtId="174" fontId="0" fillId="0" borderId="29" xfId="0" applyNumberFormat="1" applyFill="1" applyBorder="1" applyAlignment="1">
      <alignment/>
    </xf>
    <xf numFmtId="174" fontId="0" fillId="0" borderId="3" xfId="0" applyNumberFormat="1" applyFill="1" applyBorder="1" applyAlignment="1">
      <alignment/>
    </xf>
    <xf numFmtId="174" fontId="0" fillId="0" borderId="28" xfId="0" applyNumberFormat="1" applyFill="1" applyBorder="1" applyAlignment="1">
      <alignment/>
    </xf>
    <xf numFmtId="174" fontId="0" fillId="0" borderId="0" xfId="0" applyNumberFormat="1" applyFill="1" applyAlignment="1">
      <alignment/>
    </xf>
    <xf numFmtId="174" fontId="0" fillId="0" borderId="35" xfId="0" applyNumberFormat="1" applyFill="1" applyBorder="1" applyAlignment="1">
      <alignment/>
    </xf>
    <xf numFmtId="174" fontId="0" fillId="0" borderId="23" xfId="0" applyNumberFormat="1" applyFill="1" applyBorder="1" applyAlignment="1">
      <alignment/>
    </xf>
    <xf numFmtId="174" fontId="0" fillId="0" borderId="36" xfId="0" applyNumberFormat="1" applyFill="1" applyBorder="1" applyAlignment="1">
      <alignment/>
    </xf>
    <xf numFmtId="174" fontId="40" fillId="0" borderId="4" xfId="0" applyNumberFormat="1" applyFont="1" applyFill="1" applyBorder="1" applyAlignment="1">
      <alignment/>
    </xf>
    <xf numFmtId="174" fontId="40" fillId="0" borderId="7" xfId="0" applyNumberFormat="1" applyFont="1" applyFill="1" applyBorder="1" applyAlignment="1">
      <alignment/>
    </xf>
    <xf numFmtId="174" fontId="40" fillId="0" borderId="8" xfId="0" applyNumberFormat="1" applyFont="1" applyFill="1" applyBorder="1" applyAlignment="1">
      <alignment/>
    </xf>
    <xf numFmtId="174" fontId="41" fillId="0" borderId="6" xfId="0" applyNumberFormat="1" applyFont="1" applyFill="1" applyBorder="1" applyAlignment="1">
      <alignment/>
    </xf>
    <xf numFmtId="174" fontId="41" fillId="0" borderId="0" xfId="0" applyNumberFormat="1" applyFont="1" applyFill="1" applyBorder="1" applyAlignment="1">
      <alignment/>
    </xf>
    <xf numFmtId="174" fontId="41" fillId="0" borderId="0" xfId="0" applyNumberFormat="1" applyFont="1" applyFill="1" applyAlignment="1">
      <alignment/>
    </xf>
    <xf numFmtId="174" fontId="41" fillId="0" borderId="9" xfId="0" applyNumberFormat="1" applyFont="1" applyFill="1" applyBorder="1" applyAlignment="1">
      <alignment/>
    </xf>
    <xf numFmtId="0" fontId="35" fillId="0" borderId="6" xfId="0" applyFont="1" applyFill="1" applyBorder="1" applyAlignment="1">
      <alignment/>
    </xf>
    <xf numFmtId="174" fontId="35" fillId="0" borderId="6" xfId="0" applyNumberFormat="1" applyFont="1" applyFill="1" applyBorder="1" applyAlignment="1">
      <alignment/>
    </xf>
    <xf numFmtId="174" fontId="35" fillId="0" borderId="0" xfId="0" applyNumberFormat="1" applyFont="1" applyFill="1" applyBorder="1" applyAlignment="1">
      <alignment/>
    </xf>
    <xf numFmtId="174" fontId="35" fillId="0" borderId="0" xfId="0" applyNumberFormat="1" applyFont="1" applyFill="1" applyAlignment="1">
      <alignment/>
    </xf>
    <xf numFmtId="174" fontId="42" fillId="0" borderId="6" xfId="0" applyNumberFormat="1" applyFont="1" applyFill="1" applyBorder="1" applyAlignment="1">
      <alignment/>
    </xf>
    <xf numFmtId="174" fontId="42" fillId="0" borderId="0" xfId="0" applyNumberFormat="1" applyFont="1" applyFill="1" applyAlignment="1">
      <alignment/>
    </xf>
    <xf numFmtId="174" fontId="42" fillId="0" borderId="0" xfId="0" applyNumberFormat="1" applyFont="1" applyFill="1" applyBorder="1" applyAlignment="1">
      <alignment/>
    </xf>
    <xf numFmtId="174" fontId="43" fillId="0" borderId="6" xfId="0" applyNumberFormat="1" applyFont="1" applyFill="1" applyBorder="1" applyAlignment="1">
      <alignment/>
    </xf>
    <xf numFmtId="174" fontId="43" fillId="0" borderId="0" xfId="0" applyNumberFormat="1" applyFont="1" applyFill="1" applyBorder="1" applyAlignment="1">
      <alignment/>
    </xf>
    <xf numFmtId="174" fontId="43" fillId="0" borderId="0" xfId="0" applyNumberFormat="1" applyFont="1" applyFill="1" applyAlignment="1">
      <alignment/>
    </xf>
    <xf numFmtId="174" fontId="43" fillId="0" borderId="9" xfId="0" applyNumberFormat="1" applyFont="1" applyFill="1" applyBorder="1" applyAlignment="1">
      <alignment/>
    </xf>
    <xf numFmtId="174" fontId="44" fillId="0" borderId="6" xfId="0" applyNumberFormat="1" applyFont="1" applyFill="1" applyBorder="1" applyAlignment="1">
      <alignment/>
    </xf>
    <xf numFmtId="174" fontId="44" fillId="0" borderId="0" xfId="0" applyNumberFormat="1" applyFont="1" applyFill="1" applyAlignment="1">
      <alignment/>
    </xf>
    <xf numFmtId="174" fontId="44" fillId="0" borderId="9" xfId="0" applyNumberFormat="1" applyFont="1" applyFill="1" applyBorder="1" applyAlignment="1">
      <alignment/>
    </xf>
    <xf numFmtId="174" fontId="44" fillId="0" borderId="0" xfId="0" applyNumberFormat="1" applyFont="1" applyFill="1" applyBorder="1" applyAlignment="1">
      <alignment/>
    </xf>
    <xf numFmtId="174" fontId="45" fillId="0" borderId="6" xfId="0" applyNumberFormat="1" applyFont="1" applyFill="1" applyBorder="1" applyAlignment="1">
      <alignment/>
    </xf>
    <xf numFmtId="174" fontId="45" fillId="0" borderId="0" xfId="0" applyNumberFormat="1" applyFont="1" applyFill="1" applyBorder="1" applyAlignment="1">
      <alignment/>
    </xf>
    <xf numFmtId="174" fontId="45" fillId="0" borderId="0" xfId="0" applyNumberFormat="1" applyFont="1" applyFill="1" applyAlignment="1">
      <alignment/>
    </xf>
    <xf numFmtId="174" fontId="46" fillId="0" borderId="6" xfId="0" applyNumberFormat="1" applyFont="1" applyFill="1" applyBorder="1" applyAlignment="1">
      <alignment/>
    </xf>
    <xf numFmtId="174" fontId="46" fillId="0" borderId="0" xfId="0" applyNumberFormat="1" applyFont="1" applyFill="1" applyAlignment="1">
      <alignment/>
    </xf>
    <xf numFmtId="0" fontId="30" fillId="0" borderId="19" xfId="0" applyFont="1" applyBorder="1" applyAlignment="1">
      <alignment horizontal="center" wrapText="1"/>
    </xf>
    <xf numFmtId="0" fontId="30" fillId="0" borderId="16" xfId="0" applyFont="1" applyBorder="1" applyAlignment="1">
      <alignment horizontal="center" wrapText="1"/>
    </xf>
    <xf numFmtId="0" fontId="30" fillId="0" borderId="18" xfId="0" applyFont="1" applyBorder="1" applyAlignment="1">
      <alignment horizontal="center" wrapText="1"/>
    </xf>
    <xf numFmtId="0" fontId="30" fillId="0" borderId="18" xfId="0" applyFont="1" applyBorder="1" applyAlignment="1">
      <alignment/>
    </xf>
    <xf numFmtId="0" fontId="30" fillId="0" borderId="20" xfId="0" applyFont="1" applyBorder="1" applyAlignment="1">
      <alignment/>
    </xf>
    <xf numFmtId="0" fontId="30" fillId="0" borderId="12" xfId="0" applyFont="1" applyBorder="1" applyAlignment="1">
      <alignment horizontal="center" wrapText="1"/>
    </xf>
    <xf numFmtId="0" fontId="30" fillId="0" borderId="10" xfId="0" applyFont="1" applyBorder="1" applyAlignment="1">
      <alignment horizontal="center" wrapText="1"/>
    </xf>
    <xf numFmtId="0" fontId="30" fillId="0" borderId="15" xfId="0" applyFont="1" applyBorder="1" applyAlignment="1">
      <alignment horizontal="center" wrapText="1"/>
    </xf>
    <xf numFmtId="0" fontId="27" fillId="8" borderId="20" xfId="0" applyFont="1" applyFill="1" applyBorder="1" applyAlignment="1">
      <alignment horizontal="center" wrapText="1"/>
    </xf>
    <xf numFmtId="0" fontId="30" fillId="0" borderId="12" xfId="0" applyFont="1" applyBorder="1" applyAlignment="1">
      <alignment horizontal="left" wrapText="1"/>
    </xf>
    <xf numFmtId="0" fontId="31" fillId="0" borderId="10" xfId="0" applyFont="1" applyBorder="1" applyAlignment="1">
      <alignment horizontal="left" wrapText="1"/>
    </xf>
    <xf numFmtId="0" fontId="31" fillId="0" borderId="15" xfId="0" applyFont="1" applyBorder="1" applyAlignment="1">
      <alignment horizontal="left" wrapText="1"/>
    </xf>
    <xf numFmtId="0" fontId="31" fillId="0" borderId="20" xfId="0" applyFont="1" applyBorder="1" applyAlignment="1">
      <alignment horizontal="center" wrapText="1"/>
    </xf>
    <xf numFmtId="0" fontId="27" fillId="7" borderId="18" xfId="0" applyFont="1" applyFill="1" applyBorder="1" applyAlignment="1">
      <alignment horizontal="center" wrapText="1"/>
    </xf>
    <xf numFmtId="0" fontId="1" fillId="7" borderId="20" xfId="0" applyFont="1" applyFill="1" applyBorder="1" applyAlignment="1">
      <alignment horizontal="center" wrapText="1"/>
    </xf>
    <xf numFmtId="0" fontId="27" fillId="9" borderId="18" xfId="0" applyFont="1" applyFill="1" applyBorder="1" applyAlignment="1">
      <alignment horizontal="center" wrapText="1"/>
    </xf>
    <xf numFmtId="0" fontId="1" fillId="9" borderId="20" xfId="0" applyFont="1" applyFill="1" applyBorder="1" applyAlignment="1">
      <alignment horizontal="center" wrapText="1"/>
    </xf>
    <xf numFmtId="0" fontId="1" fillId="8" borderId="18" xfId="0" applyFont="1" applyFill="1" applyBorder="1" applyAlignment="1">
      <alignment/>
    </xf>
    <xf numFmtId="0" fontId="1" fillId="8" borderId="20" xfId="0" applyFont="1" applyFill="1" applyBorder="1" applyAlignment="1">
      <alignment/>
    </xf>
    <xf numFmtId="0" fontId="27" fillId="8" borderId="10" xfId="0" applyFont="1" applyFill="1" applyBorder="1" applyAlignment="1">
      <alignment horizontal="left" wrapText="1"/>
    </xf>
    <xf numFmtId="0" fontId="27" fillId="8" borderId="15" xfId="0" applyFont="1" applyFill="1" applyBorder="1" applyAlignment="1">
      <alignment horizontal="left" wrapText="1"/>
    </xf>
    <xf numFmtId="0" fontId="22" fillId="0" borderId="0" xfId="0" applyFont="1" applyFill="1" applyBorder="1" applyAlignment="1">
      <alignment vertical="top" wrapText="1"/>
    </xf>
    <xf numFmtId="0" fontId="0" fillId="0" borderId="0" xfId="0" applyAlignment="1">
      <alignment vertical="top" wrapText="1"/>
    </xf>
    <xf numFmtId="0" fontId="16" fillId="0" borderId="0" xfId="0" applyFont="1" applyBorder="1" applyAlignment="1">
      <alignment horizontal="center"/>
    </xf>
    <xf numFmtId="0" fontId="22" fillId="0" borderId="11" xfId="0" applyFont="1" applyFill="1" applyBorder="1" applyAlignment="1">
      <alignment vertical="top" wrapText="1"/>
    </xf>
    <xf numFmtId="0" fontId="0" fillId="0" borderId="11" xfId="0" applyBorder="1" applyAlignment="1">
      <alignment vertical="top" wrapText="1"/>
    </xf>
    <xf numFmtId="0" fontId="16" fillId="0" borderId="10" xfId="0" applyFont="1" applyBorder="1" applyAlignment="1">
      <alignment horizontal="center"/>
    </xf>
    <xf numFmtId="0" fontId="16" fillId="0" borderId="15" xfId="0" applyFont="1" applyBorder="1" applyAlignment="1">
      <alignment horizontal="center"/>
    </xf>
    <xf numFmtId="0" fontId="16" fillId="0" borderId="12" xfId="0" applyFont="1" applyBorder="1" applyAlignment="1">
      <alignment horizontal="center"/>
    </xf>
    <xf numFmtId="37" fontId="6" fillId="0" borderId="0" xfId="0" applyNumberFormat="1" applyFont="1" applyFill="1" applyAlignment="1" applyProtection="1">
      <alignment horizontal="center"/>
      <protection/>
    </xf>
    <xf numFmtId="37" fontId="8" fillId="0" borderId="0" xfId="0" applyNumberFormat="1" applyFont="1" applyAlignment="1" applyProtection="1">
      <alignment horizontal="center"/>
      <protection/>
    </xf>
    <xf numFmtId="0" fontId="22" fillId="0" borderId="0" xfId="0" applyFont="1" applyFill="1" applyBorder="1" applyAlignment="1">
      <alignment wrapText="1"/>
    </xf>
    <xf numFmtId="0" fontId="0" fillId="0" borderId="0" xfId="0" applyAlignment="1">
      <alignment wrapText="1"/>
    </xf>
    <xf numFmtId="0" fontId="0" fillId="0" borderId="0" xfId="0" applyBorder="1" applyAlignment="1">
      <alignment vertical="top" wrapText="1"/>
    </xf>
    <xf numFmtId="0" fontId="19" fillId="0" borderId="12" xfId="0" applyFont="1" applyFill="1" applyBorder="1" applyAlignment="1">
      <alignment horizontal="center"/>
    </xf>
    <xf numFmtId="0" fontId="19" fillId="0" borderId="10" xfId="0" applyFont="1" applyFill="1" applyBorder="1" applyAlignment="1">
      <alignment horizontal="center"/>
    </xf>
    <xf numFmtId="0" fontId="1" fillId="0" borderId="0" xfId="0" applyFont="1" applyFill="1" applyBorder="1" applyAlignment="1">
      <alignment vertical="top" wrapText="1"/>
    </xf>
    <xf numFmtId="0" fontId="0" fillId="0" borderId="0" xfId="0" applyFill="1" applyAlignment="1">
      <alignment/>
    </xf>
    <xf numFmtId="174" fontId="24" fillId="0" borderId="18" xfId="15" applyNumberFormat="1" applyFont="1" applyFill="1" applyBorder="1" applyAlignment="1">
      <alignment/>
    </xf>
    <xf numFmtId="174" fontId="47" fillId="0" borderId="18" xfId="15" applyNumberFormat="1" applyFont="1" applyFill="1" applyBorder="1" applyAlignment="1">
      <alignment/>
    </xf>
    <xf numFmtId="174" fontId="18" fillId="0" borderId="18" xfId="15" applyNumberFormat="1" applyFont="1" applyFill="1" applyBorder="1" applyAlignment="1">
      <alignment/>
    </xf>
    <xf numFmtId="174" fontId="0" fillId="0" borderId="18" xfId="15" applyNumberFormat="1" applyFont="1" applyFill="1" applyBorder="1" applyAlignment="1">
      <alignment/>
    </xf>
    <xf numFmtId="174" fontId="0" fillId="0" borderId="18" xfId="15" applyNumberFormat="1" applyFont="1" applyFill="1" applyBorder="1" applyAlignment="1">
      <alignment/>
    </xf>
  </cellXfs>
  <cellStyles count="19">
    <cellStyle name="Normal" xfId="0"/>
    <cellStyle name="Comma" xfId="15"/>
    <cellStyle name="Comma [0]" xfId="16"/>
    <cellStyle name="Currency" xfId="17"/>
    <cellStyle name="Currency [0]" xfId="18"/>
    <cellStyle name="Followed Hyperlink" xfId="19"/>
    <cellStyle name="Hyperlink" xfId="20"/>
    <cellStyle name="Normal_Degree02 Form" xfId="21"/>
    <cellStyle name="Normal_Degrees02 Form" xfId="22"/>
    <cellStyle name="Normal_E-learning04 Form" xfId="23"/>
    <cellStyle name="Normal_InstructionTypes06" xfId="24"/>
    <cellStyle name="Normal_Salaries02 Form" xfId="25"/>
    <cellStyle name="Normal_SCH&amp;FTE02 Form" xfId="26"/>
    <cellStyle name="Normal_SCH&amp;FTE03 Form" xfId="27"/>
    <cellStyle name="Normal_StProg01B" xfId="28"/>
    <cellStyle name="Normal_StProg02 Form" xfId="29"/>
    <cellStyle name="Percent" xfId="30"/>
    <cellStyle name="questionable" xfId="31"/>
    <cellStyle name="review" xfId="32"/>
  </cellStyles>
  <dxfs count="45">
    <dxf>
      <numFmt numFmtId="13" formatCode="# ??/??"/>
      <border/>
    </dxf>
    <dxf>
      <border>
        <bottom style="thin"/>
      </border>
    </dxf>
    <dxf>
      <border>
        <top style="thin">
          <color rgb="FF000000"/>
        </top>
      </border>
    </dxf>
    <dxf>
      <font>
        <b/>
      </font>
      <border/>
    </dxf>
    <dxf>
      <border>
        <top style="thin">
          <color rgb="FF000000"/>
        </top>
        <bottom>
          <color rgb="FF000000"/>
        </bottom>
      </border>
    </dxf>
    <dxf>
      <font>
        <b val="0"/>
      </font>
      <border/>
    </dxf>
    <dxf>
      <fill>
        <patternFill patternType="solid">
          <bgColor rgb="FFFFCC99"/>
        </patternFill>
      </fill>
      <border/>
    </dxf>
    <dxf>
      <fill>
        <patternFill patternType="solid">
          <bgColor rgb="FFFF99CC"/>
        </patternFill>
      </fill>
      <border/>
    </dxf>
    <dxf>
      <fill>
        <patternFill patternType="solid">
          <bgColor rgb="FFFFCC00"/>
        </patternFill>
      </fill>
      <border/>
    </dxf>
    <dxf>
      <fill>
        <patternFill patternType="solid">
          <bgColor rgb="FFFFFF99"/>
        </patternFill>
      </fill>
      <border/>
    </dxf>
    <dxf>
      <border>
        <top>
          <color rgb="FF000000"/>
        </top>
      </border>
    </dxf>
    <dxf>
      <border>
        <bottom style="thin">
          <color rgb="FF000000"/>
        </bottom>
      </border>
    </dxf>
    <dxf>
      <fill>
        <patternFill patternType="none"/>
      </fill>
      <border/>
    </dxf>
    <dxf>
      <numFmt numFmtId="174" formatCode="_(* #,##0_);_(* \(#,##0\);_(* &quot;-&quot;??_);_(@_)"/>
      <border/>
    </dxf>
    <dxf>
      <font>
        <color rgb="FFFF6600"/>
      </font>
      <border/>
    </dxf>
    <dxf>
      <font>
        <color rgb="FF008000"/>
      </font>
      <border/>
    </dxf>
    <dxf>
      <font>
        <color rgb="FFFF00FF"/>
      </font>
      <border/>
    </dxf>
    <dxf>
      <font>
        <color rgb="FF3366FF"/>
      </font>
      <border/>
    </dxf>
    <dxf>
      <font>
        <color rgb="FF993366"/>
      </font>
      <border/>
    </dxf>
    <dxf>
      <font>
        <color rgb="FF808080"/>
      </font>
      <border/>
    </dxf>
    <dxf>
      <font>
        <color rgb="FF808000"/>
      </font>
      <border/>
    </dxf>
    <dxf>
      <font>
        <color rgb="FF969696"/>
      </font>
      <border/>
    </dxf>
    <dxf>
      <numFmt numFmtId="166" formatCode="0.0%"/>
      <border/>
    </dxf>
    <dxf>
      <alignment horizontal="right" readingOrder="0"/>
      <border/>
    </dxf>
    <dxf>
      <font>
        <b/>
      </font>
      <alignment horizontal="right" readingOrder="0"/>
      <border/>
    </dxf>
    <dxf>
      <numFmt numFmtId="187" formatCode="0.000%"/>
      <border/>
    </dxf>
    <dxf>
      <border>
        <left style="medium"/>
        <right style="medium"/>
      </border>
    </dxf>
    <dxf>
      <numFmt numFmtId="186" formatCode="#,##0.0"/>
      <border/>
    </dxf>
    <dxf>
      <font>
        <b/>
      </font>
      <numFmt numFmtId="186" formatCode="#,##0.0"/>
      <border/>
    </dxf>
    <dxf>
      <numFmt numFmtId="200" formatCode="0.00%"/>
      <border/>
    </dxf>
    <dxf>
      <border>
        <left style="medium"/>
        <right style="medium"/>
        <top style="medium"/>
        <bottom style="medium"/>
      </border>
    </dxf>
    <dxf>
      <border>
        <left style="medium"/>
        <right style="medium"/>
        <bottom style="medium"/>
      </border>
    </dxf>
    <dxf>
      <border>
        <right style="medium"/>
        <top style="medium"/>
        <bottom style="medium"/>
      </border>
    </dxf>
    <dxf>
      <border>
        <left style="thin"/>
        <right style="thin"/>
        <top style="thin"/>
        <bottom style="thin"/>
      </border>
    </dxf>
    <dxf>
      <border>
        <right style="thin"/>
        <top style="thin"/>
        <bottom style="thin"/>
      </border>
    </dxf>
    <dxf>
      <border>
        <left style="thin"/>
        <right style="thin"/>
        <bottom style="thin"/>
      </border>
    </dxf>
    <dxf>
      <border>
        <left style="thin"/>
        <right style="thin"/>
        <top style="thin"/>
      </border>
    </dxf>
    <dxf>
      <border>
        <left style="thin"/>
        <right style="thin"/>
      </border>
    </dxf>
    <dxf>
      <border>
        <left style="thin"/>
        <top style="thin"/>
      </border>
    </dxf>
    <dxf>
      <border>
        <left style="thin"/>
        <bottom style="thin"/>
      </border>
    </dxf>
    <dxf>
      <border>
        <right style="thin"/>
        <bottom style="thin"/>
      </border>
    </dxf>
    <dxf>
      <numFmt numFmtId="172" formatCode="0.0"/>
      <border/>
    </dxf>
    <dxf>
      <numFmt numFmtId="164" formatCode="_(* #,##0.0_);_(* \(#,##0.0\);_(* &quot;-&quot;??_);_(@_)"/>
      <border/>
    </dxf>
    <dxf>
      <fill>
        <patternFill patternType="solid">
          <bgColor rgb="FFFFFF00"/>
        </patternFill>
      </fill>
      <border/>
    </dxf>
    <dxf>
      <font>
        <b/>
      </font>
      <numFmt numFmtId="172" formatCode="0.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Exchange\DE2001-02\Check%20Lists%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Exchange\DE2004-05\Surveys\AL%20CH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xchange\DE2001-02\Check%20Lists%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Exchange\DE2000-01\Summary%20Data\Benefits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ponse History"/>
      <sheetName val="Surveys In"/>
      <sheetName val="Classification Poll"/>
      <sheetName val="Retention Data Poll"/>
      <sheetName val="Faculty Data Poll"/>
      <sheetName val="followup tracking"/>
      <sheetName val="Grad rate review"/>
    </sheetNames>
    <sheetDataSet>
      <sheetData sheetId="1">
        <row r="2">
          <cell r="C2" t="str">
            <v>SREB-State Data Exchange</v>
          </cell>
        </row>
        <row r="3">
          <cell r="A3" t="str">
            <v> </v>
          </cell>
          <cell r="C3" t="str">
            <v>   32 Years and Still Counting</v>
          </cell>
        </row>
        <row r="4">
          <cell r="C4" t="str">
            <v>Progress Report</v>
          </cell>
        </row>
        <row r="5">
          <cell r="C5" t="str">
            <v>To:</v>
          </cell>
          <cell r="D5" t="str">
            <v>Data Exchange Coordinators, Agency Heads, Finance Officers and Staff</v>
          </cell>
        </row>
        <row r="6">
          <cell r="C6" t="str">
            <v>From:</v>
          </cell>
          <cell r="D6" t="str">
            <v>Joe Marks, Director of Education Data Services</v>
          </cell>
        </row>
        <row r="7">
          <cell r="C7" t="str">
            <v>Date:</v>
          </cell>
          <cell r="D7">
            <v>37421</v>
          </cell>
        </row>
        <row r="8">
          <cell r="C8" t="str">
            <v>As can be seen in the charts, we're in the fourth quarter of this year's Data Exchange game. Entire surveys from five agencies are still due. Not counting Part 2, partial surveys are due from three agencies. Part 2 submissions are due from eight agencies.</v>
          </cell>
          <cell r="AA8" t="str">
            <v>Four-Year</v>
          </cell>
          <cell r="AB8" t="str">
            <v>Two- Year 1</v>
          </cell>
          <cell r="AC8" t="str">
            <v>Two- Year 2</v>
          </cell>
        </row>
        <row r="9">
          <cell r="C9" t="str">
            <v>Delaware, South Carolina, Tennessee and Texas also need to register their feedback on the proposed two-year college categories. Tennessee and Texas need to provide final verification or revisions for the 2000-01 student progression data.</v>
          </cell>
          <cell r="V9" t="str">
            <v>In</v>
          </cell>
        </row>
        <row r="10">
          <cell r="D10" t="str">
            <v>Survey Sections Received</v>
          </cell>
          <cell r="AA10">
            <v>0.9166666666666666</v>
          </cell>
          <cell r="AB10">
            <v>0.9166666666666666</v>
          </cell>
          <cell r="AC10">
            <v>0.5432098765432098</v>
          </cell>
        </row>
        <row r="11">
          <cell r="C11" t="str">
            <v>Agency</v>
          </cell>
          <cell r="D11" t="str">
            <v>1. Completions</v>
          </cell>
          <cell r="E11" t="str">
            <v>2. Student Progression</v>
          </cell>
          <cell r="F11" t="str">
            <v>3. Student Credit Hours</v>
          </cell>
          <cell r="G11" t="str">
            <v>4. Public Funds</v>
          </cell>
          <cell r="H11" t="str">
            <v>5. Tuition &amp; Fees Data</v>
          </cell>
          <cell r="I11" t="str">
            <v>6. Tuition &amp; Fees Policies</v>
          </cell>
          <cell r="J11" t="str">
            <v>7. Faculty Salaries</v>
          </cell>
          <cell r="K11" t="str">
            <v>8. Faculty Benefits</v>
          </cell>
          <cell r="L11" t="str">
            <v>9. Benefits Descriptions</v>
          </cell>
        </row>
        <row r="12">
          <cell r="C12" t="str">
            <v>due dates</v>
          </cell>
          <cell r="D12" t="str">
            <v>ASAP</v>
          </cell>
          <cell r="E12">
            <v>37406</v>
          </cell>
          <cell r="F12">
            <v>37316</v>
          </cell>
          <cell r="G12">
            <v>37316</v>
          </cell>
          <cell r="H12">
            <v>37316</v>
          </cell>
          <cell r="I12">
            <v>37316</v>
          </cell>
          <cell r="J12">
            <v>37316</v>
          </cell>
          <cell r="K12">
            <v>37316</v>
          </cell>
          <cell r="L12">
            <v>37316</v>
          </cell>
        </row>
        <row r="13">
          <cell r="C13" t="str">
            <v>AL: CHE</v>
          </cell>
          <cell r="D13" t="str">
            <v>******</v>
          </cell>
          <cell r="E13" t="str">
            <v>******</v>
          </cell>
          <cell r="F13" t="str">
            <v>******</v>
          </cell>
          <cell r="G13" t="str">
            <v>******</v>
          </cell>
          <cell r="H13" t="str">
            <v>******</v>
          </cell>
          <cell r="I13" t="str">
            <v>******</v>
          </cell>
          <cell r="J13" t="str">
            <v>******</v>
          </cell>
          <cell r="K13" t="str">
            <v>******</v>
          </cell>
          <cell r="L13" t="str">
            <v>******</v>
          </cell>
        </row>
        <row r="14">
          <cell r="C14" t="str">
            <v>AR: HECB</v>
          </cell>
          <cell r="D14" t="str">
            <v>****</v>
          </cell>
          <cell r="E14" t="str">
            <v>******</v>
          </cell>
          <cell r="F14" t="str">
            <v>******</v>
          </cell>
          <cell r="G14" t="str">
            <v>******</v>
          </cell>
          <cell r="H14" t="str">
            <v>******</v>
          </cell>
          <cell r="I14" t="str">
            <v>******</v>
          </cell>
          <cell r="J14" t="str">
            <v>******</v>
          </cell>
          <cell r="K14" t="str">
            <v>******</v>
          </cell>
          <cell r="L14" t="str">
            <v>******</v>
          </cell>
          <cell r="M14" t="str">
            <v> </v>
          </cell>
        </row>
        <row r="15">
          <cell r="C15" t="str">
            <v>  DWE</v>
          </cell>
          <cell r="D15" t="str">
            <v>Cannot respond this year. Data system in development.</v>
          </cell>
        </row>
        <row r="16">
          <cell r="C16" t="str">
            <v>DE: HEC</v>
          </cell>
        </row>
        <row r="17">
          <cell r="C17" t="str">
            <v>FL: BOR</v>
          </cell>
          <cell r="D17" t="str">
            <v>****</v>
          </cell>
          <cell r="E17" t="str">
            <v>******</v>
          </cell>
          <cell r="F17" t="str">
            <v>******</v>
          </cell>
          <cell r="G17" t="str">
            <v>******</v>
          </cell>
          <cell r="H17" t="str">
            <v>******</v>
          </cell>
          <cell r="I17" t="str">
            <v>******</v>
          </cell>
          <cell r="J17" t="str">
            <v>******</v>
          </cell>
          <cell r="K17" t="str">
            <v>******</v>
          </cell>
          <cell r="L17" t="str">
            <v>******</v>
          </cell>
          <cell r="M17" t="str">
            <v> </v>
          </cell>
        </row>
        <row r="18">
          <cell r="C18" t="str">
            <v>   CCS</v>
          </cell>
          <cell r="D18" t="str">
            <v>****</v>
          </cell>
          <cell r="E18" t="str">
            <v>******</v>
          </cell>
          <cell r="F18" t="str">
            <v>******</v>
          </cell>
          <cell r="G18" t="str">
            <v>******</v>
          </cell>
          <cell r="H18" t="str">
            <v>******</v>
          </cell>
          <cell r="I18" t="str">
            <v>******</v>
          </cell>
          <cell r="J18" t="str">
            <v>******</v>
          </cell>
          <cell r="K18" t="str">
            <v>******</v>
          </cell>
          <cell r="L18" t="str">
            <v>******</v>
          </cell>
        </row>
        <row r="19">
          <cell r="C19" t="str">
            <v>     DE</v>
          </cell>
        </row>
        <row r="20">
          <cell r="C20" t="str">
            <v>GA: BOR</v>
          </cell>
          <cell r="D20" t="str">
            <v>****</v>
          </cell>
          <cell r="E20" t="str">
            <v>******</v>
          </cell>
          <cell r="F20" t="str">
            <v>******</v>
          </cell>
          <cell r="G20" t="str">
            <v>******</v>
          </cell>
          <cell r="H20" t="str">
            <v>******</v>
          </cell>
          <cell r="I20" t="str">
            <v>******</v>
          </cell>
          <cell r="J20" t="str">
            <v>******</v>
          </cell>
          <cell r="K20" t="str">
            <v>******</v>
          </cell>
          <cell r="L20" t="str">
            <v>******</v>
          </cell>
          <cell r="M20" t="str">
            <v> </v>
          </cell>
        </row>
        <row r="21">
          <cell r="C21" t="str">
            <v>       DTAE</v>
          </cell>
          <cell r="D21" t="str">
            <v>****</v>
          </cell>
          <cell r="E21" t="str">
            <v>******</v>
          </cell>
          <cell r="F21" t="str">
            <v>******</v>
          </cell>
          <cell r="G21" t="str">
            <v>******</v>
          </cell>
          <cell r="H21" t="str">
            <v>******</v>
          </cell>
          <cell r="I21" t="str">
            <v>******</v>
          </cell>
          <cell r="J21" t="str">
            <v>****</v>
          </cell>
          <cell r="K21" t="str">
            <v>****</v>
          </cell>
          <cell r="L21" t="str">
            <v>****</v>
          </cell>
          <cell r="M21" t="str">
            <v> </v>
          </cell>
        </row>
        <row r="22">
          <cell r="C22" t="str">
            <v>KY: CPE</v>
          </cell>
          <cell r="D22" t="str">
            <v>****</v>
          </cell>
          <cell r="E22" t="str">
            <v>******</v>
          </cell>
          <cell r="F22" t="str">
            <v>******</v>
          </cell>
          <cell r="G22" t="str">
            <v>******</v>
          </cell>
          <cell r="H22" t="str">
            <v>******</v>
          </cell>
          <cell r="I22" t="str">
            <v>******</v>
          </cell>
          <cell r="J22" t="str">
            <v>******</v>
          </cell>
          <cell r="K22" t="str">
            <v>******</v>
          </cell>
          <cell r="L22" t="str">
            <v>******</v>
          </cell>
          <cell r="M22" t="str">
            <v> </v>
          </cell>
        </row>
        <row r="23">
          <cell r="C23" t="str">
            <v>LA: BOR</v>
          </cell>
          <cell r="D23" t="str">
            <v>****</v>
          </cell>
          <cell r="E23" t="str">
            <v>******</v>
          </cell>
          <cell r="F23" t="str">
            <v>******</v>
          </cell>
          <cell r="G23" t="str">
            <v>******</v>
          </cell>
          <cell r="H23" t="str">
            <v>******</v>
          </cell>
          <cell r="I23" t="str">
            <v>******</v>
          </cell>
          <cell r="J23" t="str">
            <v>******</v>
          </cell>
          <cell r="K23" t="str">
            <v>******</v>
          </cell>
          <cell r="L23" t="str">
            <v>******</v>
          </cell>
          <cell r="M23" t="str">
            <v> </v>
          </cell>
        </row>
        <row r="24">
          <cell r="C24" t="str">
            <v>MD: HEC</v>
          </cell>
          <cell r="D24" t="str">
            <v>****</v>
          </cell>
          <cell r="E24" t="str">
            <v>******</v>
          </cell>
          <cell r="F24" t="str">
            <v>******</v>
          </cell>
          <cell r="G24" t="str">
            <v>******</v>
          </cell>
          <cell r="H24" t="str">
            <v>******</v>
          </cell>
          <cell r="I24" t="str">
            <v>******</v>
          </cell>
          <cell r="J24" t="str">
            <v>******</v>
          </cell>
          <cell r="K24" t="str">
            <v>******</v>
          </cell>
          <cell r="L24" t="str">
            <v>******</v>
          </cell>
          <cell r="M24" t="str">
            <v> </v>
          </cell>
        </row>
        <row r="25">
          <cell r="C25" t="str">
            <v>MS:IHL</v>
          </cell>
          <cell r="D25" t="str">
            <v>****</v>
          </cell>
          <cell r="E25" t="str">
            <v>******</v>
          </cell>
          <cell r="F25" t="str">
            <v>******</v>
          </cell>
          <cell r="G25" t="str">
            <v>******</v>
          </cell>
          <cell r="H25" t="str">
            <v>******</v>
          </cell>
          <cell r="I25" t="str">
            <v>******</v>
          </cell>
          <cell r="J25" t="str">
            <v>******</v>
          </cell>
          <cell r="K25" t="str">
            <v>******</v>
          </cell>
          <cell r="L25" t="str">
            <v>******</v>
          </cell>
          <cell r="M25" t="str">
            <v> </v>
          </cell>
        </row>
        <row r="26">
          <cell r="C26" t="str">
            <v>       SBCJC</v>
          </cell>
          <cell r="D26" t="str">
            <v>****</v>
          </cell>
          <cell r="E26" t="str">
            <v>******</v>
          </cell>
          <cell r="F26" t="str">
            <v>******</v>
          </cell>
          <cell r="G26" t="str">
            <v>******</v>
          </cell>
          <cell r="H26" t="str">
            <v>******</v>
          </cell>
          <cell r="I26" t="str">
            <v>******</v>
          </cell>
          <cell r="J26" t="str">
            <v>******</v>
          </cell>
          <cell r="K26" t="str">
            <v>******</v>
          </cell>
          <cell r="L26" t="str">
            <v>******</v>
          </cell>
          <cell r="M26" t="str">
            <v> </v>
          </cell>
        </row>
        <row r="27">
          <cell r="C27" t="str">
            <v>NC: UNCGA</v>
          </cell>
          <cell r="D27" t="str">
            <v>****</v>
          </cell>
          <cell r="E27" t="str">
            <v>******</v>
          </cell>
          <cell r="F27" t="str">
            <v>******</v>
          </cell>
          <cell r="G27" t="str">
            <v>******</v>
          </cell>
          <cell r="H27" t="str">
            <v>******</v>
          </cell>
          <cell r="I27" t="str">
            <v>******</v>
          </cell>
          <cell r="J27" t="str">
            <v>******</v>
          </cell>
          <cell r="K27" t="str">
            <v>******</v>
          </cell>
          <cell r="L27" t="str">
            <v>******</v>
          </cell>
          <cell r="M27" t="str">
            <v> </v>
          </cell>
        </row>
        <row r="28">
          <cell r="C28" t="str">
            <v>        CCS</v>
          </cell>
          <cell r="D28" t="str">
            <v>******</v>
          </cell>
          <cell r="E28" t="str">
            <v>******</v>
          </cell>
          <cell r="F28" t="str">
            <v>******</v>
          </cell>
          <cell r="G28" t="str">
            <v>******</v>
          </cell>
          <cell r="H28" t="str">
            <v>******</v>
          </cell>
          <cell r="I28" t="str">
            <v>******</v>
          </cell>
          <cell r="J28" t="str">
            <v>******</v>
          </cell>
          <cell r="K28" t="str">
            <v>******</v>
          </cell>
          <cell r="L28" t="str">
            <v>******</v>
          </cell>
        </row>
        <row r="29">
          <cell r="A29" t="str">
            <v>early Aug.</v>
          </cell>
          <cell r="C29" t="str">
            <v>OK: HE</v>
          </cell>
          <cell r="D29" t="str">
            <v>****</v>
          </cell>
          <cell r="E29" t="str">
            <v>******</v>
          </cell>
          <cell r="F29" t="str">
            <v>******</v>
          </cell>
          <cell r="G29" t="str">
            <v>******</v>
          </cell>
          <cell r="H29" t="str">
            <v>****</v>
          </cell>
          <cell r="I29" t="str">
            <v>****</v>
          </cell>
          <cell r="J29" t="str">
            <v>****</v>
          </cell>
          <cell r="K29" t="str">
            <v>****</v>
          </cell>
          <cell r="L29" t="str">
            <v>****</v>
          </cell>
        </row>
        <row r="30">
          <cell r="C30" t="str">
            <v>   DCTE</v>
          </cell>
          <cell r="D30" t="str">
            <v>****</v>
          </cell>
          <cell r="E30" t="str">
            <v>****</v>
          </cell>
          <cell r="G30" t="str">
            <v>****</v>
          </cell>
        </row>
        <row r="31">
          <cell r="C31" t="str">
            <v>SC: CHE</v>
          </cell>
          <cell r="D31" t="str">
            <v>****</v>
          </cell>
          <cell r="E31" t="str">
            <v>******</v>
          </cell>
          <cell r="F31" t="str">
            <v>******</v>
          </cell>
          <cell r="G31" t="str">
            <v>******</v>
          </cell>
          <cell r="H31" t="str">
            <v>******</v>
          </cell>
          <cell r="I31" t="str">
            <v>******</v>
          </cell>
          <cell r="J31" t="str">
            <v>******</v>
          </cell>
          <cell r="K31" t="str">
            <v>******</v>
          </cell>
          <cell r="L31" t="str">
            <v>******</v>
          </cell>
        </row>
        <row r="32">
          <cell r="C32" t="str">
            <v>TN: HEC</v>
          </cell>
          <cell r="D32" t="str">
            <v>****</v>
          </cell>
          <cell r="E32" t="str">
            <v>****</v>
          </cell>
          <cell r="F32" t="str">
            <v>****</v>
          </cell>
          <cell r="G32" t="str">
            <v>******</v>
          </cell>
          <cell r="H32" t="str">
            <v>******</v>
          </cell>
          <cell r="I32" t="str">
            <v>******</v>
          </cell>
          <cell r="J32" t="str">
            <v>******</v>
          </cell>
          <cell r="K32" t="str">
            <v>******</v>
          </cell>
          <cell r="L32" t="str">
            <v>******</v>
          </cell>
        </row>
        <row r="33">
          <cell r="C33" t="str">
            <v>TX: HECB</v>
          </cell>
          <cell r="D33" t="str">
            <v>****</v>
          </cell>
          <cell r="E33" t="str">
            <v>****</v>
          </cell>
          <cell r="F33" t="str">
            <v>****</v>
          </cell>
          <cell r="G33" t="str">
            <v>******</v>
          </cell>
          <cell r="H33" t="str">
            <v>******</v>
          </cell>
          <cell r="I33" t="str">
            <v>****</v>
          </cell>
          <cell r="J33" t="str">
            <v>******</v>
          </cell>
          <cell r="K33" t="str">
            <v>******</v>
          </cell>
          <cell r="L33" t="str">
            <v>******</v>
          </cell>
        </row>
        <row r="34">
          <cell r="C34" t="str">
            <v>VA: SCHEV</v>
          </cell>
          <cell r="D34" t="str">
            <v>******</v>
          </cell>
          <cell r="E34" t="str">
            <v>******</v>
          </cell>
          <cell r="F34" t="str">
            <v>******</v>
          </cell>
          <cell r="G34" t="str">
            <v>******</v>
          </cell>
          <cell r="H34" t="str">
            <v>******</v>
          </cell>
          <cell r="I34" t="str">
            <v>******</v>
          </cell>
          <cell r="J34" t="str">
            <v>******</v>
          </cell>
          <cell r="K34" t="str">
            <v>******</v>
          </cell>
          <cell r="L34" t="str">
            <v>******</v>
          </cell>
          <cell r="M34" t="str">
            <v> </v>
          </cell>
        </row>
        <row r="35">
          <cell r="C35" t="str">
            <v>WV: HEPC</v>
          </cell>
          <cell r="D35" t="str">
            <v>****</v>
          </cell>
          <cell r="E35" t="str">
            <v>******</v>
          </cell>
          <cell r="F35" t="str">
            <v>******</v>
          </cell>
          <cell r="G35" t="str">
            <v>******</v>
          </cell>
          <cell r="H35" t="str">
            <v>******</v>
          </cell>
          <cell r="I35" t="str">
            <v>******</v>
          </cell>
          <cell r="J35" t="str">
            <v>******</v>
          </cell>
          <cell r="K35" t="str">
            <v>******</v>
          </cell>
          <cell r="L35" t="str">
            <v>******</v>
          </cell>
          <cell r="M35" t="str">
            <v> </v>
          </cell>
        </row>
        <row r="36">
          <cell r="C36" t="str">
            <v>    DE</v>
          </cell>
        </row>
        <row r="38">
          <cell r="C38" t="str">
            <v>KEY:</v>
          </cell>
          <cell r="D38" t="str">
            <v>****</v>
          </cell>
          <cell r="E38" t="str">
            <v>= received</v>
          </cell>
          <cell r="G38" t="str">
            <v>****</v>
          </cell>
          <cell r="H38" t="str">
            <v>= review package sent</v>
          </cell>
          <cell r="L38" t="str">
            <v>****</v>
          </cell>
          <cell r="M38" t="str">
            <v> = verified/revised</v>
          </cell>
        </row>
        <row r="39">
          <cell r="D39" t="str">
            <v>****</v>
          </cell>
          <cell r="E39" t="str">
            <v>= entered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Completions"/>
      <sheetName val="2. Student Progression"/>
      <sheetName val="3. Student Credit Hours"/>
      <sheetName val="4. E-learning credit hours"/>
      <sheetName val="5. Public Funds"/>
      <sheetName val="6. Tuition &amp; Fees Data"/>
      <sheetName val="7. Tuition &amp; Fees Policies"/>
      <sheetName val="8. Faculty Salaries"/>
      <sheetName val="9.  Faculty Benefits"/>
      <sheetName val="10. Benefits Descri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ponse History"/>
      <sheetName val="Surveys In"/>
      <sheetName val="Classification Poll"/>
      <sheetName val="Retention Data Poll"/>
      <sheetName val="Faculty Data Poll"/>
      <sheetName val="followup tracking"/>
      <sheetName val="Grad rate review"/>
    </sheetNames>
    <sheetDataSet>
      <sheetData sheetId="1">
        <row r="2">
          <cell r="C2" t="str">
            <v>SREB-State Data Exchange</v>
          </cell>
        </row>
        <row r="3">
          <cell r="A3" t="str">
            <v> </v>
          </cell>
          <cell r="C3" t="str">
            <v>   32 Years and Still Counting</v>
          </cell>
        </row>
        <row r="4">
          <cell r="C4" t="str">
            <v>Progress Report</v>
          </cell>
        </row>
        <row r="5">
          <cell r="C5" t="str">
            <v>To:</v>
          </cell>
          <cell r="D5" t="str">
            <v>Data Exchange Coordinators, Agency Heads, Finance Officers and Staff</v>
          </cell>
        </row>
        <row r="6">
          <cell r="C6" t="str">
            <v>From:</v>
          </cell>
          <cell r="D6" t="str">
            <v>Joe Marks, Director of Education Data Services</v>
          </cell>
        </row>
        <row r="7">
          <cell r="C7" t="str">
            <v>Date:</v>
          </cell>
          <cell r="D7">
            <v>37421</v>
          </cell>
        </row>
        <row r="8">
          <cell r="C8" t="str">
            <v>As can be seen in the charts, we're in the fourth quarter of this year's Data Exchange game. Entire surveys from five agencies are still due. Not counting Part 2, partial surveys are due from three agencies. Part 2 submissions are due from eight agencies.</v>
          </cell>
          <cell r="AA8" t="str">
            <v>Four-Year</v>
          </cell>
          <cell r="AB8" t="str">
            <v>Two- Year 1</v>
          </cell>
          <cell r="AC8" t="str">
            <v>Two- Year 2</v>
          </cell>
        </row>
        <row r="9">
          <cell r="C9" t="str">
            <v>Delaware, South Carolina, Tennessee and Texas also need to register their feedback on the proposed two-year college categories. Tennessee and Texas need to provide final verification or revisions for the 2000-01 student progression data.</v>
          </cell>
          <cell r="V9" t="str">
            <v>In</v>
          </cell>
        </row>
        <row r="10">
          <cell r="D10" t="str">
            <v>Survey Sections Received</v>
          </cell>
          <cell r="AA10">
            <v>0.9166666666666666</v>
          </cell>
          <cell r="AB10">
            <v>0.9166666666666666</v>
          </cell>
          <cell r="AC10">
            <v>0.5432098765432098</v>
          </cell>
        </row>
        <row r="11">
          <cell r="C11" t="str">
            <v>Agency</v>
          </cell>
          <cell r="D11" t="str">
            <v>1. Completions</v>
          </cell>
          <cell r="E11" t="str">
            <v>2. Student Progression</v>
          </cell>
          <cell r="F11" t="str">
            <v>3. Student Credit Hours</v>
          </cell>
          <cell r="G11" t="str">
            <v>4. Public Funds</v>
          </cell>
          <cell r="H11" t="str">
            <v>5. Tuition &amp; Fees Data</v>
          </cell>
          <cell r="I11" t="str">
            <v>6. Tuition &amp; Fees Policies</v>
          </cell>
          <cell r="J11" t="str">
            <v>7. Faculty Salaries</v>
          </cell>
          <cell r="K11" t="str">
            <v>8. Faculty Benefits</v>
          </cell>
          <cell r="L11" t="str">
            <v>9. Benefits Descriptions</v>
          </cell>
        </row>
        <row r="12">
          <cell r="C12" t="str">
            <v>due dates</v>
          </cell>
          <cell r="D12" t="str">
            <v>ASAP</v>
          </cell>
          <cell r="E12">
            <v>37406</v>
          </cell>
          <cell r="F12">
            <v>37316</v>
          </cell>
          <cell r="G12">
            <v>37316</v>
          </cell>
          <cell r="H12">
            <v>37316</v>
          </cell>
          <cell r="I12">
            <v>37316</v>
          </cell>
          <cell r="J12">
            <v>37316</v>
          </cell>
          <cell r="K12">
            <v>37316</v>
          </cell>
          <cell r="L12">
            <v>37316</v>
          </cell>
        </row>
        <row r="13">
          <cell r="C13" t="str">
            <v>AL: CHE</v>
          </cell>
          <cell r="D13" t="str">
            <v>******</v>
          </cell>
          <cell r="E13" t="str">
            <v>******</v>
          </cell>
          <cell r="F13" t="str">
            <v>******</v>
          </cell>
          <cell r="G13" t="str">
            <v>******</v>
          </cell>
          <cell r="H13" t="str">
            <v>******</v>
          </cell>
          <cell r="I13" t="str">
            <v>******</v>
          </cell>
          <cell r="J13" t="str">
            <v>******</v>
          </cell>
          <cell r="K13" t="str">
            <v>******</v>
          </cell>
          <cell r="L13" t="str">
            <v>******</v>
          </cell>
        </row>
        <row r="14">
          <cell r="C14" t="str">
            <v>AR: HECB</v>
          </cell>
          <cell r="D14" t="str">
            <v>****</v>
          </cell>
          <cell r="E14" t="str">
            <v>******</v>
          </cell>
          <cell r="F14" t="str">
            <v>******</v>
          </cell>
          <cell r="G14" t="str">
            <v>******</v>
          </cell>
          <cell r="H14" t="str">
            <v>******</v>
          </cell>
          <cell r="I14" t="str">
            <v>******</v>
          </cell>
          <cell r="J14" t="str">
            <v>******</v>
          </cell>
          <cell r="K14" t="str">
            <v>******</v>
          </cell>
          <cell r="L14" t="str">
            <v>******</v>
          </cell>
          <cell r="M14" t="str">
            <v> </v>
          </cell>
        </row>
        <row r="15">
          <cell r="C15" t="str">
            <v>  DWE</v>
          </cell>
          <cell r="D15" t="str">
            <v>Cannot respond this year. Data system in development.</v>
          </cell>
        </row>
        <row r="16">
          <cell r="C16" t="str">
            <v>DE: HEC</v>
          </cell>
        </row>
        <row r="17">
          <cell r="C17" t="str">
            <v>FL: BOR</v>
          </cell>
          <cell r="D17" t="str">
            <v>****</v>
          </cell>
          <cell r="E17" t="str">
            <v>******</v>
          </cell>
          <cell r="F17" t="str">
            <v>******</v>
          </cell>
          <cell r="G17" t="str">
            <v>******</v>
          </cell>
          <cell r="H17" t="str">
            <v>******</v>
          </cell>
          <cell r="I17" t="str">
            <v>******</v>
          </cell>
          <cell r="J17" t="str">
            <v>******</v>
          </cell>
          <cell r="K17" t="str">
            <v>******</v>
          </cell>
          <cell r="L17" t="str">
            <v>******</v>
          </cell>
          <cell r="M17" t="str">
            <v> </v>
          </cell>
        </row>
        <row r="18">
          <cell r="C18" t="str">
            <v>   CCS</v>
          </cell>
          <cell r="D18" t="str">
            <v>****</v>
          </cell>
          <cell r="E18" t="str">
            <v>******</v>
          </cell>
          <cell r="F18" t="str">
            <v>******</v>
          </cell>
          <cell r="G18" t="str">
            <v>******</v>
          </cell>
          <cell r="H18" t="str">
            <v>******</v>
          </cell>
          <cell r="I18" t="str">
            <v>******</v>
          </cell>
          <cell r="J18" t="str">
            <v>******</v>
          </cell>
          <cell r="K18" t="str">
            <v>******</v>
          </cell>
          <cell r="L18" t="str">
            <v>******</v>
          </cell>
        </row>
        <row r="19">
          <cell r="C19" t="str">
            <v>     DE</v>
          </cell>
        </row>
        <row r="20">
          <cell r="C20" t="str">
            <v>GA: BOR</v>
          </cell>
          <cell r="D20" t="str">
            <v>****</v>
          </cell>
          <cell r="E20" t="str">
            <v>******</v>
          </cell>
          <cell r="F20" t="str">
            <v>******</v>
          </cell>
          <cell r="G20" t="str">
            <v>******</v>
          </cell>
          <cell r="H20" t="str">
            <v>******</v>
          </cell>
          <cell r="I20" t="str">
            <v>******</v>
          </cell>
          <cell r="J20" t="str">
            <v>******</v>
          </cell>
          <cell r="K20" t="str">
            <v>******</v>
          </cell>
          <cell r="L20" t="str">
            <v>******</v>
          </cell>
          <cell r="M20" t="str">
            <v> </v>
          </cell>
        </row>
        <row r="21">
          <cell r="C21" t="str">
            <v>       DTAE</v>
          </cell>
          <cell r="D21" t="str">
            <v>****</v>
          </cell>
          <cell r="E21" t="str">
            <v>******</v>
          </cell>
          <cell r="F21" t="str">
            <v>******</v>
          </cell>
          <cell r="G21" t="str">
            <v>******</v>
          </cell>
          <cell r="H21" t="str">
            <v>******</v>
          </cell>
          <cell r="I21" t="str">
            <v>******</v>
          </cell>
          <cell r="J21" t="str">
            <v>****</v>
          </cell>
          <cell r="K21" t="str">
            <v>****</v>
          </cell>
          <cell r="L21" t="str">
            <v>****</v>
          </cell>
          <cell r="M21" t="str">
            <v> </v>
          </cell>
        </row>
        <row r="22">
          <cell r="C22" t="str">
            <v>KY: CPE</v>
          </cell>
          <cell r="D22" t="str">
            <v>****</v>
          </cell>
          <cell r="E22" t="str">
            <v>******</v>
          </cell>
          <cell r="F22" t="str">
            <v>******</v>
          </cell>
          <cell r="G22" t="str">
            <v>******</v>
          </cell>
          <cell r="H22" t="str">
            <v>******</v>
          </cell>
          <cell r="I22" t="str">
            <v>******</v>
          </cell>
          <cell r="J22" t="str">
            <v>******</v>
          </cell>
          <cell r="K22" t="str">
            <v>******</v>
          </cell>
          <cell r="L22" t="str">
            <v>******</v>
          </cell>
          <cell r="M22" t="str">
            <v> </v>
          </cell>
        </row>
        <row r="23">
          <cell r="C23" t="str">
            <v>LA: BOR</v>
          </cell>
          <cell r="D23" t="str">
            <v>****</v>
          </cell>
          <cell r="E23" t="str">
            <v>******</v>
          </cell>
          <cell r="F23" t="str">
            <v>******</v>
          </cell>
          <cell r="G23" t="str">
            <v>******</v>
          </cell>
          <cell r="H23" t="str">
            <v>******</v>
          </cell>
          <cell r="I23" t="str">
            <v>******</v>
          </cell>
          <cell r="J23" t="str">
            <v>******</v>
          </cell>
          <cell r="K23" t="str">
            <v>******</v>
          </cell>
          <cell r="L23" t="str">
            <v>******</v>
          </cell>
          <cell r="M23" t="str">
            <v> </v>
          </cell>
        </row>
        <row r="24">
          <cell r="C24" t="str">
            <v>MD: HEC</v>
          </cell>
          <cell r="D24" t="str">
            <v>****</v>
          </cell>
          <cell r="E24" t="str">
            <v>******</v>
          </cell>
          <cell r="F24" t="str">
            <v>******</v>
          </cell>
          <cell r="G24" t="str">
            <v>******</v>
          </cell>
          <cell r="H24" t="str">
            <v>******</v>
          </cell>
          <cell r="I24" t="str">
            <v>******</v>
          </cell>
          <cell r="J24" t="str">
            <v>******</v>
          </cell>
          <cell r="K24" t="str">
            <v>******</v>
          </cell>
          <cell r="L24" t="str">
            <v>******</v>
          </cell>
          <cell r="M24" t="str">
            <v> </v>
          </cell>
        </row>
        <row r="25">
          <cell r="C25" t="str">
            <v>MS:IHL</v>
          </cell>
          <cell r="D25" t="str">
            <v>****</v>
          </cell>
          <cell r="E25" t="str">
            <v>******</v>
          </cell>
          <cell r="F25" t="str">
            <v>******</v>
          </cell>
          <cell r="G25" t="str">
            <v>******</v>
          </cell>
          <cell r="H25" t="str">
            <v>******</v>
          </cell>
          <cell r="I25" t="str">
            <v>******</v>
          </cell>
          <cell r="J25" t="str">
            <v>******</v>
          </cell>
          <cell r="K25" t="str">
            <v>******</v>
          </cell>
          <cell r="L25" t="str">
            <v>******</v>
          </cell>
          <cell r="M25" t="str">
            <v> </v>
          </cell>
        </row>
        <row r="26">
          <cell r="C26" t="str">
            <v>       SBCJC</v>
          </cell>
          <cell r="D26" t="str">
            <v>****</v>
          </cell>
          <cell r="E26" t="str">
            <v>******</v>
          </cell>
          <cell r="F26" t="str">
            <v>******</v>
          </cell>
          <cell r="G26" t="str">
            <v>******</v>
          </cell>
          <cell r="H26" t="str">
            <v>******</v>
          </cell>
          <cell r="I26" t="str">
            <v>******</v>
          </cell>
          <cell r="J26" t="str">
            <v>******</v>
          </cell>
          <cell r="K26" t="str">
            <v>******</v>
          </cell>
          <cell r="L26" t="str">
            <v>******</v>
          </cell>
          <cell r="M26" t="str">
            <v> </v>
          </cell>
        </row>
        <row r="27">
          <cell r="C27" t="str">
            <v>NC: UNCGA</v>
          </cell>
          <cell r="D27" t="str">
            <v>****</v>
          </cell>
          <cell r="E27" t="str">
            <v>******</v>
          </cell>
          <cell r="F27" t="str">
            <v>******</v>
          </cell>
          <cell r="G27" t="str">
            <v>******</v>
          </cell>
          <cell r="H27" t="str">
            <v>******</v>
          </cell>
          <cell r="I27" t="str">
            <v>******</v>
          </cell>
          <cell r="J27" t="str">
            <v>******</v>
          </cell>
          <cell r="K27" t="str">
            <v>******</v>
          </cell>
          <cell r="L27" t="str">
            <v>******</v>
          </cell>
          <cell r="M27" t="str">
            <v> </v>
          </cell>
        </row>
        <row r="28">
          <cell r="C28" t="str">
            <v>        CCS</v>
          </cell>
          <cell r="D28" t="str">
            <v>******</v>
          </cell>
          <cell r="E28" t="str">
            <v>******</v>
          </cell>
          <cell r="F28" t="str">
            <v>******</v>
          </cell>
          <cell r="G28" t="str">
            <v>******</v>
          </cell>
          <cell r="H28" t="str">
            <v>******</v>
          </cell>
          <cell r="I28" t="str">
            <v>******</v>
          </cell>
          <cell r="J28" t="str">
            <v>******</v>
          </cell>
          <cell r="K28" t="str">
            <v>******</v>
          </cell>
          <cell r="L28" t="str">
            <v>******</v>
          </cell>
        </row>
        <row r="29">
          <cell r="A29" t="str">
            <v>early Aug.</v>
          </cell>
          <cell r="C29" t="str">
            <v>OK: HE</v>
          </cell>
          <cell r="D29" t="str">
            <v>****</v>
          </cell>
          <cell r="E29" t="str">
            <v>******</v>
          </cell>
          <cell r="F29" t="str">
            <v>******</v>
          </cell>
          <cell r="G29" t="str">
            <v>******</v>
          </cell>
          <cell r="H29" t="str">
            <v>****</v>
          </cell>
          <cell r="I29" t="str">
            <v>****</v>
          </cell>
          <cell r="J29" t="str">
            <v>****</v>
          </cell>
          <cell r="K29" t="str">
            <v>****</v>
          </cell>
          <cell r="L29" t="str">
            <v>****</v>
          </cell>
        </row>
        <row r="30">
          <cell r="C30" t="str">
            <v>   DCTE</v>
          </cell>
          <cell r="D30" t="str">
            <v>****</v>
          </cell>
          <cell r="E30" t="str">
            <v>****</v>
          </cell>
          <cell r="G30" t="str">
            <v>****</v>
          </cell>
        </row>
        <row r="31">
          <cell r="C31" t="str">
            <v>SC: CHE</v>
          </cell>
          <cell r="D31" t="str">
            <v>****</v>
          </cell>
          <cell r="E31" t="str">
            <v>******</v>
          </cell>
          <cell r="F31" t="str">
            <v>******</v>
          </cell>
          <cell r="G31" t="str">
            <v>******</v>
          </cell>
          <cell r="H31" t="str">
            <v>******</v>
          </cell>
          <cell r="I31" t="str">
            <v>******</v>
          </cell>
          <cell r="J31" t="str">
            <v>******</v>
          </cell>
          <cell r="K31" t="str">
            <v>******</v>
          </cell>
          <cell r="L31" t="str">
            <v>******</v>
          </cell>
        </row>
        <row r="32">
          <cell r="C32" t="str">
            <v>TN: HEC</v>
          </cell>
          <cell r="D32" t="str">
            <v>****</v>
          </cell>
          <cell r="E32" t="str">
            <v>****</v>
          </cell>
          <cell r="F32" t="str">
            <v>****</v>
          </cell>
          <cell r="G32" t="str">
            <v>******</v>
          </cell>
          <cell r="H32" t="str">
            <v>******</v>
          </cell>
          <cell r="I32" t="str">
            <v>******</v>
          </cell>
          <cell r="J32" t="str">
            <v>******</v>
          </cell>
          <cell r="K32" t="str">
            <v>******</v>
          </cell>
          <cell r="L32" t="str">
            <v>******</v>
          </cell>
        </row>
        <row r="33">
          <cell r="C33" t="str">
            <v>TX: HECB</v>
          </cell>
          <cell r="D33" t="str">
            <v>****</v>
          </cell>
          <cell r="E33" t="str">
            <v>****</v>
          </cell>
          <cell r="F33" t="str">
            <v>****</v>
          </cell>
          <cell r="G33" t="str">
            <v>******</v>
          </cell>
          <cell r="H33" t="str">
            <v>******</v>
          </cell>
          <cell r="I33" t="str">
            <v>****</v>
          </cell>
          <cell r="J33" t="str">
            <v>******</v>
          </cell>
          <cell r="K33" t="str">
            <v>******</v>
          </cell>
          <cell r="L33" t="str">
            <v>******</v>
          </cell>
        </row>
        <row r="34">
          <cell r="C34" t="str">
            <v>VA: SCHEV</v>
          </cell>
          <cell r="D34" t="str">
            <v>******</v>
          </cell>
          <cell r="E34" t="str">
            <v>******</v>
          </cell>
          <cell r="F34" t="str">
            <v>******</v>
          </cell>
          <cell r="G34" t="str">
            <v>******</v>
          </cell>
          <cell r="H34" t="str">
            <v>******</v>
          </cell>
          <cell r="I34" t="str">
            <v>******</v>
          </cell>
          <cell r="J34" t="str">
            <v>******</v>
          </cell>
          <cell r="K34" t="str">
            <v>******</v>
          </cell>
          <cell r="L34" t="str">
            <v>******</v>
          </cell>
          <cell r="M34" t="str">
            <v> </v>
          </cell>
        </row>
        <row r="35">
          <cell r="C35" t="str">
            <v>WV: HEPC</v>
          </cell>
          <cell r="D35" t="str">
            <v>****</v>
          </cell>
          <cell r="E35" t="str">
            <v>******</v>
          </cell>
          <cell r="F35" t="str">
            <v>******</v>
          </cell>
          <cell r="G35" t="str">
            <v>******</v>
          </cell>
          <cell r="H35" t="str">
            <v>******</v>
          </cell>
          <cell r="I35" t="str">
            <v>******</v>
          </cell>
          <cell r="J35" t="str">
            <v>******</v>
          </cell>
          <cell r="K35" t="str">
            <v>******</v>
          </cell>
          <cell r="L35" t="str">
            <v>******</v>
          </cell>
          <cell r="M35" t="str">
            <v> </v>
          </cell>
        </row>
        <row r="36">
          <cell r="C36" t="str">
            <v>    DE</v>
          </cell>
        </row>
        <row r="38">
          <cell r="C38" t="str">
            <v>KEY:</v>
          </cell>
          <cell r="D38" t="str">
            <v>****</v>
          </cell>
          <cell r="E38" t="str">
            <v>= received</v>
          </cell>
          <cell r="G38" t="str">
            <v>****</v>
          </cell>
          <cell r="H38" t="str">
            <v>= review package sent</v>
          </cell>
          <cell r="L38" t="str">
            <v>****</v>
          </cell>
          <cell r="M38" t="str">
            <v> = verified/revised</v>
          </cell>
        </row>
        <row r="39">
          <cell r="D39" t="str">
            <v>****</v>
          </cell>
          <cell r="E39" t="str">
            <v>= entered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35"/>
      <sheetName val="Table 36-37"/>
      <sheetName val="Table 38-46"/>
      <sheetName val="Pivot table"/>
      <sheetName val=" Benefits Data"/>
      <sheetName val="Benefits Descriptions"/>
      <sheetName val="Table 34"/>
      <sheetName val="Table 35-36"/>
      <sheetName val="Table 37-45"/>
      <sheetName val="Table 49"/>
      <sheetName val="Table 50-51"/>
      <sheetName val="Table 48-56"/>
      <sheetName val="Table 45"/>
      <sheetName val="Table 46"/>
      <sheetName val="Table 47"/>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AF510" sheet="E-learning credit hours"/>
  </cacheSource>
  <cacheFields count="73">
    <cacheField name="State">
      <sharedItems containsBlank="1" containsMixedTypes="0" count="17">
        <s v="AL"/>
        <s v="AR"/>
        <s v="DE"/>
        <s v="FL"/>
        <s v="GA"/>
        <s v="KY"/>
        <s v="LA"/>
        <s v="MD"/>
        <s v="MS"/>
        <s v="NC"/>
        <s v="OK"/>
        <s v="TX"/>
        <s v="WV"/>
        <s v="SC"/>
        <s v="TN"/>
        <s v="VA"/>
        <m/>
      </sharedItems>
    </cacheField>
    <cacheField name="Institution">
      <sharedItems containsMixedTypes="0"/>
    </cacheField>
    <cacheField name="ID">
      <sharedItems containsMixedTypes="1" containsNumber="1" containsInteger="1"/>
    </cacheField>
    <cacheField name="Type">
      <sharedItems containsSemiMixedTypes="0" containsString="0" containsMixedTypes="0" containsNumber="1" containsInteger="1" count="15">
        <n v="1"/>
        <n v="2"/>
        <n v="3"/>
        <n v="4"/>
        <n v="5"/>
        <n v="6"/>
        <n v="8"/>
        <n v="9"/>
        <n v="10"/>
        <n v="12"/>
        <n v="13"/>
        <n v="7"/>
        <n v="15"/>
        <n v="14"/>
        <n v="16"/>
      </sharedItems>
    </cacheField>
    <cacheField name="OLD-Tot UG SCH Calc">
      <sharedItems containsMixedTypes="1" containsNumber="1"/>
    </cacheField>
    <cacheField name="NEW-Tot UG SCH Calc">
      <sharedItems containsSemiMixedTypes="0" containsString="0" containsMixedTypes="0" containsNumber="1"/>
    </cacheField>
    <cacheField name="Old-UG OnC Trad">
      <sharedItems containsMixedTypes="1" containsNumber="1"/>
    </cacheField>
    <cacheField name="New-UG OnC Trad">
      <sharedItems containsMixedTypes="1" containsNumber="1"/>
    </cacheField>
    <cacheField name="Old-UG OffC Trad">
      <sharedItems containsMixedTypes="1" containsNumber="1"/>
    </cacheField>
    <cacheField name="New-UG OffC Trad">
      <sharedItems containsMixedTypes="1" containsNumber="1"/>
    </cacheField>
    <cacheField name="Old-UG EL Web">
      <sharedItems containsMixedTypes="1" containsNumber="1"/>
    </cacheField>
    <cacheField name="Old-UG EL CV">
      <sharedItems containsMixedTypes="1" containsNumber="1"/>
    </cacheField>
    <cacheField name="Old-UG EL O">
      <sharedItems containsMixedTypes="1" containsNumber="1"/>
    </cacheField>
    <cacheField name="New-UG EL Web">
      <sharedItems containsMixedTypes="1" containsNumber="1"/>
    </cacheField>
    <cacheField name="New-UG EL CV">
      <sharedItems containsMixedTypes="1" containsNumber="1"/>
    </cacheField>
    <cacheField name="New-UG EL O">
      <sharedItems containsMixedTypes="1" containsNumber="1"/>
    </cacheField>
    <cacheField name="Old-UG Cor">
      <sharedItems containsMixedTypes="1" containsNumber="1" containsInteger="1"/>
    </cacheField>
    <cacheField name="New-UG Cor">
      <sharedItems containsMixedTypes="1" containsNumber="1"/>
    </cacheField>
    <cacheField name="Old-Tot G SCH Calc">
      <sharedItems containsSemiMixedTypes="0" containsString="0" containsMixedTypes="0" containsNumber="1"/>
    </cacheField>
    <cacheField name="New-Tot G SCH Calc">
      <sharedItems containsMixedTypes="1" containsNumber="1"/>
    </cacheField>
    <cacheField name="Old-G OnC Trad">
      <sharedItems containsMixedTypes="1" containsNumber="1"/>
    </cacheField>
    <cacheField name="New-G OnC Trad">
      <sharedItems containsMixedTypes="1" containsNumber="1"/>
    </cacheField>
    <cacheField name="Old-G OffC Trad">
      <sharedItems containsMixedTypes="1" containsNumber="1" containsInteger="1"/>
    </cacheField>
    <cacheField name="New-G OffC Trad">
      <sharedItems containsMixedTypes="1" containsNumber="1"/>
    </cacheField>
    <cacheField name="Old-G EL Web">
      <sharedItems containsMixedTypes="1" containsNumber="1"/>
    </cacheField>
    <cacheField name="Old-G EL CV">
      <sharedItems containsMixedTypes="1" containsNumber="1" containsInteger="1"/>
    </cacheField>
    <cacheField name="Old-G EL O">
      <sharedItems containsMixedTypes="1" containsNumber="1" containsInteger="1"/>
    </cacheField>
    <cacheField name="New-G EL Web">
      <sharedItems containsMixedTypes="1" containsNumber="1"/>
    </cacheField>
    <cacheField name="New-G EL CV">
      <sharedItems containsMixedTypes="1" containsNumber="1"/>
    </cacheField>
    <cacheField name="New-G EL O">
      <sharedItems containsMixedTypes="1" containsNumber="1"/>
    </cacheField>
    <cacheField name="Old-G Cor">
      <sharedItems containsBlank="1" containsMixedTypes="1" containsNumber="1" containsInteger="1" count="13">
        <m/>
        <n v="3"/>
        <n v="444"/>
        <n v="75"/>
        <n v="44"/>
        <n v="354"/>
        <n v="1"/>
        <n v="0"/>
        <s v="na"/>
        <n v="35"/>
        <s v=" "/>
        <n v="42"/>
        <n v="4"/>
      </sharedItems>
    </cacheField>
    <cacheField name="New-G Cor">
      <sharedItems containsString="0" containsBlank="1" containsMixedTypes="0" containsNumber="1" count="10">
        <m/>
        <n v="1263"/>
        <n v="24"/>
        <n v="0"/>
        <n v="258"/>
        <n v="12.6"/>
        <n v="6"/>
        <n v="30"/>
        <n v="8"/>
        <n v="4"/>
      </sharedItems>
    </cacheField>
    <cacheField name="Type2">
      <sharedItems containsMixedTypes="0" count="4">
        <n v="16"/>
        <s v="Group2"/>
        <s v="Group1"/>
        <s v="Group3"/>
      </sharedItems>
    </cacheField>
    <cacheField name="Old %UG OnC Trad" formula="IF('OLD-Tot UG SCH Calc'&gt;0,'Old-UG OnC Trad'/'OLD-Tot UG SCH Calc',)" databaseField="0"/>
    <cacheField name="New %UG OnC Trad" formula="IF('NEW-Tot UG SCH Calc'&gt;0,'New-UG OnC Trad'/'NEW-Tot UG SCH Calc',)" databaseField="0"/>
    <cacheField name="New %UG OffC Trad" formula="IF('NEW-Tot UG SCH Calc'&gt;0,'New-UG OffC Trad'/'NEW-Tot UG SCH Calc',)" databaseField="0"/>
    <cacheField name="Old %UG OffC Trad" formula="IF('OLD-Tot UG SCH Calc'&gt;0,'Old-UG OffC Trad'/'OLD-Tot UG SCH Calc',)" databaseField="0"/>
    <cacheField name="Old %G OffC Trad" formula="IF('Old-Tot G SCH Calc'&gt;0,'Old-G OffC Trad'/'Old-Tot G SCH Calc',)" databaseField="0"/>
    <cacheField name="Old %G OnC Trad" formula="IF('Old-Tot G SCH Calc'&gt;0,'Old-G OnC Trad'/'Old-Tot G SCH Calc',)" databaseField="0"/>
    <cacheField name="New %G OnC Trad" formula="IF('New-Tot G SCH Calc'&gt;0,'New-G OnC Trad'/'New-Tot G SCH Calc',)" databaseField="0"/>
    <cacheField name="New %G OffC Trad" formula="IF('New-Tot G SCH Calc'&gt;0,'New-G OffC Trad'/'New-Tot G SCH Calc',)" databaseField="0"/>
    <cacheField name="Old %UG EL Web" formula="IF('OLD-Tot UG SCH Calc'&gt;0,'Old-UG EL Web'/'OLD-Tot UG SCH Calc',)" databaseField="0"/>
    <cacheField name="New %UG EL Web" formula="IF('NEW-Tot UG SCH Calc'&gt;0,'New-UG EL Web'/'NEW-Tot UG SCH Calc',)" databaseField="0"/>
    <cacheField name="New %G EL Web" formula="IF('New-Tot G SCH Calc'&gt;0,'New-G EL Web'/'New-Tot G SCH Calc',)" databaseField="0"/>
    <cacheField name="Old %G EL Web" formula="IF('Old-Tot G SCH Calc'&gt;0,'Old-G EL Web'/'Old-Tot G SCH Calc',)" databaseField="0"/>
    <cacheField name="Old %G EL CV" formula="IF('Old-Tot G SCH Calc'&gt;0,'Old-G EL CV'/'Old-Tot G SCH Calc',)" databaseField="0"/>
    <cacheField name="New %G EL CV" formula="IF('New-Tot G SCH Calc'&gt;0,'New-G EL CV'/'New-Tot G SCH Calc',)" databaseField="0"/>
    <cacheField name="New %UG EL CV" formula="IF('NEW-Tot UG SCH Calc'&gt;0,'New-UG EL CV'/'NEW-Tot UG SCH Calc',)" databaseField="0"/>
    <cacheField name="Old %UG EL CV" formula="IF('OLD-Tot UG SCH Calc'&gt;0,'Old-UG EL CV'/'OLD-Tot UG SCH Calc',)" databaseField="0"/>
    <cacheField name="Old %UG EL O" formula="IF('OLD-Tot UG SCH Calc'&gt;0,'Old-UG EL O'/'OLD-Tot UG SCH Calc',)" databaseField="0"/>
    <cacheField name="New %UG EL O" formula="IF('NEW-Tot UG SCH Calc'&gt;0,'New-UG EL O'/'NEW-Tot UG SCH Calc',)" databaseField="0"/>
    <cacheField name="New %G EL O" formula="IF('New-Tot G SCH Calc'&gt;0,'New-G EL O'/'New-Tot G SCH Calc',)" databaseField="0"/>
    <cacheField name="Old %G EL O" formula="IF('Old-Tot G SCH Calc'&gt;0,'Old-G EL O'/'Old-Tot G SCH Calc',)" databaseField="0"/>
    <cacheField name="Old %G Cor" formula="IF('Old-Tot G SCH Calc'&gt;0,'Old-G Cor'/'Old-Tot G SCH Calc',)" databaseField="0"/>
    <cacheField name="New %G Cor" formula="IF('New-Tot G SCH Calc'&gt;0,'New-G Cor'/'New-Tot G SCH Calc',)" databaseField="0"/>
    <cacheField name="New %UG Cor" formula="IF('NEW-Tot UG SCH Calc'&gt;0,'New-UG Cor'/'NEW-Tot UG SCH Calc',)" databaseField="0"/>
    <cacheField name="Old %UG Cor" formula="IF('OLD-Tot UG SCH Calc'&gt;0,'Old-UG Cor'/'OLD-Tot UG SCH Calc',)" databaseField="0"/>
    <cacheField name="Change %UG OnC Trad" formula="IF(('Old %UG OnC Trad'&gt;0),('New %UG OnC Trad'-'Old %UG OnC Trad'),)*100" databaseField="0"/>
    <cacheField name="Change %G OnC Trad" formula="IF('Old %G OnC Trad'&gt;0,('New %G OnC Trad'-'Old %G OnC Trad'),)*100" databaseField="0"/>
    <cacheField name="Change %G OffC Trad" formula="IF('Old %G OffC Trad'&gt;0,('New %G OffC Trad'-'Old %G OffC Trad'),)*100" databaseField="0"/>
    <cacheField name="Change %UG OffC Trad" formula="IF('Old %UG OffC Trad'&gt;0,('New %UG OffC Trad'-'Old %UG OffC Trad'),)*100" databaseField="0"/>
    <cacheField name="Change %UG EL Web" formula="IF('Old %UG EL Web'&gt;0,('New %UG EL Web'-'Old %UG EL Web'),)*100" databaseField="0"/>
    <cacheField name="Change %G EL Web" formula="IF('Old %G EL Web'&gt;0,('New %G EL Web'-'Old %G EL Web'),)*100" databaseField="0"/>
    <cacheField name="Change %G EL CV" formula="IF('Old %G EL CV'&gt;0,('New %G EL CV'-'Old %G EL CV'),)*100" databaseField="0"/>
    <cacheField name="Change %UG EL CV" formula="IF('Old %UG EL CV'&gt;0,('New %UG EL CV'-'Old %UG EL CV'),)*100" databaseField="0"/>
    <cacheField name="Change %UG EL O" formula="IF('Old %UG EL O'&gt;0,('New %UG EL O'-'Old %UG EL O'),)*100" databaseField="0"/>
    <cacheField name="Change %G EL O" formula="IF('Old %G EL O'&gt;0,('New %G EL O'-'Old %G EL O'),)*100" databaseField="0"/>
    <cacheField name="Change %G Cor" formula="IF('Old %G Cor'&gt;0,('New %G Cor'-'Old %G Cor'),)*100" databaseField="0"/>
    <cacheField name="Change %UG Cor" formula="IF('Old %UG Cor'&gt;0,('New %UG Cor'-'Old %UG Cor'),)*100" databaseField="0"/>
    <cacheField name="Old UG E-Learning">
      <sharedItems containsSemiMixedTypes="0" containsString="0" containsMixedTypes="1" containsNumber="1" containsInteger="1" count="0"/>
    </cacheField>
    <cacheField name="Old G E-Learning">
      <sharedItems containsSemiMixedTypes="0" containsString="0" containsMixedTypes="1" containsNumber="1" containsInteger="1" count="0"/>
    </cacheField>
    <cacheField name="New UG E-Learning">
      <sharedItems containsSemiMixedTypes="0" containsString="0" containsMixedTypes="1" containsNumber="1" containsInteger="1" count="0"/>
    </cacheField>
    <cacheField name="New G E-Learning">
      <sharedItems containsSemiMixedTypes="0" containsString="0" containsMixedTypes="1"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5"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3:S109" firstHeaderRow="1" firstDataRow="3" firstDataCol="2"/>
  <pivotFields count="73">
    <pivotField axis="axisRow" compact="0" outline="0" subtotalTop="0" showAll="0" sortType="ascending">
      <items count="18">
        <item x="0"/>
        <item x="1"/>
        <item x="2"/>
        <item x="3"/>
        <item x="4"/>
        <item x="5"/>
        <item x="6"/>
        <item x="7"/>
        <item x="8"/>
        <item x="9"/>
        <item x="10"/>
        <item m="1" x="13"/>
        <item m="1" x="14"/>
        <item x="11"/>
        <item m="1" x="15"/>
        <item x="12"/>
        <item m="1" x="16"/>
        <item t="default"/>
      </items>
    </pivotField>
    <pivotField compact="0" outline="0" subtotalTop="0" showAll="0"/>
    <pivotField compact="0" outline="0" subtotalTop="0" showAll="0"/>
    <pivotField axis="axisCol" compact="0" outline="0" subtotalTop="0" showAll="0" defaultSubtotal="0">
      <items count="15">
        <item x="0"/>
        <item x="1"/>
        <item x="2"/>
        <item x="3"/>
        <item x="4"/>
        <item x="5"/>
        <item x="11"/>
        <item x="6"/>
        <item x="7"/>
        <item x="8"/>
        <item x="9"/>
        <item x="10"/>
        <item x="12"/>
        <item m="1" x="14"/>
        <item x="13"/>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n="Four-Year" x="2"/>
        <item n="Two-Year" x="1"/>
        <item n="Technical" x="3"/>
        <item h="1" x="0"/>
        <item t="default"/>
      </items>
    </pivotField>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s>
  <rowFields count="2">
    <field x="0"/>
    <field x="-2"/>
  </rowFields>
  <rowItems count="104">
    <i>
      <x/>
      <x/>
    </i>
    <i i="1" r="1">
      <x v="1"/>
    </i>
    <i i="2" r="1">
      <x v="2"/>
    </i>
    <i i="3" r="1">
      <x v="3"/>
    </i>
    <i i="4" r="1">
      <x v="4"/>
    </i>
    <i i="5" r="1">
      <x v="5"/>
    </i>
    <i i="6" r="1">
      <x v="6"/>
    </i>
    <i i="7" r="1">
      <x v="7"/>
    </i>
    <i>
      <x v="1"/>
      <x/>
    </i>
    <i i="1" r="1">
      <x v="1"/>
    </i>
    <i i="2" r="1">
      <x v="2"/>
    </i>
    <i i="3" r="1">
      <x v="3"/>
    </i>
    <i i="4" r="1">
      <x v="4"/>
    </i>
    <i i="5" r="1">
      <x v="5"/>
    </i>
    <i i="6" r="1">
      <x v="6"/>
    </i>
    <i i="7" r="1">
      <x v="7"/>
    </i>
    <i>
      <x v="2"/>
      <x/>
    </i>
    <i i="1" r="1">
      <x v="1"/>
    </i>
    <i i="2" r="1">
      <x v="2"/>
    </i>
    <i i="3" r="1">
      <x v="3"/>
    </i>
    <i i="4" r="1">
      <x v="4"/>
    </i>
    <i i="5" r="1">
      <x v="5"/>
    </i>
    <i i="6" r="1">
      <x v="6"/>
    </i>
    <i i="7" r="1">
      <x v="7"/>
    </i>
    <i>
      <x v="3"/>
      <x/>
    </i>
    <i i="1" r="1">
      <x v="1"/>
    </i>
    <i i="2" r="1">
      <x v="2"/>
    </i>
    <i i="3" r="1">
      <x v="3"/>
    </i>
    <i i="4" r="1">
      <x v="4"/>
    </i>
    <i i="5" r="1">
      <x v="5"/>
    </i>
    <i i="6" r="1">
      <x v="6"/>
    </i>
    <i i="7" r="1">
      <x v="7"/>
    </i>
    <i>
      <x v="4"/>
      <x/>
    </i>
    <i i="1" r="1">
      <x v="1"/>
    </i>
    <i i="2" r="1">
      <x v="2"/>
    </i>
    <i i="3" r="1">
      <x v="3"/>
    </i>
    <i i="4" r="1">
      <x v="4"/>
    </i>
    <i i="5" r="1">
      <x v="5"/>
    </i>
    <i i="6" r="1">
      <x v="6"/>
    </i>
    <i i="7" r="1">
      <x v="7"/>
    </i>
    <i>
      <x v="5"/>
      <x/>
    </i>
    <i i="1" r="1">
      <x v="1"/>
    </i>
    <i i="2" r="1">
      <x v="2"/>
    </i>
    <i i="3" r="1">
      <x v="3"/>
    </i>
    <i i="4" r="1">
      <x v="4"/>
    </i>
    <i i="5" r="1">
      <x v="5"/>
    </i>
    <i i="6" r="1">
      <x v="6"/>
    </i>
    <i i="7" r="1">
      <x v="7"/>
    </i>
    <i>
      <x v="6"/>
      <x/>
    </i>
    <i i="1" r="1">
      <x v="1"/>
    </i>
    <i i="2" r="1">
      <x v="2"/>
    </i>
    <i i="3" r="1">
      <x v="3"/>
    </i>
    <i i="4" r="1">
      <x v="4"/>
    </i>
    <i i="5" r="1">
      <x v="5"/>
    </i>
    <i i="6" r="1">
      <x v="6"/>
    </i>
    <i i="7" r="1">
      <x v="7"/>
    </i>
    <i>
      <x v="7"/>
      <x/>
    </i>
    <i i="1" r="1">
      <x v="1"/>
    </i>
    <i i="2" r="1">
      <x v="2"/>
    </i>
    <i i="3" r="1">
      <x v="3"/>
    </i>
    <i i="4" r="1">
      <x v="4"/>
    </i>
    <i i="5" r="1">
      <x v="5"/>
    </i>
    <i i="6" r="1">
      <x v="6"/>
    </i>
    <i i="7" r="1">
      <x v="7"/>
    </i>
    <i>
      <x v="8"/>
      <x/>
    </i>
    <i i="1" r="1">
      <x v="1"/>
    </i>
    <i i="2" r="1">
      <x v="2"/>
    </i>
    <i i="3" r="1">
      <x v="3"/>
    </i>
    <i i="4" r="1">
      <x v="4"/>
    </i>
    <i i="5" r="1">
      <x v="5"/>
    </i>
    <i i="6" r="1">
      <x v="6"/>
    </i>
    <i i="7" r="1">
      <x v="7"/>
    </i>
    <i>
      <x v="9"/>
      <x/>
    </i>
    <i i="1" r="1">
      <x v="1"/>
    </i>
    <i i="2" r="1">
      <x v="2"/>
    </i>
    <i i="3" r="1">
      <x v="3"/>
    </i>
    <i i="4" r="1">
      <x v="4"/>
    </i>
    <i i="5" r="1">
      <x v="5"/>
    </i>
    <i i="6" r="1">
      <x v="6"/>
    </i>
    <i i="7" r="1">
      <x v="7"/>
    </i>
    <i>
      <x v="10"/>
      <x/>
    </i>
    <i i="1" r="1">
      <x v="1"/>
    </i>
    <i i="2" r="1">
      <x v="2"/>
    </i>
    <i i="3" r="1">
      <x v="3"/>
    </i>
    <i i="4" r="1">
      <x v="4"/>
    </i>
    <i i="5" r="1">
      <x v="5"/>
    </i>
    <i i="6" r="1">
      <x v="6"/>
    </i>
    <i i="7" r="1">
      <x v="7"/>
    </i>
    <i>
      <x v="13"/>
      <x/>
    </i>
    <i i="1" r="1">
      <x v="1"/>
    </i>
    <i i="2" r="1">
      <x v="2"/>
    </i>
    <i i="3" r="1">
      <x v="3"/>
    </i>
    <i i="4" r="1">
      <x v="4"/>
    </i>
    <i i="5" r="1">
      <x v="5"/>
    </i>
    <i i="6" r="1">
      <x v="6"/>
    </i>
    <i i="7" r="1">
      <x v="7"/>
    </i>
    <i>
      <x v="15"/>
      <x/>
    </i>
    <i i="1" r="1">
      <x v="1"/>
    </i>
    <i i="2" r="1">
      <x v="2"/>
    </i>
    <i i="3" r="1">
      <x v="3"/>
    </i>
    <i i="4" r="1">
      <x v="4"/>
    </i>
    <i i="5" r="1">
      <x v="5"/>
    </i>
    <i i="6" r="1">
      <x v="6"/>
    </i>
    <i i="7" r="1">
      <x v="7"/>
    </i>
  </rowItems>
  <colFields count="2">
    <field x="32"/>
    <field x="3"/>
  </colFields>
  <colItems count="17">
    <i>
      <x/>
      <x/>
    </i>
    <i r="1">
      <x v="1"/>
    </i>
    <i r="1">
      <x v="2"/>
    </i>
    <i r="1">
      <x v="3"/>
    </i>
    <i r="1">
      <x v="4"/>
    </i>
    <i r="1">
      <x v="5"/>
    </i>
    <i r="1">
      <x v="12"/>
    </i>
    <i t="default">
      <x/>
    </i>
    <i>
      <x v="1"/>
      <x v="6"/>
    </i>
    <i r="1">
      <x v="7"/>
    </i>
    <i r="1">
      <x v="8"/>
    </i>
    <i r="1">
      <x v="9"/>
    </i>
    <i t="default">
      <x v="1"/>
    </i>
    <i>
      <x v="2"/>
      <x v="10"/>
    </i>
    <i r="1">
      <x v="11"/>
    </i>
    <i r="1">
      <x v="14"/>
    </i>
    <i t="default">
      <x v="2"/>
    </i>
  </colItems>
  <dataFields count="8">
    <dataField name="Sum of OLD-Tot UG SCH Calc" fld="4" baseField="0" baseItem="0"/>
    <dataField name="Sum of Old UG E-Learning" fld="69" baseField="0" baseItem="0"/>
    <dataField name="Sum of Old-Tot G SCH Calc" fld="18" baseField="0" baseItem="0"/>
    <dataField name="Sum of Old G E-Learning" fld="70" baseField="0" baseItem="0"/>
    <dataField name="Sum of NEW-Tot UG SCH Calc" fld="5" baseField="0" baseItem="0"/>
    <dataField name="Sum of New UG E-Learning" fld="71" baseField="0" baseItem="0"/>
    <dataField name="Sum of New-Tot G SCH Calc" fld="19" baseField="0" baseItem="0"/>
    <dataField name="Sum of New G E-Learning" fld="72" baseField="0" baseItem="0"/>
  </dataFields>
  <formats count="137">
    <format dxfId="0">
      <pivotArea outline="0" fieldPosition="1" axis="axisCol" dataOnly="0" field="3" labelOnly="1" type="button"/>
    </format>
    <format dxfId="0">
      <pivotArea outline="0" fieldPosition="0" dataOnly="0" labelOnly="1" type="topRight"/>
    </format>
    <format dxfId="0">
      <pivotArea outline="0" fieldPosition="0" dataOnly="0" grandCol="1" labelOnly="1"/>
    </format>
    <format dxfId="1">
      <pivotArea outline="0" fieldPosition="0" dataOnly="0" labelOnly="1" offset="IV256">
        <references count="1">
          <reference field="0" count="1">
            <x v="2"/>
          </reference>
        </references>
      </pivotArea>
    </format>
    <format dxfId="1">
      <pivotArea outline="0" fieldPosition="0" dataOnly="0" labelOnly="1" offset="IV256">
        <references count="1">
          <reference field="0" count="1">
            <x v="3"/>
          </reference>
        </references>
      </pivotArea>
    </format>
    <format dxfId="1">
      <pivotArea outline="0" fieldPosition="0" dataOnly="0" labelOnly="1" offset="IV256">
        <references count="1">
          <reference field="0" count="1">
            <x v="4"/>
          </reference>
        </references>
      </pivotArea>
    </format>
    <format dxfId="1">
      <pivotArea outline="0" fieldPosition="0" dataOnly="0" labelOnly="1" offset="IV256">
        <references count="1">
          <reference field="0" count="1">
            <x v="5"/>
          </reference>
        </references>
      </pivotArea>
    </format>
    <format dxfId="1">
      <pivotArea outline="0" fieldPosition="0" dataOnly="0" labelOnly="1" offset="IV27:IV256">
        <references count="1">
          <reference field="0" count="1">
            <x v="6"/>
          </reference>
        </references>
      </pivotArea>
    </format>
    <format dxfId="1">
      <pivotArea outline="0" fieldPosition="0" dataOnly="0" labelOnly="1" offset="IV256">
        <references count="1">
          <reference field="0" count="1">
            <x v="7"/>
          </reference>
        </references>
      </pivotArea>
    </format>
    <format dxfId="1">
      <pivotArea outline="0" fieldPosition="0" dataOnly="0" labelOnly="1" offset="IV256">
        <references count="1">
          <reference field="0" count="1">
            <x v="8"/>
          </reference>
        </references>
      </pivotArea>
    </format>
    <format dxfId="1">
      <pivotArea outline="0" fieldPosition="0" dataOnly="0" labelOnly="1" offset="IV256">
        <references count="1">
          <reference field="0" count="1">
            <x v="9"/>
          </reference>
        </references>
      </pivotArea>
    </format>
    <format dxfId="1">
      <pivotArea outline="0" fieldPosition="0" dataOnly="0" labelOnly="1" offset="IV256">
        <references count="1">
          <reference field="0" count="1">
            <x v="10"/>
          </reference>
        </references>
      </pivotArea>
    </format>
    <format dxfId="1">
      <pivotArea outline="0" fieldPosition="0" dataOnly="0" labelOnly="1" offset="IV256">
        <references count="1">
          <reference field="0" count="1">
            <x v="11"/>
          </reference>
        </references>
      </pivotArea>
    </format>
    <format dxfId="1">
      <pivotArea outline="0" fieldPosition="0" dataOnly="0" labelOnly="1" offset="IV256">
        <references count="1">
          <reference field="0" count="1">
            <x v="12"/>
          </reference>
        </references>
      </pivotArea>
    </format>
    <format dxfId="1">
      <pivotArea outline="0" fieldPosition="0" dataOnly="0" labelOnly="1" offset="IV256">
        <references count="1">
          <reference field="0" count="1">
            <x v="13"/>
          </reference>
        </references>
      </pivotArea>
    </format>
    <format dxfId="1">
      <pivotArea outline="0" fieldPosition="0" dataOnly="0" labelOnly="1" offset="IV256">
        <references count="1">
          <reference field="0" count="1">
            <x v="14"/>
          </reference>
        </references>
      </pivotArea>
    </format>
    <format dxfId="2">
      <pivotArea outline="0" fieldPosition="0" dataOnly="0" labelOnly="1" offset="A2:B2" type="origin"/>
    </format>
    <format dxfId="3">
      <pivotArea outline="0" fieldPosition="0" dataOnly="0" labelOnly="1">
        <references count="1">
          <reference field="0" count="0"/>
        </references>
      </pivotArea>
    </format>
    <format dxfId="4">
      <pivotArea outline="0" fieldPosition="0" dataOnly="0" labelOnly="1" offset="IV1">
        <references count="1">
          <reference field="0" count="1">
            <x v="0"/>
          </reference>
        </references>
      </pivotArea>
    </format>
    <format dxfId="5">
      <pivotArea outline="0" fieldPosition="0" dataOnly="0" labelOnly="1" type="origin"/>
    </format>
    <format dxfId="5">
      <pivotArea outline="0" fieldPosition="0" axis="axisRow" dataOnly="0" field="0" labelOnly="1" type="button"/>
    </format>
    <format dxfId="5">
      <pivotArea outline="0" fieldPosition="1" axis="axisRow" dataOnly="0" field="-2" labelOnly="1" type="button"/>
    </format>
    <format dxfId="5">
      <pivotArea outline="0" fieldPosition="1" axis="axisCol" dataOnly="0" field="3" labelOnly="1" type="button"/>
    </format>
    <format dxfId="5">
      <pivotArea outline="0" fieldPosition="0" dataOnly="0" labelOnly="1" type="topRight"/>
    </format>
    <format dxfId="6">
      <pivotArea outline="0" fieldPosition="0" dataOnly="0" labelOnly="1" offset="IV5:IV6">
        <references count="1">
          <reference field="0" count="1">
            <x v="1"/>
          </reference>
        </references>
      </pivotArea>
    </format>
    <format dxfId="7">
      <pivotArea outline="0" fieldPosition="0" dataOnly="0" labelOnly="1" offset="IV7:IV8">
        <references count="1">
          <reference field="0" count="1">
            <x v="1"/>
          </reference>
        </references>
      </pivotArea>
    </format>
    <format dxfId="8">
      <pivotArea outline="0" fieldPosition="0" dataOnly="0" labelOnly="1" offset="IV9:IV10">
        <references count="1">
          <reference field="0" count="1">
            <x v="1"/>
          </reference>
        </references>
      </pivotArea>
    </format>
    <format dxfId="9">
      <pivotArea outline="0" fieldPosition="0" dataOnly="0" labelOnly="1" offset="IV11:IV12">
        <references count="1">
          <reference field="0" count="1">
            <x v="1"/>
          </reference>
        </references>
      </pivotArea>
    </format>
    <format dxfId="10">
      <pivotArea outline="0" fieldPosition="0" dataOnly="0" labelOnly="1" offset="IV256">
        <references count="1">
          <reference field="0" count="1">
            <x v="0"/>
          </reference>
        </references>
      </pivotArea>
    </format>
    <format dxfId="1">
      <pivotArea outline="0" fieldPosition="0" dataOnly="0" grandCol="1" labelOnly="1" offset="IV256"/>
    </format>
    <format dxfId="1">
      <pivotArea outline="0" fieldPosition="0" dataOnly="0" labelOnly="1" offset="IV256">
        <references count="1">
          <reference field="0" count="1">
            <x v="1"/>
          </reference>
        </references>
      </pivotArea>
    </format>
    <format dxfId="2">
      <pivotArea outline="0" fieldPosition="0" dataOnly="0" labelOnly="1" offset="IV1">
        <references count="1">
          <reference field="0" count="1">
            <x v="0"/>
          </reference>
        </references>
      </pivotArea>
    </format>
    <format dxfId="2">
      <pivotArea outline="0" fieldPosition="0" dataOnly="0" labelOnly="1" offset="IV1">
        <references count="1">
          <reference field="0" count="1">
            <x v="1"/>
          </reference>
        </references>
      </pivotArea>
    </format>
    <format dxfId="2">
      <pivotArea outline="0" fieldPosition="0" dataOnly="0" labelOnly="1" offset="IV1">
        <references count="1">
          <reference field="0" count="1">
            <x v="2"/>
          </reference>
        </references>
      </pivotArea>
    </format>
    <format dxfId="2">
      <pivotArea outline="0" fieldPosition="0" dataOnly="0" labelOnly="1" offset="IV1">
        <references count="1">
          <reference field="0" count="1">
            <x v="3"/>
          </reference>
        </references>
      </pivotArea>
    </format>
    <format dxfId="2">
      <pivotArea outline="0" fieldPosition="0" dataOnly="0" labelOnly="1" offset="IV1">
        <references count="1">
          <reference field="0" count="1">
            <x v="4"/>
          </reference>
        </references>
      </pivotArea>
    </format>
    <format dxfId="11">
      <pivotArea outline="0" fieldPosition="0" dataOnly="0" labelOnly="1" offset="IV256">
        <references count="1">
          <reference field="0" count="1">
            <x v="15"/>
          </reference>
        </references>
      </pivotArea>
    </format>
    <format dxfId="1">
      <pivotArea outline="0" fieldPosition="0">
        <references count="1">
          <reference field="0" count="1">
            <x v="0"/>
          </reference>
        </references>
      </pivotArea>
    </format>
    <format dxfId="1">
      <pivotArea outline="0" fieldPosition="0" dataOnly="0" labelOnly="1">
        <references count="1">
          <reference field="0" count="1">
            <x v="0"/>
          </reference>
        </references>
      </pivotArea>
    </format>
    <format dxfId="1">
      <pivotArea outline="0" fieldPosition="0" dataOnly="0" labelOnly="1">
        <references count="2">
          <reference field="4294967294" count="0"/>
          <reference field="0" count="1">
            <x v="0"/>
          </reference>
        </references>
      </pivotArea>
    </format>
    <format dxfId="12">
      <pivotArea outline="0" fieldPosition="0" dataOnly="0" type="all"/>
    </format>
    <format dxfId="13">
      <pivotArea outline="0" fieldPosition="0"/>
    </format>
    <format dxfId="14">
      <pivotArea outline="0" fieldPosition="0">
        <references count="3">
          <reference field="4294967294" count="1">
            <x v="0"/>
          </reference>
          <reference field="0" count="1">
            <x v="0"/>
          </reference>
          <reference field="32" defaultSubtotal="1" count="2">
            <x v="0"/>
            <x v="1"/>
          </reference>
        </references>
      </pivotArea>
    </format>
    <format dxfId="14">
      <pivotArea outline="0" fieldPosition="0">
        <references count="3">
          <reference field="4294967294" count="1">
            <x v="0"/>
          </reference>
          <reference field="0" count="1">
            <x v="1"/>
          </reference>
          <reference field="32" defaultSubtotal="1" count="2">
            <x v="0"/>
            <x v="1"/>
          </reference>
        </references>
      </pivotArea>
    </format>
    <format dxfId="14">
      <pivotArea outline="0" fieldPosition="0">
        <references count="3">
          <reference field="4294967294" count="1">
            <x v="0"/>
          </reference>
          <reference field="0" count="1">
            <x v="2"/>
          </reference>
          <reference field="32" defaultSubtotal="1" count="2">
            <x v="0"/>
            <x v="1"/>
          </reference>
        </references>
      </pivotArea>
    </format>
    <format dxfId="14">
      <pivotArea outline="0" fieldPosition="0">
        <references count="3">
          <reference field="4294967294" count="1">
            <x v="0"/>
          </reference>
          <reference field="0" count="1">
            <x v="3"/>
          </reference>
          <reference field="32" defaultSubtotal="1" count="2">
            <x v="0"/>
            <x v="1"/>
          </reference>
        </references>
      </pivotArea>
    </format>
    <format dxfId="14">
      <pivotArea outline="0" fieldPosition="0">
        <references count="2">
          <reference field="4294967294" count="1">
            <x v="0"/>
          </reference>
          <reference field="0" count="1">
            <x v="4"/>
          </reference>
        </references>
      </pivotArea>
    </format>
    <format dxfId="14">
      <pivotArea outline="0" fieldPosition="0">
        <references count="2">
          <reference field="4294967294" count="1">
            <x v="0"/>
          </reference>
          <reference field="0" count="1">
            <x v="5"/>
          </reference>
        </references>
      </pivotArea>
    </format>
    <format dxfId="14">
      <pivotArea outline="0" fieldPosition="0">
        <references count="2">
          <reference field="4294967294" count="1">
            <x v="0"/>
          </reference>
          <reference field="0" count="1">
            <x v="6"/>
          </reference>
        </references>
      </pivotArea>
    </format>
    <format dxfId="14">
      <pivotArea outline="0" fieldPosition="0">
        <references count="2">
          <reference field="4294967294" count="1">
            <x v="0"/>
          </reference>
          <reference field="0" count="1">
            <x v="7"/>
          </reference>
        </references>
      </pivotArea>
    </format>
    <format dxfId="14">
      <pivotArea outline="0" fieldPosition="0">
        <references count="3">
          <reference field="4294967294" count="1">
            <x v="0"/>
          </reference>
          <reference field="0" count="1">
            <x v="8"/>
          </reference>
          <reference field="32" defaultSubtotal="1" count="2">
            <x v="0"/>
            <x v="1"/>
          </reference>
        </references>
      </pivotArea>
    </format>
    <format dxfId="14">
      <pivotArea outline="0" fieldPosition="0">
        <references count="3">
          <reference field="4294967294" count="1">
            <x v="0"/>
          </reference>
          <reference field="0" count="1">
            <x v="9"/>
          </reference>
          <reference field="32" defaultSubtotal="1" count="2">
            <x v="0"/>
            <x v="1"/>
          </reference>
        </references>
      </pivotArea>
    </format>
    <format dxfId="14">
      <pivotArea outline="0" fieldPosition="0">
        <references count="3">
          <reference field="4294967294" count="1">
            <x v="0"/>
          </reference>
          <reference field="0" count="1">
            <x v="10"/>
          </reference>
          <reference field="32" defaultSubtotal="1" count="2">
            <x v="0"/>
            <x v="1"/>
          </reference>
        </references>
      </pivotArea>
    </format>
    <format dxfId="14">
      <pivotArea outline="0" fieldPosition="0">
        <references count="3">
          <reference field="4294967294" count="1">
            <x v="0"/>
          </reference>
          <reference field="0" count="1">
            <x v="13"/>
          </reference>
          <reference field="32" defaultSubtotal="1" count="2">
            <x v="0"/>
            <x v="1"/>
          </reference>
        </references>
      </pivotArea>
    </format>
    <format dxfId="14">
      <pivotArea outline="0" fieldPosition="0">
        <references count="3">
          <reference field="4294967294" count="1">
            <x v="0"/>
          </reference>
          <reference field="0" count="1">
            <x v="15"/>
          </reference>
          <reference field="32" defaultSubtotal="1" count="2">
            <x v="0"/>
            <x v="1"/>
          </reference>
        </references>
      </pivotArea>
    </format>
    <format dxfId="15">
      <pivotArea outline="0" fieldPosition="0">
        <references count="3">
          <reference field="4294967294" count="1">
            <x v="4"/>
          </reference>
          <reference field="0" count="1">
            <x v="0"/>
          </reference>
          <reference field="32" defaultSubtotal="1" count="2">
            <x v="0"/>
            <x v="1"/>
          </reference>
        </references>
      </pivotArea>
    </format>
    <format dxfId="15">
      <pivotArea outline="0" fieldPosition="0">
        <references count="3">
          <reference field="4294967294" count="1">
            <x v="4"/>
          </reference>
          <reference field="0" count="1">
            <x v="1"/>
          </reference>
          <reference field="32" defaultSubtotal="1" count="2">
            <x v="0"/>
            <x v="1"/>
          </reference>
        </references>
      </pivotArea>
    </format>
    <format dxfId="15">
      <pivotArea outline="0" fieldPosition="0">
        <references count="3">
          <reference field="4294967294" count="1">
            <x v="4"/>
          </reference>
          <reference field="0" count="1">
            <x v="2"/>
          </reference>
          <reference field="32" defaultSubtotal="1" count="2">
            <x v="0"/>
            <x v="1"/>
          </reference>
        </references>
      </pivotArea>
    </format>
    <format dxfId="15">
      <pivotArea outline="0" fieldPosition="0">
        <references count="3">
          <reference field="4294967294" count="1">
            <x v="4"/>
          </reference>
          <reference field="0" count="1">
            <x v="3"/>
          </reference>
          <reference field="32" defaultSubtotal="1" count="2">
            <x v="0"/>
            <x v="1"/>
          </reference>
        </references>
      </pivotArea>
    </format>
    <format dxfId="15">
      <pivotArea outline="0" fieldPosition="0">
        <references count="2">
          <reference field="4294967294" count="1">
            <x v="4"/>
          </reference>
          <reference field="0" count="1">
            <x v="4"/>
          </reference>
        </references>
      </pivotArea>
    </format>
    <format dxfId="15">
      <pivotArea outline="0" fieldPosition="0">
        <references count="2">
          <reference field="4294967294" count="1">
            <x v="4"/>
          </reference>
          <reference field="0" count="1">
            <x v="5"/>
          </reference>
        </references>
      </pivotArea>
    </format>
    <format dxfId="15">
      <pivotArea outline="0" fieldPosition="0">
        <references count="2">
          <reference field="4294967294" count="1">
            <x v="4"/>
          </reference>
          <reference field="0" count="1">
            <x v="6"/>
          </reference>
        </references>
      </pivotArea>
    </format>
    <format dxfId="15">
      <pivotArea outline="0" fieldPosition="0">
        <references count="3">
          <reference field="4294967294" count="1">
            <x v="4"/>
          </reference>
          <reference field="0" count="1">
            <x v="7"/>
          </reference>
          <reference field="32" defaultSubtotal="1" count="2">
            <x v="0"/>
            <x v="1"/>
          </reference>
        </references>
      </pivotArea>
    </format>
    <format dxfId="15">
      <pivotArea outline="0" fieldPosition="0">
        <references count="3">
          <reference field="4294967294" count="1">
            <x v="4"/>
          </reference>
          <reference field="0" count="1">
            <x v="8"/>
          </reference>
          <reference field="32" defaultSubtotal="1" count="2">
            <x v="0"/>
            <x v="1"/>
          </reference>
        </references>
      </pivotArea>
    </format>
    <format dxfId="15">
      <pivotArea outline="0" fieldPosition="0">
        <references count="3">
          <reference field="4294967294" count="1">
            <x v="4"/>
          </reference>
          <reference field="0" count="1">
            <x v="9"/>
          </reference>
          <reference field="32" defaultSubtotal="1" count="2">
            <x v="0"/>
            <x v="1"/>
          </reference>
        </references>
      </pivotArea>
    </format>
    <format dxfId="15">
      <pivotArea outline="0" fieldPosition="0">
        <references count="3">
          <reference field="4294967294" count="1">
            <x v="4"/>
          </reference>
          <reference field="0" count="1">
            <x v="10"/>
          </reference>
          <reference field="32" defaultSubtotal="1" count="2">
            <x v="0"/>
            <x v="1"/>
          </reference>
        </references>
      </pivotArea>
    </format>
    <format dxfId="15">
      <pivotArea outline="0" fieldPosition="0">
        <references count="3">
          <reference field="4294967294" count="1">
            <x v="4"/>
          </reference>
          <reference field="0" count="1">
            <x v="13"/>
          </reference>
          <reference field="32" defaultSubtotal="1" count="2">
            <x v="0"/>
            <x v="1"/>
          </reference>
        </references>
      </pivotArea>
    </format>
    <format dxfId="15">
      <pivotArea outline="0" fieldPosition="0">
        <references count="3">
          <reference field="4294967294" count="1">
            <x v="4"/>
          </reference>
          <reference field="0" count="1">
            <x v="15"/>
          </reference>
          <reference field="32" defaultSubtotal="1" count="2">
            <x v="0"/>
            <x v="1"/>
          </reference>
        </references>
      </pivotArea>
    </format>
    <format dxfId="16">
      <pivotArea outline="0" fieldPosition="0">
        <references count="3">
          <reference field="4294967294" count="1">
            <x v="2"/>
          </reference>
          <reference field="0" count="1">
            <x v="0"/>
          </reference>
          <reference field="32" defaultSubtotal="1" count="2">
            <x v="0"/>
            <x v="1"/>
          </reference>
        </references>
      </pivotArea>
    </format>
    <format dxfId="16">
      <pivotArea outline="0" fieldPosition="0" dataOnly="0" labelOnly="1">
        <references count="2">
          <reference field="4294967294" count="1">
            <x v="2"/>
          </reference>
          <reference field="0" count="1">
            <x v="0"/>
          </reference>
        </references>
      </pivotArea>
    </format>
    <format dxfId="16">
      <pivotArea outline="0" fieldPosition="0">
        <references count="3">
          <reference field="4294967294" count="1">
            <x v="2"/>
          </reference>
          <reference field="0" count="1">
            <x v="1"/>
          </reference>
          <reference field="32" defaultSubtotal="1" count="1">
            <x v="0"/>
          </reference>
        </references>
      </pivotArea>
    </format>
    <format dxfId="16">
      <pivotArea outline="0" fieldPosition="0">
        <references count="3">
          <reference field="4294967294" count="1">
            <x v="2"/>
          </reference>
          <reference field="0" count="1">
            <x v="2"/>
          </reference>
          <reference field="32" defaultSubtotal="1" count="1">
            <x v="0"/>
          </reference>
        </references>
      </pivotArea>
    </format>
    <format dxfId="16">
      <pivotArea outline="0" fieldPosition="0">
        <references count="3">
          <reference field="4294967294" count="1">
            <x v="2"/>
          </reference>
          <reference field="0" count="1">
            <x v="3"/>
          </reference>
          <reference field="32" defaultSubtotal="1" count="1">
            <x v="0"/>
          </reference>
        </references>
      </pivotArea>
    </format>
    <format dxfId="16">
      <pivotArea outline="0" fieldPosition="0">
        <references count="3">
          <reference field="4294967294" count="1">
            <x v="2"/>
          </reference>
          <reference field="0" count="1">
            <x v="4"/>
          </reference>
          <reference field="32" defaultSubtotal="1" count="1">
            <x v="0"/>
          </reference>
        </references>
      </pivotArea>
    </format>
    <format dxfId="16">
      <pivotArea outline="0" fieldPosition="0">
        <references count="3">
          <reference field="4294967294" count="1">
            <x v="2"/>
          </reference>
          <reference field="0" count="1">
            <x v="5"/>
          </reference>
          <reference field="32" defaultSubtotal="1" count="1">
            <x v="0"/>
          </reference>
        </references>
      </pivotArea>
    </format>
    <format dxfId="16">
      <pivotArea outline="0" fieldPosition="0">
        <references count="3">
          <reference field="4294967294" count="1">
            <x v="2"/>
          </reference>
          <reference field="0" count="1">
            <x v="6"/>
          </reference>
          <reference field="32" defaultSubtotal="1" count="1">
            <x v="0"/>
          </reference>
        </references>
      </pivotArea>
    </format>
    <format dxfId="16">
      <pivotArea outline="0" fieldPosition="0">
        <references count="3">
          <reference field="4294967294" count="1">
            <x v="2"/>
          </reference>
          <reference field="0" count="1">
            <x v="7"/>
          </reference>
          <reference field="32" defaultSubtotal="1" count="1">
            <x v="0"/>
          </reference>
        </references>
      </pivotArea>
    </format>
    <format dxfId="16">
      <pivotArea outline="0" fieldPosition="0">
        <references count="3">
          <reference field="4294967294" count="1">
            <x v="2"/>
          </reference>
          <reference field="0" count="1">
            <x v="8"/>
          </reference>
          <reference field="32" defaultSubtotal="1" count="1">
            <x v="0"/>
          </reference>
        </references>
      </pivotArea>
    </format>
    <format dxfId="16">
      <pivotArea outline="0" fieldPosition="0">
        <references count="3">
          <reference field="4294967294" count="1">
            <x v="2"/>
          </reference>
          <reference field="0" count="1">
            <x v="9"/>
          </reference>
          <reference field="32" defaultSubtotal="1" count="1">
            <x v="0"/>
          </reference>
        </references>
      </pivotArea>
    </format>
    <format dxfId="16">
      <pivotArea outline="0" fieldPosition="0">
        <references count="3">
          <reference field="4294967294" count="1">
            <x v="2"/>
          </reference>
          <reference field="0" count="1">
            <x v="10"/>
          </reference>
          <reference field="32" defaultSubtotal="1" count="1">
            <x v="0"/>
          </reference>
        </references>
      </pivotArea>
    </format>
    <format dxfId="16">
      <pivotArea outline="0" fieldPosition="0">
        <references count="3">
          <reference field="4294967294" count="1">
            <x v="2"/>
          </reference>
          <reference field="0" count="1">
            <x v="13"/>
          </reference>
          <reference field="32" defaultSubtotal="1" count="1">
            <x v="0"/>
          </reference>
        </references>
      </pivotArea>
    </format>
    <format dxfId="16">
      <pivotArea outline="0" fieldPosition="0">
        <references count="3">
          <reference field="4294967294" count="1">
            <x v="2"/>
          </reference>
          <reference field="0" count="1">
            <x v="15"/>
          </reference>
          <reference field="32" defaultSubtotal="1" count="1">
            <x v="0"/>
          </reference>
        </references>
      </pivotArea>
    </format>
    <format dxfId="17">
      <pivotArea outline="0" fieldPosition="0">
        <references count="3">
          <reference field="4294967294" count="1">
            <x v="6"/>
          </reference>
          <reference field="0" count="1">
            <x v="15"/>
          </reference>
          <reference field="32" defaultSubtotal="1" count="1">
            <x v="0"/>
          </reference>
        </references>
      </pivotArea>
    </format>
    <format dxfId="17">
      <pivotArea outline="0" fieldPosition="0">
        <references count="3">
          <reference field="4294967294" count="1">
            <x v="6"/>
          </reference>
          <reference field="0" count="1">
            <x v="13"/>
          </reference>
          <reference field="32" defaultSubtotal="1" count="1">
            <x v="0"/>
          </reference>
        </references>
      </pivotArea>
    </format>
    <format dxfId="17">
      <pivotArea outline="0" fieldPosition="0">
        <references count="3">
          <reference field="4294967294" count="1">
            <x v="6"/>
          </reference>
          <reference field="0" count="1">
            <x v="10"/>
          </reference>
          <reference field="32" defaultSubtotal="1" count="1">
            <x v="0"/>
          </reference>
        </references>
      </pivotArea>
    </format>
    <format dxfId="17">
      <pivotArea outline="0" fieldPosition="0">
        <references count="3">
          <reference field="4294967294" count="1">
            <x v="6"/>
          </reference>
          <reference field="0" count="1">
            <x v="9"/>
          </reference>
          <reference field="32" defaultSubtotal="1" count="1">
            <x v="0"/>
          </reference>
        </references>
      </pivotArea>
    </format>
    <format dxfId="17">
      <pivotArea outline="0" fieldPosition="0">
        <references count="3">
          <reference field="4294967294" count="1">
            <x v="6"/>
          </reference>
          <reference field="0" count="1">
            <x v="8"/>
          </reference>
          <reference field="32" defaultSubtotal="1" count="1">
            <x v="0"/>
          </reference>
        </references>
      </pivotArea>
    </format>
    <format dxfId="17">
      <pivotArea outline="0" fieldPosition="0">
        <references count="3">
          <reference field="4294967294" count="1">
            <x v="6"/>
          </reference>
          <reference field="0" count="1">
            <x v="7"/>
          </reference>
          <reference field="32" defaultSubtotal="1" count="1">
            <x v="0"/>
          </reference>
        </references>
      </pivotArea>
    </format>
    <format dxfId="17">
      <pivotArea outline="0" fieldPosition="0">
        <references count="3">
          <reference field="4294967294" count="1">
            <x v="6"/>
          </reference>
          <reference field="0" count="1">
            <x v="6"/>
          </reference>
          <reference field="32" defaultSubtotal="1" count="1">
            <x v="0"/>
          </reference>
        </references>
      </pivotArea>
    </format>
    <format dxfId="17">
      <pivotArea outline="0" fieldPosition="0">
        <references count="3">
          <reference field="4294967294" count="1">
            <x v="6"/>
          </reference>
          <reference field="0" count="1">
            <x v="5"/>
          </reference>
          <reference field="32" defaultSubtotal="1" count="1">
            <x v="0"/>
          </reference>
        </references>
      </pivotArea>
    </format>
    <format dxfId="17">
      <pivotArea outline="0" fieldPosition="0">
        <references count="3">
          <reference field="4294967294" count="1">
            <x v="6"/>
          </reference>
          <reference field="0" count="1">
            <x v="4"/>
          </reference>
          <reference field="32" defaultSubtotal="1" count="1">
            <x v="0"/>
          </reference>
        </references>
      </pivotArea>
    </format>
    <format dxfId="17">
      <pivotArea outline="0" fieldPosition="0">
        <references count="3">
          <reference field="4294967294" count="1">
            <x v="6"/>
          </reference>
          <reference field="0" count="1">
            <x v="3"/>
          </reference>
          <reference field="32" defaultSubtotal="1" count="1">
            <x v="0"/>
          </reference>
        </references>
      </pivotArea>
    </format>
    <format dxfId="17">
      <pivotArea outline="0" fieldPosition="0">
        <references count="3">
          <reference field="4294967294" count="1">
            <x v="6"/>
          </reference>
          <reference field="0" count="1">
            <x v="2"/>
          </reference>
          <reference field="32" defaultSubtotal="1" count="1">
            <x v="0"/>
          </reference>
        </references>
      </pivotArea>
    </format>
    <format dxfId="17">
      <pivotArea outline="0" fieldPosition="0">
        <references count="3">
          <reference field="4294967294" count="1">
            <x v="6"/>
          </reference>
          <reference field="0" count="1">
            <x v="1"/>
          </reference>
          <reference field="32" defaultSubtotal="1" count="1">
            <x v="0"/>
          </reference>
        </references>
      </pivotArea>
    </format>
    <format dxfId="17">
      <pivotArea outline="0" fieldPosition="0">
        <references count="3">
          <reference field="4294967294" count="1">
            <x v="6"/>
          </reference>
          <reference field="0" count="1">
            <x v="0"/>
          </reference>
          <reference field="32" defaultSubtotal="1" count="1">
            <x v="0"/>
          </reference>
        </references>
      </pivotArea>
    </format>
    <format dxfId="18">
      <pivotArea outline="0" fieldPosition="0">
        <references count="3">
          <reference field="4294967294" count="1">
            <x v="1"/>
          </reference>
          <reference field="0" count="1">
            <x v="0"/>
          </reference>
          <reference field="32" defaultSubtotal="1" count="2">
            <x v="0"/>
            <x v="1"/>
          </reference>
        </references>
      </pivotArea>
    </format>
    <format dxfId="18">
      <pivotArea outline="0" fieldPosition="0">
        <references count="3">
          <reference field="4294967294" count="1">
            <x v="1"/>
          </reference>
          <reference field="0" count="1">
            <x v="1"/>
          </reference>
          <reference field="32" defaultSubtotal="1" count="2">
            <x v="0"/>
            <x v="1"/>
          </reference>
        </references>
      </pivotArea>
    </format>
    <format dxfId="18">
      <pivotArea outline="0" fieldPosition="0">
        <references count="3">
          <reference field="4294967294" count="1">
            <x v="1"/>
          </reference>
          <reference field="0" count="1">
            <x v="2"/>
          </reference>
          <reference field="32" defaultSubtotal="1" count="2">
            <x v="0"/>
            <x v="1"/>
          </reference>
        </references>
      </pivotArea>
    </format>
    <format dxfId="18">
      <pivotArea outline="0" fieldPosition="0">
        <references count="3">
          <reference field="4294967294" count="1">
            <x v="1"/>
          </reference>
          <reference field="0" count="1">
            <x v="3"/>
          </reference>
          <reference field="32" defaultSubtotal="1" count="2">
            <x v="0"/>
            <x v="1"/>
          </reference>
        </references>
      </pivotArea>
    </format>
    <format dxfId="18">
      <pivotArea outline="0" fieldPosition="0">
        <references count="2">
          <reference field="4294967294" count="1">
            <x v="1"/>
          </reference>
          <reference field="0" count="1">
            <x v="4"/>
          </reference>
        </references>
      </pivotArea>
    </format>
    <format dxfId="18">
      <pivotArea outline="0" fieldPosition="0">
        <references count="2">
          <reference field="4294967294" count="1">
            <x v="1"/>
          </reference>
          <reference field="0" count="1">
            <x v="5"/>
          </reference>
        </references>
      </pivotArea>
    </format>
    <format dxfId="18">
      <pivotArea outline="0" fieldPosition="0">
        <references count="2">
          <reference field="4294967294" count="1">
            <x v="1"/>
          </reference>
          <reference field="0" count="1">
            <x v="6"/>
          </reference>
        </references>
      </pivotArea>
    </format>
    <format dxfId="18">
      <pivotArea outline="0" fieldPosition="0">
        <references count="2">
          <reference field="4294967294" count="1">
            <x v="1"/>
          </reference>
          <reference field="0" count="1">
            <x v="7"/>
          </reference>
        </references>
      </pivotArea>
    </format>
    <format dxfId="18">
      <pivotArea outline="0" fieldPosition="0">
        <references count="3">
          <reference field="4294967294" count="1">
            <x v="1"/>
          </reference>
          <reference field="0" count="1">
            <x v="8"/>
          </reference>
          <reference field="32" defaultSubtotal="1" count="2">
            <x v="0"/>
            <x v="1"/>
          </reference>
        </references>
      </pivotArea>
    </format>
    <format dxfId="18">
      <pivotArea outline="0" fieldPosition="0">
        <references count="3">
          <reference field="4294967294" count="1">
            <x v="1"/>
          </reference>
          <reference field="0" count="1">
            <x v="9"/>
          </reference>
          <reference field="32" defaultSubtotal="1" count="2">
            <x v="0"/>
            <x v="1"/>
          </reference>
        </references>
      </pivotArea>
    </format>
    <format dxfId="18">
      <pivotArea outline="0" fieldPosition="0">
        <references count="3">
          <reference field="4294967294" count="1">
            <x v="1"/>
          </reference>
          <reference field="0" count="1">
            <x v="10"/>
          </reference>
          <reference field="32" defaultSubtotal="1" count="2">
            <x v="0"/>
            <x v="1"/>
          </reference>
        </references>
      </pivotArea>
    </format>
    <format dxfId="18">
      <pivotArea outline="0" fieldPosition="0">
        <references count="3">
          <reference field="4294967294" count="1">
            <x v="1"/>
          </reference>
          <reference field="0" count="1">
            <x v="13"/>
          </reference>
          <reference field="32" defaultSubtotal="1" count="2">
            <x v="0"/>
            <x v="1"/>
          </reference>
        </references>
      </pivotArea>
    </format>
    <format dxfId="18">
      <pivotArea outline="0" fieldPosition="0">
        <references count="3">
          <reference field="4294967294" count="1">
            <x v="1"/>
          </reference>
          <reference field="0" count="1">
            <x v="15"/>
          </reference>
          <reference field="32" defaultSubtotal="1" count="2">
            <x v="0"/>
            <x v="1"/>
          </reference>
        </references>
      </pivotArea>
    </format>
    <format dxfId="19">
      <pivotArea outline="0" fieldPosition="0">
        <references count="3">
          <reference field="4294967294" count="1">
            <x v="5"/>
          </reference>
          <reference field="0" count="1">
            <x v="15"/>
          </reference>
          <reference field="32" defaultSubtotal="1" count="2">
            <x v="0"/>
            <x v="1"/>
          </reference>
        </references>
      </pivotArea>
    </format>
    <format dxfId="19">
      <pivotArea outline="0" fieldPosition="0">
        <references count="3">
          <reference field="4294967294" count="1">
            <x v="5"/>
          </reference>
          <reference field="0" count="1">
            <x v="13"/>
          </reference>
          <reference field="32" defaultSubtotal="1" count="2">
            <x v="0"/>
            <x v="1"/>
          </reference>
        </references>
      </pivotArea>
    </format>
    <format dxfId="19">
      <pivotArea outline="0" fieldPosition="0">
        <references count="3">
          <reference field="4294967294" count="1">
            <x v="5"/>
          </reference>
          <reference field="0" count="1">
            <x v="10"/>
          </reference>
          <reference field="32" defaultSubtotal="1" count="2">
            <x v="0"/>
            <x v="1"/>
          </reference>
        </references>
      </pivotArea>
    </format>
    <format dxfId="19">
      <pivotArea outline="0" fieldPosition="0">
        <references count="3">
          <reference field="4294967294" count="1">
            <x v="5"/>
          </reference>
          <reference field="0" count="1">
            <x v="9"/>
          </reference>
          <reference field="32" defaultSubtotal="1" count="2">
            <x v="0"/>
            <x v="1"/>
          </reference>
        </references>
      </pivotArea>
    </format>
    <format dxfId="19">
      <pivotArea outline="0" fieldPosition="0">
        <references count="3">
          <reference field="4294967294" count="1">
            <x v="5"/>
          </reference>
          <reference field="0" count="1">
            <x v="8"/>
          </reference>
          <reference field="32" defaultSubtotal="1" count="2">
            <x v="0"/>
            <x v="1"/>
          </reference>
        </references>
      </pivotArea>
    </format>
    <format dxfId="19">
      <pivotArea outline="0" fieldPosition="0">
        <references count="3">
          <reference field="4294967294" count="1">
            <x v="5"/>
          </reference>
          <reference field="0" count="1">
            <x v="7"/>
          </reference>
          <reference field="32" defaultSubtotal="1" count="2">
            <x v="0"/>
            <x v="1"/>
          </reference>
        </references>
      </pivotArea>
    </format>
    <format dxfId="19">
      <pivotArea outline="0" fieldPosition="0">
        <references count="3">
          <reference field="4294967294" count="1">
            <x v="5"/>
          </reference>
          <reference field="0" count="1">
            <x v="6"/>
          </reference>
          <reference field="32" defaultSubtotal="1" count="2">
            <x v="0"/>
            <x v="1"/>
          </reference>
        </references>
      </pivotArea>
    </format>
    <format dxfId="19">
      <pivotArea outline="0" fieldPosition="0">
        <references count="4">
          <reference field="4294967294" count="1">
            <x v="5"/>
          </reference>
          <reference field="0" count="1">
            <x v="6"/>
          </reference>
          <reference field="3" count="1">
            <x v="10"/>
          </reference>
          <reference field="32" count="1">
            <x v="2"/>
          </reference>
        </references>
      </pivotArea>
    </format>
    <format dxfId="19">
      <pivotArea outline="0" fieldPosition="0">
        <references count="2">
          <reference field="4294967294" count="1">
            <x v="5"/>
          </reference>
          <reference field="0" count="1">
            <x v="5"/>
          </reference>
        </references>
      </pivotArea>
    </format>
    <format dxfId="19">
      <pivotArea outline="0" fieldPosition="0">
        <references count="2">
          <reference field="4294967294" count="1">
            <x v="5"/>
          </reference>
          <reference field="0" count="1">
            <x v="4"/>
          </reference>
        </references>
      </pivotArea>
    </format>
    <format dxfId="19">
      <pivotArea outline="0" fieldPosition="0">
        <references count="3">
          <reference field="4294967294" count="1">
            <x v="5"/>
          </reference>
          <reference field="0" count="1">
            <x v="3"/>
          </reference>
          <reference field="32" defaultSubtotal="1" count="2">
            <x v="0"/>
            <x v="1"/>
          </reference>
        </references>
      </pivotArea>
    </format>
    <format dxfId="19">
      <pivotArea outline="0" fieldPosition="0">
        <references count="3">
          <reference field="4294967294" count="1">
            <x v="5"/>
          </reference>
          <reference field="0" count="1">
            <x v="1"/>
          </reference>
          <reference field="32" defaultSubtotal="1" count="2">
            <x v="0"/>
            <x v="1"/>
          </reference>
        </references>
      </pivotArea>
    </format>
    <format dxfId="19">
      <pivotArea outline="0" fieldPosition="0">
        <references count="3">
          <reference field="4294967294" count="1">
            <x v="5"/>
          </reference>
          <reference field="0" count="1">
            <x v="0"/>
          </reference>
          <reference field="32" defaultSubtotal="1" count="2">
            <x v="0"/>
            <x v="1"/>
          </reference>
        </references>
      </pivotArea>
    </format>
    <format dxfId="20">
      <pivotArea outline="0" fieldPosition="0">
        <references count="3">
          <reference field="4294967294" count="1">
            <x v="3"/>
          </reference>
          <reference field="0" count="1">
            <x v="0"/>
          </reference>
          <reference field="32" defaultSubtotal="1" count="1">
            <x v="0"/>
          </reference>
        </references>
      </pivotArea>
    </format>
    <format dxfId="20">
      <pivotArea outline="0" fieldPosition="0">
        <references count="3">
          <reference field="4294967294" count="1">
            <x v="3"/>
          </reference>
          <reference field="0" count="1">
            <x v="1"/>
          </reference>
          <reference field="32" defaultSubtotal="1" count="1">
            <x v="0"/>
          </reference>
        </references>
      </pivotArea>
    </format>
    <format dxfId="21">
      <pivotArea outline="0" fieldPosition="0">
        <references count="3">
          <reference field="4294967294" count="1">
            <x v="5"/>
          </reference>
          <reference field="0" count="1">
            <x v="2"/>
          </reference>
          <reference field="32" defaultSubtotal="1" count="1">
            <x v="0"/>
          </reference>
        </references>
      </pivotArea>
    </format>
    <format dxfId="20">
      <pivotArea outline="0" fieldPosition="0">
        <references count="3">
          <reference field="4294967294" count="1">
            <x v="3"/>
          </reference>
          <reference field="0" count="1">
            <x v="2"/>
          </reference>
          <reference field="32" defaultSubtotal="1" count="1">
            <x v="0"/>
          </reference>
        </references>
      </pivotArea>
    </format>
    <format dxfId="21">
      <pivotArea outline="0" fieldPosition="0">
        <references count="4">
          <reference field="4294967294" count="1">
            <x v="5"/>
          </reference>
          <reference field="0" count="1">
            <x v="2"/>
          </reference>
          <reference field="3" count="2">
            <x v="8"/>
            <x v="9"/>
          </reference>
          <reference field="32" count="1">
            <x v="1"/>
          </reference>
        </references>
      </pivotArea>
    </format>
    <format dxfId="21">
      <pivotArea outline="0" fieldPosition="0">
        <references count="3">
          <reference field="4294967294" count="1">
            <x v="5"/>
          </reference>
          <reference field="0" count="1">
            <x v="2"/>
          </reference>
          <reference field="32" defaultSubtotal="1" count="1">
            <x v="1"/>
          </reference>
        </references>
      </pivotArea>
    </format>
    <format dxfId="20">
      <pivotArea outline="0" fieldPosition="0">
        <references count="3">
          <reference field="4294967294" count="1">
            <x v="3"/>
          </reference>
          <reference field="0" count="1">
            <x v="3"/>
          </reference>
          <reference field="32" defaultSubtotal="1" count="1">
            <x v="0"/>
          </reference>
        </references>
      </pivotArea>
    </format>
    <format dxfId="20">
      <pivotArea outline="0" fieldPosition="0">
        <references count="3">
          <reference field="4294967294" count="1">
            <x v="3"/>
          </reference>
          <reference field="0" count="1">
            <x v="4"/>
          </reference>
          <reference field="32" defaultSubtotal="1" count="1">
            <x v="0"/>
          </reference>
        </references>
      </pivotArea>
    </format>
    <format dxfId="20">
      <pivotArea outline="0" fieldPosition="0">
        <references count="3">
          <reference field="4294967294" count="1">
            <x v="3"/>
          </reference>
          <reference field="0" count="1">
            <x v="5"/>
          </reference>
          <reference field="32" defaultSubtotal="1" count="1">
            <x v="0"/>
          </reference>
        </references>
      </pivotArea>
    </format>
    <format dxfId="20">
      <pivotArea outline="0" fieldPosition="0">
        <references count="3">
          <reference field="4294967294" count="1">
            <x v="3"/>
          </reference>
          <reference field="0" count="1">
            <x v="6"/>
          </reference>
          <reference field="32" defaultSubtotal="1" count="1">
            <x v="0"/>
          </reference>
        </references>
      </pivotArea>
    </format>
    <format dxfId="20">
      <pivotArea outline="0" fieldPosition="0">
        <references count="3">
          <reference field="4294967294" count="1">
            <x v="3"/>
          </reference>
          <reference field="0" count="1">
            <x v="7"/>
          </reference>
          <reference field="32" defaultSubtotal="1" count="1">
            <x v="0"/>
          </reference>
        </references>
      </pivotArea>
    </format>
    <format dxfId="20">
      <pivotArea outline="0" fieldPosition="0">
        <references count="3">
          <reference field="4294967294" count="1">
            <x v="3"/>
          </reference>
          <reference field="0" count="1">
            <x v="8"/>
          </reference>
          <reference field="32" defaultSubtotal="1" count="1">
            <x v="0"/>
          </reference>
        </references>
      </pivotArea>
    </format>
    <format dxfId="20">
      <pivotArea outline="0" fieldPosition="0">
        <references count="3">
          <reference field="4294967294" count="1">
            <x v="3"/>
          </reference>
          <reference field="0" count="1">
            <x v="9"/>
          </reference>
          <reference field="32" defaultSubtotal="1" count="1">
            <x v="0"/>
          </reference>
        </references>
      </pivotArea>
    </format>
    <format dxfId="20">
      <pivotArea outline="0" fieldPosition="0">
        <references count="3">
          <reference field="4294967294" count="1">
            <x v="3"/>
          </reference>
          <reference field="0" count="1">
            <x v="10"/>
          </reference>
          <reference field="32" defaultSubtotal="1" count="1">
            <x v="0"/>
          </reference>
        </references>
      </pivotArea>
    </format>
    <format dxfId="20">
      <pivotArea outline="0" fieldPosition="0">
        <references count="3">
          <reference field="4294967294" count="1">
            <x v="3"/>
          </reference>
          <reference field="0" count="1">
            <x v="13"/>
          </reference>
          <reference field="32" defaultSubtotal="1" count="1">
            <x v="0"/>
          </reference>
        </references>
      </pivotArea>
    </format>
    <format dxfId="20">
      <pivotArea outline="0" fieldPosition="0">
        <references count="3">
          <reference field="4294967294" count="1">
            <x v="3"/>
          </reference>
          <reference field="0" count="1">
            <x v="15"/>
          </reference>
          <reference field="32" defaultSubtotal="1" count="1">
            <x v="0"/>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5" dataOnRows="1" applyNumberFormats="0" applyBorderFormats="0" applyFontFormats="0" applyPatternFormats="0" applyAlignmentFormats="0" applyWidthHeightFormats="0" dataCaption="Data" showMissing="1" preserveFormatting="1" useAutoFormatting="1" colGrandTotals="0" itemPrintTitles="1" compactData="0" updatedVersion="2" indent="0" showMemberPropertyTips="1">
  <location ref="A3:S509" firstHeaderRow="1" firstDataRow="3" firstDataCol="2"/>
  <pivotFields count="73">
    <pivotField axis="axisRow" compact="0" outline="0" subtotalTop="0" showAll="0" sortType="ascending">
      <items count="18">
        <item x="0"/>
        <item x="1"/>
        <item x="2"/>
        <item x="3"/>
        <item x="4"/>
        <item x="5"/>
        <item x="6"/>
        <item x="7"/>
        <item x="8"/>
        <item x="9"/>
        <item x="10"/>
        <item m="1" x="13"/>
        <item m="1" x="14"/>
        <item x="11"/>
        <item m="1" x="15"/>
        <item x="12"/>
        <item m="1" x="16"/>
        <item t="default"/>
      </items>
    </pivotField>
    <pivotField compact="0" outline="0" subtotalTop="0" showAll="0"/>
    <pivotField compact="0" outline="0" subtotalTop="0" showAll="0"/>
    <pivotField axis="axisCol" compact="0" outline="0" subtotalTop="0" showAll="0" defaultSubtotal="0">
      <items count="15">
        <item x="0"/>
        <item x="1"/>
        <item x="2"/>
        <item x="3"/>
        <item x="4"/>
        <item x="5"/>
        <item x="11"/>
        <item x="6"/>
        <item x="7"/>
        <item x="8"/>
        <item x="9"/>
        <item x="10"/>
        <item x="12"/>
        <item m="1" x="14"/>
        <item x="1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5">
        <item n="Four-Year" x="2"/>
        <item n="Two-Year" x="1"/>
        <item n="Technical" x="3"/>
        <item h="1" x="0"/>
        <item t="default"/>
      </items>
    </pivotField>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0"/>
    <field x="-2"/>
  </rowFields>
  <rowItems count="504">
    <i>
      <x/>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2"/>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3"/>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4"/>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5"/>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6"/>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7"/>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8"/>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9"/>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0"/>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3"/>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x v="15"/>
      <x/>
    </i>
    <i i="1" r="1">
      <x v="1"/>
    </i>
    <i i="2" r="1">
      <x v="2"/>
    </i>
    <i i="3" r="1">
      <x v="3"/>
    </i>
    <i i="4" r="1">
      <x v="4"/>
    </i>
    <i i="5" r="1">
      <x v="5"/>
    </i>
    <i i="6" r="1">
      <x v="6"/>
    </i>
    <i i="7" r="1">
      <x v="7"/>
    </i>
    <i i="8" r="1">
      <x v="8"/>
    </i>
    <i i="9" r="1">
      <x v="9"/>
    </i>
    <i i="10" r="1">
      <x v="10"/>
    </i>
    <i i="11" r="1">
      <x v="11"/>
    </i>
    <i i="12" r="1">
      <x v="12"/>
    </i>
    <i i="13" r="1">
      <x v="13"/>
    </i>
    <i i="14" r="1">
      <x v="14"/>
    </i>
    <i i="15" r="1">
      <x v="15"/>
    </i>
    <i i="16" r="1">
      <x v="16"/>
    </i>
    <i i="17" r="1">
      <x v="17"/>
    </i>
    <i i="18" r="1">
      <x v="18"/>
    </i>
    <i i="19" r="1">
      <x v="19"/>
    </i>
    <i i="20" r="1">
      <x v="20"/>
    </i>
    <i i="21" r="1">
      <x v="21"/>
    </i>
    <i i="22" r="1">
      <x v="22"/>
    </i>
    <i i="23" r="1">
      <x v="23"/>
    </i>
    <i i="24" r="1">
      <x v="24"/>
    </i>
    <i i="25" r="1">
      <x v="25"/>
    </i>
    <i i="26" r="1">
      <x v="26"/>
    </i>
    <i i="27" r="1">
      <x v="27"/>
    </i>
    <i i="28" r="1">
      <x v="28"/>
    </i>
    <i i="29" r="1">
      <x v="29"/>
    </i>
    <i i="30" r="1">
      <x v="30"/>
    </i>
    <i i="31" r="1">
      <x v="31"/>
    </i>
    <i i="32" r="1">
      <x v="32"/>
    </i>
    <i i="33" r="1">
      <x v="33"/>
    </i>
    <i i="34" r="1">
      <x v="34"/>
    </i>
    <i i="35" r="1">
      <x v="35"/>
    </i>
    <i t="grand">
      <x/>
    </i>
    <i t="grand" i="1">
      <x/>
    </i>
    <i t="grand" i="2">
      <x/>
    </i>
    <i t="grand" i="3">
      <x/>
    </i>
    <i t="grand" i="4">
      <x/>
    </i>
    <i t="grand" i="5">
      <x/>
    </i>
    <i t="grand" i="6">
      <x/>
    </i>
    <i t="grand" i="7">
      <x/>
    </i>
    <i t="grand" i="8">
      <x/>
    </i>
    <i t="grand" i="9">
      <x/>
    </i>
    <i t="grand" i="10">
      <x/>
    </i>
    <i t="grand" i="11">
      <x/>
    </i>
    <i t="grand" i="12">
      <x/>
    </i>
    <i t="grand" i="13">
      <x/>
    </i>
    <i t="grand" i="14">
      <x/>
    </i>
    <i t="grand" i="15">
      <x/>
    </i>
    <i t="grand" i="16">
      <x/>
    </i>
    <i t="grand" i="17">
      <x/>
    </i>
    <i t="grand" i="18">
      <x/>
    </i>
    <i t="grand" i="19">
      <x/>
    </i>
    <i t="grand" i="20">
      <x/>
    </i>
    <i t="grand" i="21">
      <x/>
    </i>
    <i t="grand" i="22">
      <x/>
    </i>
    <i t="grand" i="23">
      <x/>
    </i>
    <i t="grand" i="24">
      <x/>
    </i>
    <i t="grand" i="25">
      <x/>
    </i>
    <i t="grand" i="26">
      <x/>
    </i>
    <i t="grand" i="27">
      <x/>
    </i>
    <i t="grand" i="28">
      <x/>
    </i>
    <i t="grand" i="29">
      <x/>
    </i>
    <i t="grand" i="30">
      <x/>
    </i>
    <i t="grand" i="31">
      <x/>
    </i>
    <i t="grand" i="32">
      <x/>
    </i>
    <i t="grand" i="33">
      <x/>
    </i>
    <i t="grand" i="34">
      <x/>
    </i>
    <i t="grand" i="35">
      <x/>
    </i>
  </rowItems>
  <colFields count="2">
    <field x="32"/>
    <field x="3"/>
  </colFields>
  <colItems count="17">
    <i>
      <x/>
      <x/>
    </i>
    <i r="1">
      <x v="1"/>
    </i>
    <i r="1">
      <x v="2"/>
    </i>
    <i r="1">
      <x v="3"/>
    </i>
    <i r="1">
      <x v="4"/>
    </i>
    <i r="1">
      <x v="5"/>
    </i>
    <i r="1">
      <x v="12"/>
    </i>
    <i t="default">
      <x/>
    </i>
    <i>
      <x v="1"/>
      <x v="6"/>
    </i>
    <i r="1">
      <x v="7"/>
    </i>
    <i r="1">
      <x v="8"/>
    </i>
    <i r="1">
      <x v="9"/>
    </i>
    <i t="default">
      <x v="1"/>
    </i>
    <i>
      <x v="2"/>
      <x v="10"/>
    </i>
    <i r="1">
      <x v="11"/>
    </i>
    <i r="1">
      <x v="14"/>
    </i>
    <i t="default">
      <x v="2"/>
    </i>
  </colItems>
  <dataFields count="36">
    <dataField name=" Old %UG OnC Trad" fld="33" baseField="0" baseItem="0"/>
    <dataField name=" New %UG OnC Trad" fld="34" baseField="0" baseItem="0"/>
    <dataField name=" Change %UG OnC Trad" fld="57" baseField="0" baseItem="0"/>
    <dataField name=" Old %UG OffC Trad" fld="36" baseField="0" baseItem="0"/>
    <dataField name=" New %UG OffC Trad" fld="35" baseField="0" baseItem="0"/>
    <dataField name=" Change %UG OffC Trad" fld="60" baseField="0" baseItem="0"/>
    <dataField name=" Old %UG EL Web" fld="41" baseField="0" baseItem="0"/>
    <dataField name=" New %UG EL Web" fld="42" baseField="0" baseItem="0"/>
    <dataField name=" Change %UG EL Web" fld="61" baseField="0" baseItem="0"/>
    <dataField name=" Old %UG EL CV" fld="48" baseField="0" baseItem="0"/>
    <dataField name=" New %UG EL CV" fld="47" baseField="0" baseItem="0"/>
    <dataField name=" Change %UG EL CV" fld="64" baseField="0" baseItem="0"/>
    <dataField name=" Old %UG EL O" fld="49" baseField="0" baseItem="0"/>
    <dataField name=" New %UG EL O" fld="50" baseField="0" baseItem="0"/>
    <dataField name=" Change %UG EL O" fld="65" baseField="0" baseItem="0"/>
    <dataField name=" Old %UG Cor" fld="56" baseField="0" baseItem="0"/>
    <dataField name=" New %UG Cor" fld="55" baseField="0" baseItem="0"/>
    <dataField name=" Change %UG Cor" fld="68" baseField="0" baseItem="0"/>
    <dataField name=" Old %G OnC Trad" fld="38" baseField="0" baseItem="0"/>
    <dataField name=" New %G OnC Trad" fld="39" baseField="0" baseItem="0"/>
    <dataField name=" Change %G OnC Trad" fld="58" baseField="0" baseItem="0"/>
    <dataField name=" Old %G OffC Trad" fld="37" baseField="0" baseItem="0"/>
    <dataField name=" New %G OffC Trad" fld="40" baseField="0" baseItem="0"/>
    <dataField name=" Change %G OffC Trad" fld="59" baseField="0" baseItem="0"/>
    <dataField name=" Old %G EL Web" fld="44" baseField="0" baseItem="0"/>
    <dataField name=" New %G EL Web" fld="43" baseField="0" baseItem="0"/>
    <dataField name=" Change %G EL Web" fld="62" baseField="0" baseItem="0"/>
    <dataField name=" Old %G EL CV" fld="45" baseField="0" baseItem="0"/>
    <dataField name=" New %G EL CV" fld="46" baseField="0" baseItem="0"/>
    <dataField name=" Change %G EL CV" fld="63" baseField="0" baseItem="0"/>
    <dataField name=" Old %G EL O" fld="52" baseField="0" baseItem="0"/>
    <dataField name=" New %G EL O" fld="51" baseField="0" baseItem="0"/>
    <dataField name=" Change %G EL O" fld="66" baseField="0" baseItem="0"/>
    <dataField name=" Old %G Cor" fld="53" baseField="0" baseItem="0"/>
    <dataField name=" New %G Cor" fld="54" baseField="0" baseItem="0"/>
    <dataField name=" Change %G Cor" fld="67" baseField="0" baseItem="0"/>
  </dataFields>
  <formats count="410">
    <format dxfId="0">
      <pivotArea outline="0" fieldPosition="1" axis="axisCol" dataOnly="0" field="3" labelOnly="1" type="button"/>
    </format>
    <format dxfId="0">
      <pivotArea outline="0" fieldPosition="0" dataOnly="0" labelOnly="1" type="topRight"/>
    </format>
    <format dxfId="0">
      <pivotArea outline="0" fieldPosition="0" dataOnly="0" grandCol="1" labelOnly="1"/>
    </format>
    <format dxfId="22">
      <pivotArea outline="0" fieldPosition="0"/>
    </format>
    <format dxfId="1">
      <pivotArea outline="0" fieldPosition="0" dataOnly="0" labelOnly="1" offset="IV256">
        <references count="1">
          <reference field="0" count="1">
            <x v="2"/>
          </reference>
        </references>
      </pivotArea>
    </format>
    <format dxfId="1">
      <pivotArea outline="0" fieldPosition="0" dataOnly="0" labelOnly="1" offset="IV256">
        <references count="1">
          <reference field="0" count="1">
            <x v="3"/>
          </reference>
        </references>
      </pivotArea>
    </format>
    <format dxfId="1">
      <pivotArea outline="0" fieldPosition="0" dataOnly="0" labelOnly="1" offset="IV256">
        <references count="1">
          <reference field="0" count="1">
            <x v="4"/>
          </reference>
        </references>
      </pivotArea>
    </format>
    <format dxfId="1">
      <pivotArea outline="0" fieldPosition="0" dataOnly="0" labelOnly="1" offset="IV256">
        <references count="1">
          <reference field="0" count="1">
            <x v="5"/>
          </reference>
        </references>
      </pivotArea>
    </format>
    <format dxfId="1">
      <pivotArea outline="0" fieldPosition="0" dataOnly="0" labelOnly="1" offset="IV27:IV256">
        <references count="1">
          <reference field="0" count="1">
            <x v="6"/>
          </reference>
        </references>
      </pivotArea>
    </format>
    <format dxfId="1">
      <pivotArea outline="0" fieldPosition="0" dataOnly="0" labelOnly="1" offset="IV256">
        <references count="1">
          <reference field="0" count="1">
            <x v="7"/>
          </reference>
        </references>
      </pivotArea>
    </format>
    <format dxfId="1">
      <pivotArea outline="0" fieldPosition="0" dataOnly="0" labelOnly="1" offset="IV256">
        <references count="1">
          <reference field="0" count="1">
            <x v="8"/>
          </reference>
        </references>
      </pivotArea>
    </format>
    <format dxfId="1">
      <pivotArea outline="0" fieldPosition="0" dataOnly="0" labelOnly="1" offset="IV256">
        <references count="1">
          <reference field="0" count="1">
            <x v="9"/>
          </reference>
        </references>
      </pivotArea>
    </format>
    <format dxfId="1">
      <pivotArea outline="0" fieldPosition="0" dataOnly="0" labelOnly="1" offset="IV256">
        <references count="1">
          <reference field="0" count="1">
            <x v="10"/>
          </reference>
        </references>
      </pivotArea>
    </format>
    <format dxfId="1">
      <pivotArea outline="0" fieldPosition="0" dataOnly="0" labelOnly="1" offset="IV256">
        <references count="1">
          <reference field="0" count="1">
            <x v="11"/>
          </reference>
        </references>
      </pivotArea>
    </format>
    <format dxfId="1">
      <pivotArea outline="0" fieldPosition="0" dataOnly="0" labelOnly="1" offset="IV256">
        <references count="1">
          <reference field="0" count="1">
            <x v="12"/>
          </reference>
        </references>
      </pivotArea>
    </format>
    <format dxfId="1">
      <pivotArea outline="0" fieldPosition="0" dataOnly="0" labelOnly="1" offset="IV256">
        <references count="1">
          <reference field="0" count="1">
            <x v="13"/>
          </reference>
        </references>
      </pivotArea>
    </format>
    <format dxfId="1">
      <pivotArea outline="0" fieldPosition="0" dataOnly="0" labelOnly="1" offset="IV256">
        <references count="1">
          <reference field="0" count="1">
            <x v="14"/>
          </reference>
        </references>
      </pivotArea>
    </format>
    <format dxfId="2">
      <pivotArea outline="0" fieldPosition="0" dataOnly="0" labelOnly="1" offset="A2:B2" type="origin"/>
    </format>
    <format dxfId="3">
      <pivotArea outline="0" fieldPosition="0" dataOnly="0" labelOnly="1">
        <references count="1">
          <reference field="0" count="0"/>
        </references>
      </pivotArea>
    </format>
    <format dxfId="4">
      <pivotArea outline="0" fieldPosition="0" dataOnly="0" labelOnly="1" offset="IV1">
        <references count="1">
          <reference field="0" count="1">
            <x v="0"/>
          </reference>
        </references>
      </pivotArea>
    </format>
    <format dxfId="5">
      <pivotArea outline="0" fieldPosition="0" dataOnly="0" labelOnly="1" type="origin"/>
    </format>
    <format dxfId="5">
      <pivotArea outline="0" fieldPosition="0" axis="axisRow" dataOnly="0" field="0" labelOnly="1" type="button"/>
    </format>
    <format dxfId="5">
      <pivotArea outline="0" fieldPosition="1" axis="axisRow" dataOnly="0" field="-2" labelOnly="1" type="button"/>
    </format>
    <format dxfId="5">
      <pivotArea outline="0" fieldPosition="1" axis="axisCol" dataOnly="0" field="3" labelOnly="1" type="button"/>
    </format>
    <format dxfId="5">
      <pivotArea outline="0" fieldPosition="0" dataOnly="0" labelOnly="1" type="topRight"/>
    </format>
    <format dxfId="6">
      <pivotArea outline="0" fieldPosition="0" dataOnly="0" labelOnly="1" offset="IV5:IV6">
        <references count="1">
          <reference field="0" count="1">
            <x v="1"/>
          </reference>
        </references>
      </pivotArea>
    </format>
    <format dxfId="7">
      <pivotArea outline="0" fieldPosition="0" dataOnly="0" labelOnly="1" offset="IV7:IV8">
        <references count="1">
          <reference field="0" count="1">
            <x v="1"/>
          </reference>
        </references>
      </pivotArea>
    </format>
    <format dxfId="8">
      <pivotArea outline="0" fieldPosition="0" dataOnly="0" labelOnly="1" offset="IV9:IV10">
        <references count="1">
          <reference field="0" count="1">
            <x v="1"/>
          </reference>
        </references>
      </pivotArea>
    </format>
    <format dxfId="9">
      <pivotArea outline="0" fieldPosition="0" dataOnly="0" labelOnly="1" offset="IV11:IV12">
        <references count="1">
          <reference field="0" count="1">
            <x v="1"/>
          </reference>
        </references>
      </pivotArea>
    </format>
    <format dxfId="12">
      <pivotArea outline="0" fieldPosition="0" dataOnly="0" labelOnly="1" offset="IV5:IV12">
        <references count="1">
          <reference field="0" count="1">
            <x v="1"/>
          </reference>
        </references>
      </pivotArea>
    </format>
    <format dxfId="10">
      <pivotArea outline="0" fieldPosition="0" dataOnly="0" labelOnly="1" offset="IV256">
        <references count="1">
          <reference field="0" count="1">
            <x v="0"/>
          </reference>
        </references>
      </pivotArea>
    </format>
    <format dxfId="1">
      <pivotArea outline="0" fieldPosition="0" dataOnly="0" grandCol="1" labelOnly="1" offset="IV256"/>
    </format>
    <format dxfId="23">
      <pivotArea outline="0" fieldPosition="0" dataOnly="0" labelOnly="1">
        <references count="2">
          <reference field="4294967294" count="1">
            <x v="2"/>
          </reference>
          <reference field="0" count="1">
            <x v="0"/>
          </reference>
        </references>
      </pivotArea>
    </format>
    <format dxfId="24">
      <pivotArea outline="0" fieldPosition="0" dataOnly="0" labelOnly="1">
        <references count="2">
          <reference field="4294967294" count="1">
            <x v="5"/>
          </reference>
          <reference field="0" count="1">
            <x v="1"/>
          </reference>
        </references>
      </pivotArea>
    </format>
    <format dxfId="24">
      <pivotArea outline="0" fieldPosition="0" dataOnly="0" labelOnly="1">
        <references count="2">
          <reference field="4294967294" count="1">
            <x v="8"/>
          </reference>
          <reference field="0" count="1">
            <x v="1"/>
          </reference>
        </references>
      </pivotArea>
    </format>
    <format dxfId="24">
      <pivotArea outline="0" fieldPosition="0" dataOnly="0" labelOnly="1">
        <references count="2">
          <reference field="4294967294" count="1">
            <x v="11"/>
          </reference>
          <reference field="0" count="1">
            <x v="1"/>
          </reference>
        </references>
      </pivotArea>
    </format>
    <format dxfId="24">
      <pivotArea outline="0" fieldPosition="0" dataOnly="0" labelOnly="1">
        <references count="2">
          <reference field="4294967294" count="1">
            <x v="14"/>
          </reference>
          <reference field="0" count="1">
            <x v="1"/>
          </reference>
        </references>
      </pivotArea>
    </format>
    <format dxfId="24">
      <pivotArea outline="0" fieldPosition="0" dataOnly="0" labelOnly="1">
        <references count="2">
          <reference field="4294967294" count="1">
            <x v="17"/>
          </reference>
          <reference field="0" count="1">
            <x v="1"/>
          </reference>
        </references>
      </pivotArea>
    </format>
    <format dxfId="24">
      <pivotArea outline="0" fieldPosition="0" dataOnly="0" labelOnly="1">
        <references count="2">
          <reference field="4294967294" count="1">
            <x v="20"/>
          </reference>
          <reference field="0" count="1">
            <x v="1"/>
          </reference>
        </references>
      </pivotArea>
    </format>
    <format dxfId="24">
      <pivotArea outline="0" fieldPosition="0" dataOnly="0" labelOnly="1">
        <references count="2">
          <reference field="4294967294" count="1">
            <x v="23"/>
          </reference>
          <reference field="0" count="1">
            <x v="1"/>
          </reference>
        </references>
      </pivotArea>
    </format>
    <format dxfId="24">
      <pivotArea outline="0" fieldPosition="0" dataOnly="0" labelOnly="1">
        <references count="2">
          <reference field="4294967294" count="1">
            <x v="26"/>
          </reference>
          <reference field="0" count="1">
            <x v="1"/>
          </reference>
        </references>
      </pivotArea>
    </format>
    <format dxfId="24">
      <pivotArea outline="0" fieldPosition="0" dataOnly="0" labelOnly="1">
        <references count="2">
          <reference field="4294967294" count="1">
            <x v="29"/>
          </reference>
          <reference field="0" count="1">
            <x v="1"/>
          </reference>
        </references>
      </pivotArea>
    </format>
    <format dxfId="24">
      <pivotArea outline="0" fieldPosition="0" dataOnly="0" labelOnly="1">
        <references count="2">
          <reference field="4294967294" count="1">
            <x v="32"/>
          </reference>
          <reference field="0" count="1">
            <x v="1"/>
          </reference>
        </references>
      </pivotArea>
    </format>
    <format dxfId="24">
      <pivotArea outline="0" fieldPosition="0" dataOnly="0" labelOnly="1">
        <references count="2">
          <reference field="4294967294" count="1">
            <x v="35"/>
          </reference>
          <reference field="0" count="1">
            <x v="1"/>
          </reference>
        </references>
      </pivotArea>
    </format>
    <format dxfId="1">
      <pivotArea outline="0" fieldPosition="0">
        <references count="2">
          <reference field="4294967294" count="1">
            <x v="35"/>
          </reference>
          <reference field="0" count="1">
            <x v="1"/>
          </reference>
        </references>
      </pivotArea>
    </format>
    <format dxfId="1">
      <pivotArea outline="0" fieldPosition="0" dataOnly="0" labelOnly="1" offset="IV256">
        <references count="1">
          <reference field="0" count="1">
            <x v="1"/>
          </reference>
        </references>
      </pivotArea>
    </format>
    <format dxfId="1">
      <pivotArea outline="0" fieldPosition="0" dataOnly="0" labelOnly="1">
        <references count="2">
          <reference field="4294967294" count="1">
            <x v="35"/>
          </reference>
          <reference field="0" count="1">
            <x v="1"/>
          </reference>
        </references>
      </pivotArea>
    </format>
    <format dxfId="25">
      <pivotArea outline="0" fieldPosition="0">
        <references count="3">
          <reference field="4294967294" count="1">
            <x v="34"/>
          </reference>
          <reference field="0" count="1">
            <x v="0"/>
          </reference>
          <reference field="32" defaultSubtotal="1" count="1">
            <x v="0"/>
          </reference>
        </references>
      </pivotArea>
    </format>
    <format dxfId="26">
      <pivotArea outline="0" fieldPosition="0">
        <references count="4">
          <reference field="4294967294" count="3">
            <x v="24"/>
            <x v="25"/>
            <x v="26"/>
          </reference>
          <reference field="0" count="1">
            <x v="10"/>
          </reference>
          <reference field="3" count="1">
            <x v="0"/>
          </reference>
          <reference field="32" count="1">
            <x v="0"/>
          </reference>
        </references>
      </pivotArea>
    </format>
    <format dxfId="22">
      <pivotArea outline="0" fieldPosition="0">
        <references count="2">
          <reference field="4294967294" count="1">
            <x v="2"/>
          </reference>
          <reference field="0" count="1">
            <x v="1"/>
          </reference>
        </references>
      </pivotArea>
    </format>
    <format dxfId="27">
      <pivotArea outline="0" fieldPosition="0">
        <references count="4">
          <reference field="4294967294" count="1">
            <x v="2"/>
          </reference>
          <reference field="0" count="1">
            <x v="1"/>
          </reference>
          <reference field="3" count="1">
            <x v="1"/>
          </reference>
          <reference field="32" count="1">
            <x v="0"/>
          </reference>
        </references>
      </pivotArea>
    </format>
    <format dxfId="27">
      <pivotArea outline="0" fieldPosition="0">
        <references count="2">
          <reference field="4294967294" count="1">
            <x v="2"/>
          </reference>
          <reference field="0" count="1">
            <x v="0"/>
          </reference>
        </references>
      </pivotArea>
    </format>
    <format dxfId="28">
      <pivotArea outline="0" fieldPosition="0">
        <references count="4">
          <reference field="4294967294" count="1">
            <x v="5"/>
          </reference>
          <reference field="0" count="1">
            <x v="1"/>
          </reference>
          <reference field="3" count="1">
            <x v="1"/>
          </reference>
          <reference field="32" count="1">
            <x v="0"/>
          </reference>
        </references>
      </pivotArea>
    </format>
    <format dxfId="28">
      <pivotArea outline="0" fieldPosition="0">
        <references count="4">
          <reference field="4294967294" count="1">
            <x v="8"/>
          </reference>
          <reference field="0" count="1">
            <x v="1"/>
          </reference>
          <reference field="3" count="1">
            <x v="1"/>
          </reference>
          <reference field="32" count="1">
            <x v="0"/>
          </reference>
        </references>
      </pivotArea>
    </format>
    <format dxfId="28">
      <pivotArea outline="0" fieldPosition="0">
        <references count="4">
          <reference field="4294967294" count="1">
            <x v="11"/>
          </reference>
          <reference field="0" count="1">
            <x v="1"/>
          </reference>
          <reference field="3" count="1">
            <x v="1"/>
          </reference>
          <reference field="32" count="1">
            <x v="0"/>
          </reference>
        </references>
      </pivotArea>
    </format>
    <format dxfId="28">
      <pivotArea outline="0" fieldPosition="0">
        <references count="4">
          <reference field="4294967294" count="1">
            <x v="14"/>
          </reference>
          <reference field="0" count="1">
            <x v="1"/>
          </reference>
          <reference field="3" count="1">
            <x v="1"/>
          </reference>
          <reference field="32" count="1">
            <x v="0"/>
          </reference>
        </references>
      </pivotArea>
    </format>
    <format dxfId="28">
      <pivotArea outline="0" fieldPosition="0">
        <references count="4">
          <reference field="4294967294" count="1">
            <x v="17"/>
          </reference>
          <reference field="0" count="1">
            <x v="1"/>
          </reference>
          <reference field="3" count="1">
            <x v="1"/>
          </reference>
          <reference field="32" count="1">
            <x v="0"/>
          </reference>
        </references>
      </pivotArea>
    </format>
    <format dxfId="28">
      <pivotArea outline="0" fieldPosition="0">
        <references count="4">
          <reference field="4294967294" count="1">
            <x v="20"/>
          </reference>
          <reference field="0" count="1">
            <x v="1"/>
          </reference>
          <reference field="3" count="1">
            <x v="1"/>
          </reference>
          <reference field="32" count="1">
            <x v="0"/>
          </reference>
        </references>
      </pivotArea>
    </format>
    <format dxfId="28">
      <pivotArea outline="0" fieldPosition="0">
        <references count="4">
          <reference field="4294967294" count="1">
            <x v="23"/>
          </reference>
          <reference field="0" count="1">
            <x v="1"/>
          </reference>
          <reference field="3" count="1">
            <x v="1"/>
          </reference>
          <reference field="32" count="1">
            <x v="0"/>
          </reference>
        </references>
      </pivotArea>
    </format>
    <format dxfId="28">
      <pivotArea outline="0" fieldPosition="0">
        <references count="4">
          <reference field="4294967294" count="1">
            <x v="26"/>
          </reference>
          <reference field="0" count="1">
            <x v="1"/>
          </reference>
          <reference field="3" count="1">
            <x v="1"/>
          </reference>
          <reference field="32" count="1">
            <x v="0"/>
          </reference>
        </references>
      </pivotArea>
    </format>
    <format dxfId="28">
      <pivotArea outline="0" fieldPosition="0">
        <references count="4">
          <reference field="4294967294" count="1">
            <x v="29"/>
          </reference>
          <reference field="0" count="1">
            <x v="1"/>
          </reference>
          <reference field="3" count="1">
            <x v="1"/>
          </reference>
          <reference field="32" count="1">
            <x v="0"/>
          </reference>
        </references>
      </pivotArea>
    </format>
    <format dxfId="28">
      <pivotArea outline="0" fieldPosition="0">
        <references count="4">
          <reference field="4294967294" count="1">
            <x v="32"/>
          </reference>
          <reference field="0" count="1">
            <x v="1"/>
          </reference>
          <reference field="3" count="1">
            <x v="1"/>
          </reference>
          <reference field="32" count="1">
            <x v="0"/>
          </reference>
        </references>
      </pivotArea>
    </format>
    <format dxfId="28">
      <pivotArea outline="0" fieldPosition="0">
        <references count="4">
          <reference field="4294967294" count="1">
            <x v="35"/>
          </reference>
          <reference field="0" count="1">
            <x v="1"/>
          </reference>
          <reference field="3" count="1">
            <x v="1"/>
          </reference>
          <reference field="32" count="1">
            <x v="0"/>
          </reference>
        </references>
      </pivotArea>
    </format>
    <format dxfId="3">
      <pivotArea outline="0" fieldPosition="0">
        <references count="4">
          <reference field="4294967294" count="1">
            <x v="2"/>
          </reference>
          <reference field="0" count="1">
            <x v="3"/>
          </reference>
          <reference field="3" count="1">
            <x v="0"/>
          </reference>
          <reference field="32" count="1">
            <x v="0"/>
          </reference>
        </references>
      </pivotArea>
    </format>
    <format dxfId="3">
      <pivotArea outline="0" fieldPosition="0">
        <references count="4">
          <reference field="4294967294" count="1">
            <x v="5"/>
          </reference>
          <reference field="0" count="1">
            <x v="3"/>
          </reference>
          <reference field="3" count="1">
            <x v="0"/>
          </reference>
          <reference field="32" count="1">
            <x v="0"/>
          </reference>
        </references>
      </pivotArea>
    </format>
    <format dxfId="3">
      <pivotArea outline="0" fieldPosition="0">
        <references count="4">
          <reference field="4294967294" count="1">
            <x v="8"/>
          </reference>
          <reference field="0" count="1">
            <x v="3"/>
          </reference>
          <reference field="3" count="1">
            <x v="0"/>
          </reference>
          <reference field="32" count="1">
            <x v="0"/>
          </reference>
        </references>
      </pivotArea>
    </format>
    <format dxfId="3">
      <pivotArea outline="0" fieldPosition="0">
        <references count="4">
          <reference field="4294967294" count="1">
            <x v="11"/>
          </reference>
          <reference field="0" count="1">
            <x v="3"/>
          </reference>
          <reference field="3" count="1">
            <x v="0"/>
          </reference>
          <reference field="32" count="1">
            <x v="0"/>
          </reference>
        </references>
      </pivotArea>
    </format>
    <format dxfId="3">
      <pivotArea outline="0" fieldPosition="0">
        <references count="4">
          <reference field="4294967294" count="1">
            <x v="14"/>
          </reference>
          <reference field="0" count="1">
            <x v="3"/>
          </reference>
          <reference field="3" count="1">
            <x v="0"/>
          </reference>
          <reference field="32" count="1">
            <x v="0"/>
          </reference>
        </references>
      </pivotArea>
    </format>
    <format dxfId="3">
      <pivotArea outline="0" fieldPosition="0">
        <references count="4">
          <reference field="4294967294" count="1">
            <x v="17"/>
          </reference>
          <reference field="0" count="1">
            <x v="3"/>
          </reference>
          <reference field="3" count="1">
            <x v="0"/>
          </reference>
          <reference field="32" count="1">
            <x v="0"/>
          </reference>
        </references>
      </pivotArea>
    </format>
    <format dxfId="3">
      <pivotArea outline="0" fieldPosition="0">
        <references count="4">
          <reference field="4294967294" count="1">
            <x v="20"/>
          </reference>
          <reference field="0" count="1">
            <x v="3"/>
          </reference>
          <reference field="3" count="1">
            <x v="0"/>
          </reference>
          <reference field="32" count="1">
            <x v="0"/>
          </reference>
        </references>
      </pivotArea>
    </format>
    <format dxfId="3">
      <pivotArea outline="0" fieldPosition="0">
        <references count="4">
          <reference field="4294967294" count="1">
            <x v="23"/>
          </reference>
          <reference field="0" count="1">
            <x v="3"/>
          </reference>
          <reference field="3" count="1">
            <x v="0"/>
          </reference>
          <reference field="32" count="1">
            <x v="0"/>
          </reference>
        </references>
      </pivotArea>
    </format>
    <format dxfId="3">
      <pivotArea outline="0" fieldPosition="0">
        <references count="4">
          <reference field="4294967294" count="1">
            <x v="26"/>
          </reference>
          <reference field="0" count="1">
            <x v="3"/>
          </reference>
          <reference field="3" count="1">
            <x v="0"/>
          </reference>
          <reference field="32" count="1">
            <x v="0"/>
          </reference>
        </references>
      </pivotArea>
    </format>
    <format dxfId="3">
      <pivotArea outline="0" fieldPosition="0">
        <references count="4">
          <reference field="4294967294" count="1">
            <x v="29"/>
          </reference>
          <reference field="0" count="1">
            <x v="3"/>
          </reference>
          <reference field="3" count="1">
            <x v="0"/>
          </reference>
          <reference field="32" count="1">
            <x v="0"/>
          </reference>
        </references>
      </pivotArea>
    </format>
    <format dxfId="3">
      <pivotArea outline="0" fieldPosition="0">
        <references count="4">
          <reference field="4294967294" count="1">
            <x v="32"/>
          </reference>
          <reference field="0" count="1">
            <x v="3"/>
          </reference>
          <reference field="3" count="1">
            <x v="0"/>
          </reference>
          <reference field="32" count="1">
            <x v="0"/>
          </reference>
        </references>
      </pivotArea>
    </format>
    <format dxfId="3">
      <pivotArea outline="0" fieldPosition="0">
        <references count="4">
          <reference field="4294967294" count="1">
            <x v="35"/>
          </reference>
          <reference field="0" count="1">
            <x v="3"/>
          </reference>
          <reference field="3" count="1">
            <x v="0"/>
          </reference>
          <reference field="32" count="1">
            <x v="0"/>
          </reference>
        </references>
      </pivotArea>
    </format>
    <format dxfId="29">
      <pivotArea outline="0" fieldPosition="0">
        <references count="4">
          <reference field="4294967294" count="2">
            <x v="33"/>
            <x v="34"/>
          </reference>
          <reference field="0" count="1">
            <x v="3"/>
          </reference>
          <reference field="3" count="1">
            <x v="0"/>
          </reference>
          <reference field="32" count="1">
            <x v="0"/>
          </reference>
        </references>
      </pivotArea>
    </format>
    <format dxfId="25">
      <pivotArea outline="0" fieldPosition="0">
        <references count="4">
          <reference field="4294967294" count="1">
            <x v="33"/>
          </reference>
          <reference field="0" count="1">
            <x v="3"/>
          </reference>
          <reference field="3" count="1">
            <x v="0"/>
          </reference>
          <reference field="32" count="1">
            <x v="0"/>
          </reference>
        </references>
      </pivotArea>
    </format>
    <format dxfId="29">
      <pivotArea outline="0" fieldPosition="0">
        <references count="3">
          <reference field="4294967294" count="1">
            <x v="34"/>
          </reference>
          <reference field="0" count="1">
            <x v="3"/>
          </reference>
          <reference field="32" defaultSubtotal="1" count="1">
            <x v="0"/>
          </reference>
        </references>
      </pivotArea>
    </format>
    <format dxfId="25">
      <pivotArea outline="0" fieldPosition="0">
        <references count="3">
          <reference field="4294967294" count="1">
            <x v="33"/>
          </reference>
          <reference field="0" count="1">
            <x v="3"/>
          </reference>
          <reference field="32" defaultSubtotal="1" count="1">
            <x v="0"/>
          </reference>
        </references>
      </pivotArea>
    </format>
    <format dxfId="30">
      <pivotArea outline="0" fieldPosition="0">
        <references count="4">
          <reference field="4294967294" count="3">
            <x v="0"/>
            <x v="1"/>
            <x v="2"/>
          </reference>
          <reference field="0" count="1">
            <x v="3"/>
          </reference>
          <reference field="3" count="1">
            <x v="5"/>
          </reference>
          <reference field="32" count="1">
            <x v="0"/>
          </reference>
        </references>
      </pivotArea>
    </format>
    <format dxfId="31">
      <pivotArea outline="0" fieldPosition="0">
        <references count="4">
          <reference field="4294967294" count="3">
            <x v="3"/>
            <x v="4"/>
            <x v="5"/>
          </reference>
          <reference field="0" count="1">
            <x v="3"/>
          </reference>
          <reference field="3" count="1">
            <x v="5"/>
          </reference>
          <reference field="32" count="1">
            <x v="0"/>
          </reference>
        </references>
      </pivotArea>
    </format>
    <format dxfId="25">
      <pivotArea outline="0" fieldPosition="0">
        <references count="4">
          <reference field="4294967294" count="1">
            <x v="9"/>
          </reference>
          <reference field="0" count="1">
            <x v="4"/>
          </reference>
          <reference field="3" count="1">
            <x v="0"/>
          </reference>
          <reference field="32" count="1">
            <x v="0"/>
          </reference>
        </references>
      </pivotArea>
    </format>
    <format dxfId="25">
      <pivotArea outline="0" fieldPosition="0">
        <references count="4">
          <reference field="4294967294" count="1">
            <x v="13"/>
          </reference>
          <reference field="0" count="1">
            <x v="4"/>
          </reference>
          <reference field="3" count="1">
            <x v="0"/>
          </reference>
          <reference field="32" count="1">
            <x v="0"/>
          </reference>
        </references>
      </pivotArea>
    </format>
    <format dxfId="29">
      <pivotArea outline="0" fieldPosition="0">
        <references count="4">
          <reference field="4294967294" count="1">
            <x v="15"/>
          </reference>
          <reference field="0" count="1">
            <x v="4"/>
          </reference>
          <reference field="3" count="1">
            <x v="3"/>
          </reference>
          <reference field="32" count="1">
            <x v="0"/>
          </reference>
        </references>
      </pivotArea>
    </format>
    <format dxfId="30">
      <pivotArea outline="0" fieldPosition="0">
        <references count="4">
          <reference field="4294967294" count="3">
            <x v="0"/>
            <x v="1"/>
            <x v="2"/>
          </reference>
          <reference field="0" count="1">
            <x v="5"/>
          </reference>
          <reference field="3" count="1">
            <x v="1"/>
          </reference>
          <reference field="32" count="1">
            <x v="0"/>
          </reference>
        </references>
      </pivotArea>
    </format>
    <format dxfId="30">
      <pivotArea outline="0" fieldPosition="0">
        <references count="4">
          <reference field="4294967294" count="3">
            <x v="21"/>
            <x v="22"/>
            <x v="23"/>
          </reference>
          <reference field="0" count="1">
            <x v="8"/>
          </reference>
          <reference field="3" count="1">
            <x v="2"/>
          </reference>
          <reference field="32" count="1">
            <x v="0"/>
          </reference>
        </references>
      </pivotArea>
    </format>
    <format dxfId="30">
      <pivotArea outline="0" fieldPosition="0">
        <references count="4">
          <reference field="4294967294" count="3">
            <x v="21"/>
            <x v="22"/>
            <x v="23"/>
          </reference>
          <reference field="0" count="1">
            <x v="9"/>
          </reference>
          <reference field="3" count="1">
            <x v="3"/>
          </reference>
          <reference field="32" count="1">
            <x v="0"/>
          </reference>
        </references>
      </pivotArea>
    </format>
    <format dxfId="31">
      <pivotArea outline="0" fieldPosition="0">
        <references count="4">
          <reference field="4294967294" count="3">
            <x v="24"/>
            <x v="25"/>
            <x v="26"/>
          </reference>
          <reference field="0" count="1">
            <x v="9"/>
          </reference>
          <reference field="3" count="1">
            <x v="3"/>
          </reference>
          <reference field="32" count="1">
            <x v="0"/>
          </reference>
        </references>
      </pivotArea>
    </format>
    <format dxfId="30">
      <pivotArea outline="0" fieldPosition="0">
        <references count="4">
          <reference field="4294967294" count="3">
            <x v="3"/>
            <x v="4"/>
            <x v="5"/>
          </reference>
          <reference field="0" count="1">
            <x v="15"/>
          </reference>
          <reference field="3" count="1">
            <x v="5"/>
          </reference>
          <reference field="32" count="1">
            <x v="0"/>
          </reference>
        </references>
      </pivotArea>
    </format>
    <format dxfId="29">
      <pivotArea outline="0" fieldPosition="0">
        <references count="3">
          <reference field="4294967294" count="1">
            <x v="31"/>
          </reference>
          <reference field="0" count="1">
            <x v="15"/>
          </reference>
          <reference field="32" defaultSubtotal="1" count="1">
            <x v="0"/>
          </reference>
        </references>
      </pivotArea>
    </format>
    <format dxfId="29">
      <pivotArea outline="0" fieldPosition="0">
        <references count="4">
          <reference field="4294967294" count="1">
            <x v="31"/>
          </reference>
          <reference field="0" count="1">
            <x v="15"/>
          </reference>
          <reference field="3" count="1">
            <x v="0"/>
          </reference>
          <reference field="32" count="1">
            <x v="0"/>
          </reference>
        </references>
      </pivotArea>
    </format>
    <format dxfId="29">
      <pivotArea outline="0" fieldPosition="0">
        <references count="4">
          <reference field="4294967294" count="1">
            <x v="31"/>
          </reference>
          <reference field="0" count="1">
            <x v="13"/>
          </reference>
          <reference field="3" count="1">
            <x v="3"/>
          </reference>
          <reference field="32" count="1">
            <x v="0"/>
          </reference>
        </references>
      </pivotArea>
    </format>
    <format dxfId="29">
      <pivotArea outline="0" fieldPosition="0">
        <references count="4">
          <reference field="4294967294" count="1">
            <x v="33"/>
          </reference>
          <reference field="0" count="1">
            <x v="10"/>
          </reference>
          <reference field="3" count="1">
            <x v="0"/>
          </reference>
          <reference field="32" count="1">
            <x v="0"/>
          </reference>
        </references>
      </pivotArea>
    </format>
    <format dxfId="29">
      <pivotArea outline="0" fieldPosition="0">
        <references count="4">
          <reference field="4294967294" count="1">
            <x v="31"/>
          </reference>
          <reference field="0" count="1">
            <x v="10"/>
          </reference>
          <reference field="3" count="1">
            <x v="0"/>
          </reference>
          <reference field="32" count="1">
            <x v="0"/>
          </reference>
        </references>
      </pivotArea>
    </format>
    <format dxfId="29">
      <pivotArea outline="0" fieldPosition="0">
        <references count="4">
          <reference field="4294967294" count="1">
            <x v="13"/>
          </reference>
          <reference field="0" count="1">
            <x v="10"/>
          </reference>
          <reference field="3" count="1">
            <x v="5"/>
          </reference>
          <reference field="32" count="1">
            <x v="0"/>
          </reference>
        </references>
      </pivotArea>
    </format>
    <format dxfId="29">
      <pivotArea outline="0" fieldPosition="0">
        <references count="4">
          <reference field="4294967294" count="1">
            <x v="10"/>
          </reference>
          <reference field="0" count="1">
            <x v="10"/>
          </reference>
          <reference field="3" count="1">
            <x v="2"/>
          </reference>
          <reference field="32" count="1">
            <x v="0"/>
          </reference>
        </references>
      </pivotArea>
    </format>
    <format dxfId="29">
      <pivotArea outline="0" fieldPosition="0">
        <references count="4">
          <reference field="4294967294" count="1">
            <x v="31"/>
          </reference>
          <reference field="0" count="1">
            <x v="9"/>
          </reference>
          <reference field="3" count="1">
            <x v="0"/>
          </reference>
          <reference field="32" count="1">
            <x v="0"/>
          </reference>
        </references>
      </pivotArea>
    </format>
    <format dxfId="29">
      <pivotArea outline="0" fieldPosition="0">
        <references count="4">
          <reference field="4294967294" count="1">
            <x v="12"/>
          </reference>
          <reference field="0" count="1">
            <x v="9"/>
          </reference>
          <reference field="3" count="1">
            <x v="2"/>
          </reference>
          <reference field="32" count="1">
            <x v="0"/>
          </reference>
        </references>
      </pivotArea>
    </format>
    <format dxfId="29">
      <pivotArea outline="0" fieldPosition="0">
        <references count="4">
          <reference field="4294967294" count="2">
            <x v="9"/>
            <x v="10"/>
          </reference>
          <reference field="0" count="1">
            <x v="9"/>
          </reference>
          <reference field="3" count="2">
            <x v="1"/>
            <x v="2"/>
          </reference>
          <reference field="32" count="1">
            <x v="0"/>
          </reference>
        </references>
      </pivotArea>
    </format>
    <format dxfId="29">
      <pivotArea outline="0" fieldPosition="0">
        <references count="4">
          <reference field="4294967294" count="1">
            <x v="33"/>
          </reference>
          <reference field="0" count="1">
            <x v="8"/>
          </reference>
          <reference field="3" count="1">
            <x v="0"/>
          </reference>
          <reference field="32" count="1">
            <x v="0"/>
          </reference>
        </references>
      </pivotArea>
    </format>
    <format dxfId="22">
      <pivotArea outline="0" fieldPosition="0">
        <references count="4">
          <reference field="4294967294" count="1">
            <x v="34"/>
          </reference>
          <reference field="0" count="1">
            <x v="8"/>
          </reference>
          <reference field="3" count="1">
            <x v="0"/>
          </reference>
          <reference field="32" count="1">
            <x v="0"/>
          </reference>
        </references>
      </pivotArea>
    </format>
    <format dxfId="29">
      <pivotArea outline="0" fieldPosition="0">
        <references count="4">
          <reference field="4294967294" count="1">
            <x v="31"/>
          </reference>
          <reference field="0" count="1">
            <x v="8"/>
          </reference>
          <reference field="3" count="1">
            <x v="2"/>
          </reference>
          <reference field="32" count="1">
            <x v="0"/>
          </reference>
        </references>
      </pivotArea>
    </format>
    <format dxfId="29">
      <pivotArea outline="0" fieldPosition="0">
        <references count="4">
          <reference field="4294967294" count="2">
            <x v="12"/>
            <x v="13"/>
          </reference>
          <reference field="0" count="1">
            <x v="8"/>
          </reference>
          <reference field="3" count="1">
            <x v="0"/>
          </reference>
          <reference field="32" count="1">
            <x v="0"/>
          </reference>
        </references>
      </pivotArea>
    </format>
    <format dxfId="25">
      <pivotArea outline="0" fieldPosition="0">
        <references count="4">
          <reference field="4294967294" count="1">
            <x v="12"/>
          </reference>
          <reference field="0" count="1">
            <x v="8"/>
          </reference>
          <reference field="3" count="1">
            <x v="1"/>
          </reference>
          <reference field="32" count="1">
            <x v="0"/>
          </reference>
        </references>
      </pivotArea>
    </format>
    <format dxfId="29">
      <pivotArea outline="0" fieldPosition="0">
        <references count="4">
          <reference field="4294967294" count="1">
            <x v="12"/>
          </reference>
          <reference field="0" count="1">
            <x v="8"/>
          </reference>
          <reference field="3" count="1">
            <x v="3"/>
          </reference>
          <reference field="32" count="1">
            <x v="0"/>
          </reference>
        </references>
      </pivotArea>
    </format>
    <format dxfId="29">
      <pivotArea outline="0" fieldPosition="0">
        <references count="4">
          <reference field="4294967294" count="1">
            <x v="10"/>
          </reference>
          <reference field="0" count="1">
            <x v="8"/>
          </reference>
          <reference field="3" count="1">
            <x v="3"/>
          </reference>
          <reference field="32" count="1">
            <x v="0"/>
          </reference>
        </references>
      </pivotArea>
    </format>
    <format dxfId="29">
      <pivotArea outline="0" fieldPosition="0">
        <references count="4">
          <reference field="4294967294" count="1">
            <x v="28"/>
          </reference>
          <reference field="0" count="1">
            <x v="7"/>
          </reference>
          <reference field="3" count="1">
            <x v="1"/>
          </reference>
          <reference field="32" count="1">
            <x v="0"/>
          </reference>
        </references>
      </pivotArea>
    </format>
    <format dxfId="29">
      <pivotArea outline="0" fieldPosition="0">
        <references count="4">
          <reference field="4294967294" count="1">
            <x v="10"/>
          </reference>
          <reference field="0" count="1">
            <x v="7"/>
          </reference>
          <reference field="3" count="1">
            <x v="2"/>
          </reference>
          <reference field="32" count="1">
            <x v="0"/>
          </reference>
        </references>
      </pivotArea>
    </format>
    <format dxfId="29">
      <pivotArea outline="0" fieldPosition="0">
        <references count="4">
          <reference field="4294967294" count="1">
            <x v="31"/>
          </reference>
          <reference field="0" count="1">
            <x v="6"/>
          </reference>
          <reference field="3" count="1">
            <x v="1"/>
          </reference>
          <reference field="32" count="1">
            <x v="0"/>
          </reference>
        </references>
      </pivotArea>
    </format>
    <format dxfId="29">
      <pivotArea outline="0" fieldPosition="0">
        <references count="4">
          <reference field="4294967294" count="1">
            <x v="10"/>
          </reference>
          <reference field="0" count="1">
            <x v="6"/>
          </reference>
          <reference field="3" count="1">
            <x v="0"/>
          </reference>
          <reference field="32" count="1">
            <x v="0"/>
          </reference>
        </references>
      </pivotArea>
    </format>
    <format dxfId="29">
      <pivotArea outline="0" fieldPosition="0">
        <references count="4">
          <reference field="4294967294" count="2">
            <x v="30"/>
            <x v="31"/>
          </reference>
          <reference field="0" count="1">
            <x v="5"/>
          </reference>
          <reference field="3" count="2">
            <x v="0"/>
            <x v="1"/>
          </reference>
          <reference field="32" count="1">
            <x v="0"/>
          </reference>
        </references>
      </pivotArea>
    </format>
    <format dxfId="29">
      <pivotArea outline="0" fieldPosition="0">
        <references count="4">
          <reference field="4294967294" count="2">
            <x v="30"/>
            <x v="31"/>
          </reference>
          <reference field="0" count="1">
            <x v="5"/>
          </reference>
          <reference field="3" count="1">
            <x v="3"/>
          </reference>
          <reference field="32" count="1">
            <x v="0"/>
          </reference>
        </references>
      </pivotArea>
    </format>
    <format dxfId="29">
      <pivotArea outline="0" fieldPosition="0">
        <references count="4">
          <reference field="4294967294" count="1">
            <x v="27"/>
          </reference>
          <reference field="0" count="1">
            <x v="5"/>
          </reference>
          <reference field="3" count="1">
            <x v="1"/>
          </reference>
          <reference field="32" count="1">
            <x v="0"/>
          </reference>
        </references>
      </pivotArea>
    </format>
    <format dxfId="29">
      <pivotArea outline="0" fieldPosition="0">
        <references count="4">
          <reference field="4294967294" count="1">
            <x v="30"/>
          </reference>
          <reference field="0" count="1">
            <x v="4"/>
          </reference>
          <reference field="3" count="1">
            <x v="2"/>
          </reference>
          <reference field="32" count="1">
            <x v="0"/>
          </reference>
        </references>
      </pivotArea>
    </format>
    <format dxfId="29">
      <pivotArea outline="0" fieldPosition="0">
        <references count="4">
          <reference field="4294967294" count="1">
            <x v="27"/>
          </reference>
          <reference field="0" count="1">
            <x v="4"/>
          </reference>
          <reference field="3" count="1">
            <x v="1"/>
          </reference>
          <reference field="32" count="1">
            <x v="0"/>
          </reference>
        </references>
      </pivotArea>
    </format>
    <format dxfId="29">
      <pivotArea outline="0" fieldPosition="0">
        <references count="4">
          <reference field="4294967294" count="1">
            <x v="9"/>
          </reference>
          <reference field="0" count="1">
            <x v="3"/>
          </reference>
          <reference field="3" count="1">
            <x v="2"/>
          </reference>
          <reference field="32" count="1">
            <x v="0"/>
          </reference>
        </references>
      </pivotArea>
    </format>
    <format dxfId="29">
      <pivotArea outline="0" fieldPosition="0">
        <references count="4">
          <reference field="4294967294" count="1">
            <x v="10"/>
          </reference>
          <reference field="0" count="1">
            <x v="3"/>
          </reference>
          <reference field="3" count="1">
            <x v="4"/>
          </reference>
          <reference field="32" count="1">
            <x v="0"/>
          </reference>
        </references>
      </pivotArea>
    </format>
    <format dxfId="29">
      <pivotArea outline="0" fieldPosition="0">
        <references count="4">
          <reference field="4294967294" count="1">
            <x v="13"/>
          </reference>
          <reference field="0" count="1">
            <x v="1"/>
          </reference>
          <reference field="3" count="1">
            <x v="1"/>
          </reference>
          <reference field="32" count="1">
            <x v="0"/>
          </reference>
        </references>
      </pivotArea>
    </format>
    <format dxfId="25">
      <pivotArea outline="0" fieldPosition="0">
        <references count="4">
          <reference field="4294967294" count="1">
            <x v="34"/>
          </reference>
          <reference field="0" count="1">
            <x v="0"/>
          </reference>
          <reference field="3" count="1">
            <x v="0"/>
          </reference>
          <reference field="32" count="1">
            <x v="0"/>
          </reference>
        </references>
      </pivotArea>
    </format>
    <format dxfId="30">
      <pivotArea outline="0" fieldPosition="0">
        <references count="4">
          <reference field="4294967294" count="6">
            <x v="0"/>
            <x v="1"/>
            <x v="2"/>
            <x v="3"/>
            <x v="4"/>
            <x v="5"/>
          </reference>
          <reference field="0" count="1">
            <x v="3"/>
          </reference>
          <reference field="3" count="3">
            <x v="7"/>
            <x v="8"/>
            <x v="9"/>
          </reference>
          <reference field="32" count="1">
            <x v="1"/>
          </reference>
        </references>
      </pivotArea>
    </format>
    <format dxfId="30">
      <pivotArea outline="0" fieldPosition="0">
        <references count="3">
          <reference field="4294967294" count="6">
            <x v="0"/>
            <x v="1"/>
            <x v="2"/>
            <x v="3"/>
            <x v="4"/>
            <x v="5"/>
          </reference>
          <reference field="0" count="1">
            <x v="3"/>
          </reference>
          <reference field="32" defaultSubtotal="1" count="1">
            <x v="1"/>
          </reference>
        </references>
      </pivotArea>
    </format>
    <format dxfId="30">
      <pivotArea outline="0" fieldPosition="0">
        <references count="4">
          <reference field="4294967294" count="3">
            <x v="0"/>
            <x v="1"/>
            <x v="2"/>
          </reference>
          <reference field="0" count="1">
            <x v="5"/>
          </reference>
          <reference field="3" count="1">
            <x v="7"/>
          </reference>
          <reference field="32" count="1">
            <x v="1"/>
          </reference>
        </references>
      </pivotArea>
    </format>
    <format dxfId="30">
      <pivotArea outline="0" fieldPosition="0">
        <references count="4">
          <reference field="4294967294" count="3">
            <x v="0"/>
            <x v="1"/>
            <x v="2"/>
          </reference>
          <reference field="0" count="1">
            <x v="5"/>
          </reference>
          <reference field="3" count="1">
            <x v="9"/>
          </reference>
          <reference field="32" count="1">
            <x v="1"/>
          </reference>
        </references>
      </pivotArea>
    </format>
    <format dxfId="30">
      <pivotArea outline="0" fieldPosition="0">
        <references count="4">
          <reference field="4294967294" count="3">
            <x v="6"/>
            <x v="7"/>
            <x v="8"/>
          </reference>
          <reference field="0" count="1">
            <x v="5"/>
          </reference>
          <reference field="3" count="1">
            <x v="7"/>
          </reference>
          <reference field="32" count="1">
            <x v="1"/>
          </reference>
        </references>
      </pivotArea>
    </format>
    <format dxfId="30">
      <pivotArea outline="0" fieldPosition="0">
        <references count="4">
          <reference field="4294967294" count="9">
            <x v="0"/>
            <x v="1"/>
            <x v="2"/>
            <x v="3"/>
            <x v="4"/>
            <x v="5"/>
            <x v="6"/>
            <x v="7"/>
            <x v="8"/>
          </reference>
          <reference field="0" count="1">
            <x v="15"/>
          </reference>
          <reference field="3" count="1">
            <x v="8"/>
          </reference>
          <reference field="32" count="1">
            <x v="1"/>
          </reference>
        </references>
      </pivotArea>
    </format>
    <format dxfId="32">
      <pivotArea outline="0" fieldPosition="0">
        <references count="4">
          <reference field="4294967294" count="9">
            <x v="0"/>
            <x v="1"/>
            <x v="2"/>
            <x v="3"/>
            <x v="4"/>
            <x v="5"/>
            <x v="6"/>
            <x v="7"/>
            <x v="8"/>
          </reference>
          <reference field="0" count="1">
            <x v="15"/>
          </reference>
          <reference field="3" count="1">
            <x v="9"/>
          </reference>
          <reference field="32" count="1">
            <x v="1"/>
          </reference>
        </references>
      </pivotArea>
    </format>
    <format dxfId="30">
      <pivotArea outline="0" fieldPosition="0">
        <references count="4">
          <reference field="4294967294" count="8">
            <x v="18"/>
            <x v="19"/>
            <x v="20"/>
            <x v="21"/>
            <x v="22"/>
            <x v="23"/>
            <x v="24"/>
            <x v="25"/>
          </reference>
          <reference field="0" count="1">
            <x v="15"/>
          </reference>
          <reference field="3" count="1">
            <x v="8"/>
          </reference>
          <reference field="32" count="1">
            <x v="1"/>
          </reference>
        </references>
      </pivotArea>
    </format>
    <format dxfId="1">
      <pivotArea outline="0" fieldPosition="0" axis="axisRow" field="0" grandRow="1">
        <references count="1">
          <reference field="4294967294" count="1">
            <x v="35"/>
          </reference>
        </references>
      </pivotArea>
    </format>
    <format dxfId="1">
      <pivotArea outline="0" fieldPosition="0" axis="axisRow" dataOnly="0" field="0" grandRow="1" labelOnly="1">
        <references count="1">
          <reference field="4294967294" count="1">
            <x v="0"/>
          </reference>
        </references>
      </pivotArea>
    </format>
    <format dxfId="1">
      <pivotArea outline="0" fieldPosition="0" axis="axisRow" dataOnly="0" field="0" grandRow="1" labelOnly="1">
        <references count="1">
          <reference field="4294967294" count="1">
            <x v="1"/>
          </reference>
        </references>
      </pivotArea>
    </format>
    <format dxfId="1">
      <pivotArea outline="0" fieldPosition="0" axis="axisRow" dataOnly="0" field="0" grandRow="1" labelOnly="1">
        <references count="1">
          <reference field="4294967294" count="1">
            <x v="2"/>
          </reference>
        </references>
      </pivotArea>
    </format>
    <format dxfId="1">
      <pivotArea outline="0" fieldPosition="0" axis="axisRow" dataOnly="0" field="0" grandRow="1" labelOnly="1">
        <references count="1">
          <reference field="4294967294" count="1">
            <x v="3"/>
          </reference>
        </references>
      </pivotArea>
    </format>
    <format dxfId="1">
      <pivotArea outline="0" fieldPosition="0" axis="axisRow" dataOnly="0" field="0" grandRow="1" labelOnly="1">
        <references count="1">
          <reference field="4294967294" count="1">
            <x v="4"/>
          </reference>
        </references>
      </pivotArea>
    </format>
    <format dxfId="1">
      <pivotArea outline="0" fieldPosition="0" axis="axisRow" dataOnly="0" field="0" grandRow="1" labelOnly="1">
        <references count="1">
          <reference field="4294967294" count="1">
            <x v="5"/>
          </reference>
        </references>
      </pivotArea>
    </format>
    <format dxfId="1">
      <pivotArea outline="0" fieldPosition="0" axis="axisRow" dataOnly="0" field="0" grandRow="1" labelOnly="1">
        <references count="1">
          <reference field="4294967294" count="1">
            <x v="6"/>
          </reference>
        </references>
      </pivotArea>
    </format>
    <format dxfId="1">
      <pivotArea outline="0" fieldPosition="0" axis="axisRow" dataOnly="0" field="0" grandRow="1" labelOnly="1">
        <references count="1">
          <reference field="4294967294" count="1">
            <x v="7"/>
          </reference>
        </references>
      </pivotArea>
    </format>
    <format dxfId="1">
      <pivotArea outline="0" fieldPosition="0" axis="axisRow" dataOnly="0" field="0" grandRow="1" labelOnly="1">
        <references count="1">
          <reference field="4294967294" count="1">
            <x v="8"/>
          </reference>
        </references>
      </pivotArea>
    </format>
    <format dxfId="1">
      <pivotArea outline="0" fieldPosition="0" axis="axisRow" dataOnly="0" field="0" grandRow="1" labelOnly="1">
        <references count="1">
          <reference field="4294967294" count="1">
            <x v="9"/>
          </reference>
        </references>
      </pivotArea>
    </format>
    <format dxfId="1">
      <pivotArea outline="0" fieldPosition="0" axis="axisRow" dataOnly="0" field="0" grandRow="1" labelOnly="1">
        <references count="1">
          <reference field="4294967294" count="1">
            <x v="10"/>
          </reference>
        </references>
      </pivotArea>
    </format>
    <format dxfId="1">
      <pivotArea outline="0" fieldPosition="0" axis="axisRow" dataOnly="0" field="0" grandRow="1" labelOnly="1">
        <references count="1">
          <reference field="4294967294" count="1">
            <x v="11"/>
          </reference>
        </references>
      </pivotArea>
    </format>
    <format dxfId="1">
      <pivotArea outline="0" fieldPosition="0" axis="axisRow" dataOnly="0" field="0" grandRow="1" labelOnly="1">
        <references count="1">
          <reference field="4294967294" count="1">
            <x v="12"/>
          </reference>
        </references>
      </pivotArea>
    </format>
    <format dxfId="1">
      <pivotArea outline="0" fieldPosition="0" axis="axisRow" dataOnly="0" field="0" grandRow="1" labelOnly="1">
        <references count="1">
          <reference field="4294967294" count="1">
            <x v="13"/>
          </reference>
        </references>
      </pivotArea>
    </format>
    <format dxfId="1">
      <pivotArea outline="0" fieldPosition="0" axis="axisRow" dataOnly="0" field="0" grandRow="1" labelOnly="1">
        <references count="1">
          <reference field="4294967294" count="1">
            <x v="14"/>
          </reference>
        </references>
      </pivotArea>
    </format>
    <format dxfId="1">
      <pivotArea outline="0" fieldPosition="0" axis="axisRow" dataOnly="0" field="0" grandRow="1" labelOnly="1">
        <references count="1">
          <reference field="4294967294" count="1">
            <x v="15"/>
          </reference>
        </references>
      </pivotArea>
    </format>
    <format dxfId="1">
      <pivotArea outline="0" fieldPosition="0" axis="axisRow" dataOnly="0" field="0" grandRow="1" labelOnly="1">
        <references count="1">
          <reference field="4294967294" count="1">
            <x v="16"/>
          </reference>
        </references>
      </pivotArea>
    </format>
    <format dxfId="1">
      <pivotArea outline="0" fieldPosition="0" axis="axisRow" dataOnly="0" field="0" grandRow="1" labelOnly="1">
        <references count="1">
          <reference field="4294967294" count="1">
            <x v="17"/>
          </reference>
        </references>
      </pivotArea>
    </format>
    <format dxfId="1">
      <pivotArea outline="0" fieldPosition="0" axis="axisRow" dataOnly="0" field="0" grandRow="1" labelOnly="1">
        <references count="1">
          <reference field="4294967294" count="1">
            <x v="18"/>
          </reference>
        </references>
      </pivotArea>
    </format>
    <format dxfId="1">
      <pivotArea outline="0" fieldPosition="0" axis="axisRow" dataOnly="0" field="0" grandRow="1" labelOnly="1">
        <references count="1">
          <reference field="4294967294" count="1">
            <x v="19"/>
          </reference>
        </references>
      </pivotArea>
    </format>
    <format dxfId="1">
      <pivotArea outline="0" fieldPosition="0" axis="axisRow" dataOnly="0" field="0" grandRow="1" labelOnly="1">
        <references count="1">
          <reference field="4294967294" count="1">
            <x v="20"/>
          </reference>
        </references>
      </pivotArea>
    </format>
    <format dxfId="1">
      <pivotArea outline="0" fieldPosition="0" axis="axisRow" dataOnly="0" field="0" grandRow="1" labelOnly="1">
        <references count="1">
          <reference field="4294967294" count="1">
            <x v="21"/>
          </reference>
        </references>
      </pivotArea>
    </format>
    <format dxfId="1">
      <pivotArea outline="0" fieldPosition="0" axis="axisRow" dataOnly="0" field="0" grandRow="1" labelOnly="1">
        <references count="1">
          <reference field="4294967294" count="1">
            <x v="22"/>
          </reference>
        </references>
      </pivotArea>
    </format>
    <format dxfId="1">
      <pivotArea outline="0" fieldPosition="0" axis="axisRow" dataOnly="0" field="0" grandRow="1" labelOnly="1">
        <references count="1">
          <reference field="4294967294" count="1">
            <x v="23"/>
          </reference>
        </references>
      </pivotArea>
    </format>
    <format dxfId="1">
      <pivotArea outline="0" fieldPosition="0" axis="axisRow" dataOnly="0" field="0" grandRow="1" labelOnly="1">
        <references count="1">
          <reference field="4294967294" count="1">
            <x v="24"/>
          </reference>
        </references>
      </pivotArea>
    </format>
    <format dxfId="1">
      <pivotArea outline="0" fieldPosition="0" axis="axisRow" dataOnly="0" field="0" grandRow="1" labelOnly="1">
        <references count="1">
          <reference field="4294967294" count="1">
            <x v="25"/>
          </reference>
        </references>
      </pivotArea>
    </format>
    <format dxfId="1">
      <pivotArea outline="0" fieldPosition="0" axis="axisRow" dataOnly="0" field="0" grandRow="1" labelOnly="1">
        <references count="1">
          <reference field="4294967294" count="1">
            <x v="26"/>
          </reference>
        </references>
      </pivotArea>
    </format>
    <format dxfId="1">
      <pivotArea outline="0" fieldPosition="0" axis="axisRow" dataOnly="0" field="0" grandRow="1" labelOnly="1">
        <references count="1">
          <reference field="4294967294" count="1">
            <x v="27"/>
          </reference>
        </references>
      </pivotArea>
    </format>
    <format dxfId="1">
      <pivotArea outline="0" fieldPosition="0" axis="axisRow" dataOnly="0" field="0" grandRow="1" labelOnly="1">
        <references count="1">
          <reference field="4294967294" count="1">
            <x v="28"/>
          </reference>
        </references>
      </pivotArea>
    </format>
    <format dxfId="1">
      <pivotArea outline="0" fieldPosition="0" axis="axisRow" dataOnly="0" field="0" grandRow="1" labelOnly="1">
        <references count="1">
          <reference field="4294967294" count="1">
            <x v="29"/>
          </reference>
        </references>
      </pivotArea>
    </format>
    <format dxfId="1">
      <pivotArea outline="0" fieldPosition="0" axis="axisRow" dataOnly="0" field="0" grandRow="1" labelOnly="1">
        <references count="1">
          <reference field="4294967294" count="1">
            <x v="30"/>
          </reference>
        </references>
      </pivotArea>
    </format>
    <format dxfId="1">
      <pivotArea outline="0" fieldPosition="0" axis="axisRow" dataOnly="0" field="0" grandRow="1" labelOnly="1">
        <references count="1">
          <reference field="4294967294" count="1">
            <x v="31"/>
          </reference>
        </references>
      </pivotArea>
    </format>
    <format dxfId="1">
      <pivotArea outline="0" fieldPosition="0" axis="axisRow" dataOnly="0" field="0" grandRow="1" labelOnly="1">
        <references count="1">
          <reference field="4294967294" count="1">
            <x v="32"/>
          </reference>
        </references>
      </pivotArea>
    </format>
    <format dxfId="1">
      <pivotArea outline="0" fieldPosition="0" axis="axisRow" dataOnly="0" field="0" grandRow="1" labelOnly="1">
        <references count="1">
          <reference field="4294967294" count="1">
            <x v="33"/>
          </reference>
        </references>
      </pivotArea>
    </format>
    <format dxfId="1">
      <pivotArea outline="0" fieldPosition="0" axis="axisRow" dataOnly="0" field="0" grandRow="1" labelOnly="1">
        <references count="1">
          <reference field="4294967294" count="1">
            <x v="34"/>
          </reference>
        </references>
      </pivotArea>
    </format>
    <format dxfId="1">
      <pivotArea outline="0" fieldPosition="0" axis="axisRow" dataOnly="0" field="0" grandRow="1" labelOnly="1">
        <references count="1">
          <reference field="4294967294" count="1">
            <x v="35"/>
          </reference>
        </references>
      </pivotArea>
    </format>
    <format dxfId="2">
      <pivotArea outline="0" fieldPosition="0">
        <references count="2">
          <reference field="4294967294" count="1">
            <x v="0"/>
          </reference>
          <reference field="0" count="1">
            <x v="0"/>
          </reference>
        </references>
      </pivotArea>
    </format>
    <format dxfId="2">
      <pivotArea outline="0" fieldPosition="0" dataOnly="0" labelOnly="1" offset="IV1">
        <references count="1">
          <reference field="0" count="1">
            <x v="0"/>
          </reference>
        </references>
      </pivotArea>
    </format>
    <format dxfId="2">
      <pivotArea outline="0" fieldPosition="0" dataOnly="0" labelOnly="1">
        <references count="2">
          <reference field="4294967294" count="1">
            <x v="0"/>
          </reference>
          <reference field="0" count="1">
            <x v="0"/>
          </reference>
        </references>
      </pivotArea>
    </format>
    <format dxfId="2">
      <pivotArea outline="0" fieldPosition="0">
        <references count="2">
          <reference field="4294967294" count="1">
            <x v="0"/>
          </reference>
          <reference field="0" count="1">
            <x v="1"/>
          </reference>
        </references>
      </pivotArea>
    </format>
    <format dxfId="2">
      <pivotArea outline="0" fieldPosition="0" dataOnly="0" labelOnly="1" offset="IV1">
        <references count="1">
          <reference field="0" count="1">
            <x v="1"/>
          </reference>
        </references>
      </pivotArea>
    </format>
    <format dxfId="2">
      <pivotArea outline="0" fieldPosition="0" dataOnly="0" labelOnly="1">
        <references count="2">
          <reference field="4294967294" count="1">
            <x v="0"/>
          </reference>
          <reference field="0" count="1">
            <x v="1"/>
          </reference>
        </references>
      </pivotArea>
    </format>
    <format dxfId="2">
      <pivotArea outline="0" fieldPosition="0">
        <references count="2">
          <reference field="4294967294" count="1">
            <x v="0"/>
          </reference>
          <reference field="0" count="1">
            <x v="2"/>
          </reference>
        </references>
      </pivotArea>
    </format>
    <format dxfId="2">
      <pivotArea outline="0" fieldPosition="0" dataOnly="0" labelOnly="1" offset="IV1">
        <references count="1">
          <reference field="0" count="1">
            <x v="2"/>
          </reference>
        </references>
      </pivotArea>
    </format>
    <format dxfId="2">
      <pivotArea outline="0" fieldPosition="0" dataOnly="0" labelOnly="1">
        <references count="2">
          <reference field="4294967294" count="1">
            <x v="0"/>
          </reference>
          <reference field="0" count="1">
            <x v="2"/>
          </reference>
        </references>
      </pivotArea>
    </format>
    <format dxfId="2">
      <pivotArea outline="0" fieldPosition="0">
        <references count="2">
          <reference field="4294967294" count="1">
            <x v="0"/>
          </reference>
          <reference field="0" count="1">
            <x v="3"/>
          </reference>
        </references>
      </pivotArea>
    </format>
    <format dxfId="2">
      <pivotArea outline="0" fieldPosition="0" dataOnly="0" labelOnly="1" offset="IV1">
        <references count="1">
          <reference field="0" count="1">
            <x v="3"/>
          </reference>
        </references>
      </pivotArea>
    </format>
    <format dxfId="2">
      <pivotArea outline="0" fieldPosition="0" dataOnly="0" labelOnly="1">
        <references count="2">
          <reference field="4294967294" count="1">
            <x v="0"/>
          </reference>
          <reference field="0" count="1">
            <x v="3"/>
          </reference>
        </references>
      </pivotArea>
    </format>
    <format dxfId="2">
      <pivotArea outline="0" fieldPosition="0">
        <references count="2">
          <reference field="4294967294" count="1">
            <x v="0"/>
          </reference>
          <reference field="0" count="1">
            <x v="4"/>
          </reference>
        </references>
      </pivotArea>
    </format>
    <format dxfId="2">
      <pivotArea outline="0" fieldPosition="0" dataOnly="0" labelOnly="1" offset="IV1">
        <references count="1">
          <reference field="0" count="1">
            <x v="4"/>
          </reference>
        </references>
      </pivotArea>
    </format>
    <format dxfId="2">
      <pivotArea outline="0" fieldPosition="0" dataOnly="0" labelOnly="1">
        <references count="2">
          <reference field="4294967294" count="1">
            <x v="0"/>
          </reference>
          <reference field="0" count="1">
            <x v="4"/>
          </reference>
        </references>
      </pivotArea>
    </format>
    <format dxfId="11">
      <pivotArea outline="0" fieldPosition="0">
        <references count="2">
          <reference field="4294967294" count="1">
            <x v="35"/>
          </reference>
          <reference field="0" count="1">
            <x v="15"/>
          </reference>
        </references>
      </pivotArea>
    </format>
    <format dxfId="11">
      <pivotArea outline="0" fieldPosition="0" dataOnly="0" labelOnly="1" offset="IV256">
        <references count="1">
          <reference field="0" count="1">
            <x v="15"/>
          </reference>
        </references>
      </pivotArea>
    </format>
    <format dxfId="11">
      <pivotArea outline="0" fieldPosition="0" dataOnly="0" labelOnly="1">
        <references count="2">
          <reference field="4294967294" count="1">
            <x v="35"/>
          </reference>
          <reference field="0" count="1">
            <x v="15"/>
          </reference>
        </references>
      </pivotArea>
    </format>
    <format dxfId="9">
      <pivotArea outline="0" fieldPosition="0">
        <references count="4">
          <reference field="4294967294" count="6">
            <x v="18"/>
            <x v="19"/>
            <x v="20"/>
            <x v="21"/>
            <x v="22"/>
            <x v="23"/>
          </reference>
          <reference field="0" count="1">
            <x v="7"/>
          </reference>
          <reference field="3" count="1">
            <x v="2"/>
          </reference>
          <reference field="32" count="1">
            <x v="0"/>
          </reference>
        </references>
      </pivotArea>
    </format>
    <format dxfId="22">
      <pivotArea outline="0" fieldPosition="0">
        <references count="4">
          <reference field="4294967294" count="1">
            <x v="0"/>
          </reference>
          <reference field="0" count="1">
            <x v="3"/>
          </reference>
          <reference field="3" count="1">
            <x v="5"/>
          </reference>
          <reference field="32" count="1">
            <x v="0"/>
          </reference>
        </references>
      </pivotArea>
    </format>
    <format dxfId="3">
      <pivotArea outline="0" fieldPosition="0">
        <references count="2">
          <reference field="4294967294" count="1">
            <x v="2"/>
          </reference>
          <reference field="0" count="1">
            <x v="0"/>
          </reference>
        </references>
      </pivotArea>
    </format>
    <format dxfId="28">
      <pivotArea outline="0" fieldPosition="0">
        <references count="4">
          <reference field="4294967294" count="1">
            <x v="5"/>
          </reference>
          <reference field="0" count="1">
            <x v="0"/>
          </reference>
          <reference field="3" count="1">
            <x v="0"/>
          </reference>
          <reference field="32" count="1">
            <x v="0"/>
          </reference>
        </references>
      </pivotArea>
    </format>
    <format dxfId="28">
      <pivotArea outline="0" fieldPosition="0">
        <references count="4">
          <reference field="4294967294" count="1">
            <x v="8"/>
          </reference>
          <reference field="0" count="1">
            <x v="0"/>
          </reference>
          <reference field="3" count="1">
            <x v="0"/>
          </reference>
          <reference field="32" count="1">
            <x v="0"/>
          </reference>
        </references>
      </pivotArea>
    </format>
    <format dxfId="28">
      <pivotArea outline="0" fieldPosition="0">
        <references count="4">
          <reference field="4294967294" count="1">
            <x v="14"/>
          </reference>
          <reference field="0" count="1">
            <x v="0"/>
          </reference>
          <reference field="3" count="1">
            <x v="0"/>
          </reference>
          <reference field="32" count="1">
            <x v="0"/>
          </reference>
        </references>
      </pivotArea>
    </format>
    <format dxfId="28">
      <pivotArea outline="0" fieldPosition="0">
        <references count="4">
          <reference field="4294967294" count="1">
            <x v="17"/>
          </reference>
          <reference field="0" count="1">
            <x v="0"/>
          </reference>
          <reference field="3" count="1">
            <x v="0"/>
          </reference>
          <reference field="32" count="1">
            <x v="0"/>
          </reference>
        </references>
      </pivotArea>
    </format>
    <format dxfId="28">
      <pivotArea outline="0" fieldPosition="0">
        <references count="4">
          <reference field="4294967294" count="1">
            <x v="20"/>
          </reference>
          <reference field="0" count="1">
            <x v="0"/>
          </reference>
          <reference field="3" count="1">
            <x v="0"/>
          </reference>
          <reference field="32" count="1">
            <x v="0"/>
          </reference>
        </references>
      </pivotArea>
    </format>
    <format dxfId="28">
      <pivotArea outline="0" fieldPosition="0">
        <references count="4">
          <reference field="4294967294" count="1">
            <x v="23"/>
          </reference>
          <reference field="0" count="1">
            <x v="0"/>
          </reference>
          <reference field="3" count="1">
            <x v="0"/>
          </reference>
          <reference field="32" count="1">
            <x v="0"/>
          </reference>
        </references>
      </pivotArea>
    </format>
    <format dxfId="28">
      <pivotArea outline="0" fieldPosition="0">
        <references count="4">
          <reference field="4294967294" count="1">
            <x v="26"/>
          </reference>
          <reference field="0" count="1">
            <x v="0"/>
          </reference>
          <reference field="3" count="1">
            <x v="0"/>
          </reference>
          <reference field="32" count="1">
            <x v="0"/>
          </reference>
        </references>
      </pivotArea>
    </format>
    <format dxfId="28">
      <pivotArea outline="0" fieldPosition="0">
        <references count="4">
          <reference field="4294967294" count="1">
            <x v="29"/>
          </reference>
          <reference field="0" count="1">
            <x v="0"/>
          </reference>
          <reference field="3" count="1">
            <x v="0"/>
          </reference>
          <reference field="32" count="1">
            <x v="0"/>
          </reference>
        </references>
      </pivotArea>
    </format>
    <format dxfId="28">
      <pivotArea outline="0" fieldPosition="0">
        <references count="4">
          <reference field="4294967294" count="1">
            <x v="32"/>
          </reference>
          <reference field="0" count="1">
            <x v="0"/>
          </reference>
          <reference field="3" count="1">
            <x v="0"/>
          </reference>
          <reference field="32" count="1">
            <x v="0"/>
          </reference>
        </references>
      </pivotArea>
    </format>
    <format dxfId="28">
      <pivotArea outline="0" fieldPosition="0">
        <references count="4">
          <reference field="4294967294" count="1">
            <x v="35"/>
          </reference>
          <reference field="0" count="1">
            <x v="0"/>
          </reference>
          <reference field="3" count="1">
            <x v="0"/>
          </reference>
          <reference field="32" count="1">
            <x v="0"/>
          </reference>
        </references>
      </pivotArea>
    </format>
    <format dxfId="1">
      <pivotArea outline="0" fieldPosition="0">
        <references count="1">
          <reference field="0" count="1">
            <x v="0"/>
          </reference>
        </references>
      </pivotArea>
    </format>
    <format dxfId="1">
      <pivotArea outline="0" fieldPosition="0" dataOnly="0" labelOnly="1">
        <references count="1">
          <reference field="0" count="1">
            <x v="0"/>
          </reference>
        </references>
      </pivotArea>
    </format>
    <format dxfId="1">
      <pivotArea outline="0" fieldPosition="0" dataOnly="0" labelOnly="1">
        <references count="2">
          <reference field="4294967294" count="0"/>
          <reference field="0" count="1">
            <x v="0"/>
          </reference>
        </references>
      </pivotArea>
    </format>
    <format dxfId="33">
      <pivotArea outline="0" fieldPosition="0">
        <references count="4">
          <reference field="4294967294" count="3">
            <x v="6"/>
            <x v="7"/>
            <x v="8"/>
          </reference>
          <reference field="0" count="1">
            <x v="0"/>
          </reference>
          <reference field="3" count="1">
            <x v="0"/>
          </reference>
          <reference field="32" count="1">
            <x v="0"/>
          </reference>
        </references>
      </pivotArea>
    </format>
    <format dxfId="33">
      <pivotArea outline="0" fieldPosition="0">
        <references count="4">
          <reference field="4294967294" count="3">
            <x v="18"/>
            <x v="19"/>
            <x v="20"/>
          </reference>
          <reference field="0" count="1">
            <x v="0"/>
          </reference>
          <reference field="3" count="1">
            <x v="3"/>
          </reference>
          <reference field="32" count="1">
            <x v="0"/>
          </reference>
        </references>
      </pivotArea>
    </format>
    <format dxfId="33">
      <pivotArea outline="0" fieldPosition="0">
        <references count="4">
          <reference field="4294967294" count="3">
            <x v="24"/>
            <x v="25"/>
            <x v="26"/>
          </reference>
          <reference field="0" count="1">
            <x v="0"/>
          </reference>
          <reference field="3" count="1">
            <x v="3"/>
          </reference>
          <reference field="32" count="1">
            <x v="0"/>
          </reference>
        </references>
      </pivotArea>
    </format>
    <format dxfId="34">
      <pivotArea outline="0" fieldPosition="0">
        <references count="4">
          <reference field="4294967294" count="3">
            <x v="18"/>
            <x v="19"/>
            <x v="20"/>
          </reference>
          <reference field="0" count="1">
            <x v="0"/>
          </reference>
          <reference field="3" count="1">
            <x v="4"/>
          </reference>
          <reference field="32" count="1">
            <x v="0"/>
          </reference>
        </references>
      </pivotArea>
    </format>
    <format dxfId="34">
      <pivotArea outline="0" fieldPosition="0">
        <references count="4">
          <reference field="4294967294" count="3">
            <x v="24"/>
            <x v="25"/>
            <x v="26"/>
          </reference>
          <reference field="0" count="1">
            <x v="0"/>
          </reference>
          <reference field="3" count="1">
            <x v="4"/>
          </reference>
          <reference field="32" count="1">
            <x v="0"/>
          </reference>
        </references>
      </pivotArea>
    </format>
    <format dxfId="33">
      <pivotArea outline="0" fieldPosition="0">
        <references count="4">
          <reference field="4294967294" count="3">
            <x v="24"/>
            <x v="25"/>
            <x v="26"/>
          </reference>
          <reference field="0" count="1">
            <x v="0"/>
          </reference>
          <reference field="3" count="1">
            <x v="0"/>
          </reference>
          <reference field="32" count="1">
            <x v="0"/>
          </reference>
        </references>
      </pivotArea>
    </format>
    <format dxfId="0">
      <pivotArea outline="0" fieldPosition="0">
        <references count="4">
          <reference field="4294967294" count="3">
            <x v="9"/>
            <x v="10"/>
            <x v="11"/>
          </reference>
          <reference field="0" count="1">
            <x v="0"/>
          </reference>
          <reference field="3" count="1">
            <x v="0"/>
          </reference>
          <reference field="32" count="1">
            <x v="0"/>
          </reference>
        </references>
      </pivotArea>
    </format>
    <format dxfId="28">
      <pivotArea outline="0" fieldPosition="0">
        <references count="4">
          <reference field="4294967294" count="1">
            <x v="11"/>
          </reference>
          <reference field="0" count="1">
            <x v="0"/>
          </reference>
          <reference field="3" count="1">
            <x v="0"/>
          </reference>
          <reference field="32" count="1">
            <x v="0"/>
          </reference>
        </references>
      </pivotArea>
    </format>
    <format dxfId="33">
      <pivotArea outline="0" fieldPosition="0">
        <references count="4">
          <reference field="4294967294" count="3">
            <x v="6"/>
            <x v="7"/>
            <x v="8"/>
          </reference>
          <reference field="0" count="1">
            <x v="0"/>
          </reference>
          <reference field="3" count="1">
            <x v="9"/>
          </reference>
          <reference field="32" count="1">
            <x v="1"/>
          </reference>
        </references>
      </pivotArea>
    </format>
    <format dxfId="33">
      <pivotArea outline="0" fieldPosition="0">
        <references count="4">
          <reference field="4294967294" count="3">
            <x v="6"/>
            <x v="7"/>
            <x v="8"/>
          </reference>
          <reference field="0" count="1">
            <x v="0"/>
          </reference>
          <reference field="3" count="1">
            <x v="5"/>
          </reference>
          <reference field="32" count="1">
            <x v="0"/>
          </reference>
        </references>
      </pivotArea>
    </format>
    <format dxfId="22">
      <pivotArea outline="0" fieldPosition="0">
        <references count="4">
          <reference field="4294967294" count="1">
            <x v="10"/>
          </reference>
          <reference field="0" count="1">
            <x v="2"/>
          </reference>
          <reference field="3" count="1">
            <x v="0"/>
          </reference>
          <reference field="32" count="1">
            <x v="0"/>
          </reference>
        </references>
      </pivotArea>
    </format>
    <format dxfId="33">
      <pivotArea outline="0" fieldPosition="0">
        <references count="4">
          <reference field="4294967294" count="3">
            <x v="18"/>
            <x v="19"/>
            <x v="20"/>
          </reference>
          <reference field="0" count="1">
            <x v="3"/>
          </reference>
          <reference field="3" count="1">
            <x v="4"/>
          </reference>
          <reference field="32" count="1">
            <x v="0"/>
          </reference>
        </references>
      </pivotArea>
    </format>
    <format dxfId="22">
      <pivotArea outline="0" fieldPosition="0">
        <references count="4">
          <reference field="4294967294" count="1">
            <x v="34"/>
          </reference>
          <reference field="0" count="1">
            <x v="3"/>
          </reference>
          <reference field="3" count="1">
            <x v="0"/>
          </reference>
          <reference field="32" count="1">
            <x v="0"/>
          </reference>
        </references>
      </pivotArea>
    </format>
    <format dxfId="22">
      <pivotArea outline="0" fieldPosition="0">
        <references count="4">
          <reference field="4294967294" count="1">
            <x v="10"/>
          </reference>
          <reference field="0" count="1">
            <x v="3"/>
          </reference>
          <reference field="3" count="1">
            <x v="0"/>
          </reference>
          <reference field="32" count="1">
            <x v="0"/>
          </reference>
        </references>
      </pivotArea>
    </format>
    <format dxfId="1">
      <pivotArea outline="0" fieldPosition="0">
        <references count="4">
          <reference field="4294967294" count="3">
            <x v="21"/>
            <x v="22"/>
            <x v="23"/>
          </reference>
          <reference field="0" count="1">
            <x v="3"/>
          </reference>
          <reference field="3" count="1">
            <x v="4"/>
          </reference>
          <reference field="32" count="1">
            <x v="0"/>
          </reference>
        </references>
      </pivotArea>
    </format>
    <format dxfId="1">
      <pivotArea outline="0" fieldPosition="0">
        <references count="4">
          <reference field="4294967294" count="3">
            <x v="6"/>
            <x v="7"/>
            <x v="8"/>
          </reference>
          <reference field="0" count="1">
            <x v="4"/>
          </reference>
          <reference field="3" count="1">
            <x v="5"/>
          </reference>
          <reference field="32" count="1">
            <x v="0"/>
          </reference>
        </references>
      </pivotArea>
    </format>
    <format dxfId="35">
      <pivotArea outline="0" fieldPosition="0">
        <references count="4">
          <reference field="4294967294" count="3">
            <x v="0"/>
            <x v="1"/>
            <x v="2"/>
          </reference>
          <reference field="0" count="1">
            <x v="4"/>
          </reference>
          <reference field="3" count="1">
            <x v="5"/>
          </reference>
          <reference field="32" count="1">
            <x v="0"/>
          </reference>
        </references>
      </pivotArea>
    </format>
    <format dxfId="36">
      <pivotArea outline="0" fieldPosition="0">
        <references count="4">
          <reference field="4294967294" count="3">
            <x v="6"/>
            <x v="7"/>
            <x v="8"/>
          </reference>
          <reference field="0" count="1">
            <x v="4"/>
          </reference>
          <reference field="3" count="1">
            <x v="5"/>
          </reference>
          <reference field="32" count="1">
            <x v="0"/>
          </reference>
        </references>
      </pivotArea>
    </format>
    <format dxfId="37">
      <pivotArea outline="0" fieldPosition="0">
        <references count="4">
          <reference field="4294967294" count="3">
            <x v="21"/>
            <x v="22"/>
            <x v="23"/>
          </reference>
          <reference field="0" count="1">
            <x v="3"/>
          </reference>
          <reference field="3" count="1">
            <x v="4"/>
          </reference>
          <reference field="32" count="1">
            <x v="0"/>
          </reference>
        </references>
      </pivotArea>
    </format>
    <format dxfId="33">
      <pivotArea outline="0" fieldPosition="0">
        <references count="4">
          <reference field="4294967294" count="3">
            <x v="21"/>
            <x v="22"/>
            <x v="23"/>
          </reference>
          <reference field="0" count="1">
            <x v="4"/>
          </reference>
          <reference field="3" count="1">
            <x v="2"/>
          </reference>
          <reference field="32" count="1">
            <x v="0"/>
          </reference>
        </references>
      </pivotArea>
    </format>
    <format dxfId="35">
      <pivotArea outline="0" fieldPosition="0">
        <references count="4">
          <reference field="4294967294" count="3">
            <x v="24"/>
            <x v="25"/>
            <x v="26"/>
          </reference>
          <reference field="0" count="1">
            <x v="4"/>
          </reference>
          <reference field="3" count="1">
            <x v="2"/>
          </reference>
          <reference field="32" count="1">
            <x v="0"/>
          </reference>
        </references>
      </pivotArea>
    </format>
    <format dxfId="33">
      <pivotArea outline="0" fieldPosition="0">
        <references count="4">
          <reference field="4294967294" count="3">
            <x v="21"/>
            <x v="22"/>
            <x v="23"/>
          </reference>
          <reference field="0" count="1">
            <x v="4"/>
          </reference>
          <reference field="3" count="1">
            <x v="4"/>
          </reference>
          <reference field="32" count="1">
            <x v="0"/>
          </reference>
        </references>
      </pivotArea>
    </format>
    <format dxfId="29">
      <pivotArea outline="0" fieldPosition="0">
        <references count="3">
          <reference field="4294967294" count="1">
            <x v="34"/>
          </reference>
          <reference field="0" count="1">
            <x v="4"/>
          </reference>
          <reference field="32" defaultSubtotal="1" count="1">
            <x v="0"/>
          </reference>
        </references>
      </pivotArea>
    </format>
    <format dxfId="35">
      <pivotArea outline="0" fieldPosition="0">
        <references count="4">
          <reference field="4294967294" count="3">
            <x v="0"/>
            <x v="1"/>
            <x v="2"/>
          </reference>
          <reference field="0" count="1">
            <x v="5"/>
          </reference>
          <reference field="3" count="1">
            <x v="1"/>
          </reference>
          <reference field="32" count="1">
            <x v="0"/>
          </reference>
        </references>
      </pivotArea>
    </format>
    <format dxfId="33">
      <pivotArea outline="0" fieldPosition="0">
        <references count="4">
          <reference field="4294967294" count="3">
            <x v="6"/>
            <x v="7"/>
            <x v="8"/>
          </reference>
          <reference field="0" count="1">
            <x v="5"/>
          </reference>
          <reference field="3" count="1">
            <x v="1"/>
          </reference>
          <reference field="32" count="1">
            <x v="0"/>
          </reference>
        </references>
      </pivotArea>
    </format>
    <format dxfId="33">
      <pivotArea outline="0" fieldPosition="0">
        <references count="4">
          <reference field="4294967294" count="3">
            <x v="18"/>
            <x v="19"/>
            <x v="20"/>
          </reference>
          <reference field="0" count="1">
            <x v="5"/>
          </reference>
          <reference field="3" count="1">
            <x v="1"/>
          </reference>
          <reference field="32" count="1">
            <x v="0"/>
          </reference>
        </references>
      </pivotArea>
    </format>
    <format dxfId="33">
      <pivotArea outline="0" fieldPosition="0">
        <references count="4">
          <reference field="4294967294" count="3">
            <x v="24"/>
            <x v="25"/>
            <x v="26"/>
          </reference>
          <reference field="0" count="1">
            <x v="5"/>
          </reference>
          <reference field="3" count="1">
            <x v="1"/>
          </reference>
          <reference field="32" count="1">
            <x v="0"/>
          </reference>
        </references>
      </pivotArea>
    </format>
    <format dxfId="34">
      <pivotArea outline="0" fieldPosition="0">
        <references count="4">
          <reference field="4294967294" count="3">
            <x v="24"/>
            <x v="25"/>
            <x v="26"/>
          </reference>
          <reference field="0" count="1">
            <x v="5"/>
          </reference>
          <reference field="3" count="1">
            <x v="2"/>
          </reference>
          <reference field="32" count="1">
            <x v="0"/>
          </reference>
        </references>
      </pivotArea>
    </format>
    <format dxfId="34">
      <pivotArea outline="0" fieldPosition="0">
        <references count="4">
          <reference field="4294967294" count="3">
            <x v="24"/>
            <x v="25"/>
            <x v="26"/>
          </reference>
          <reference field="0" count="1">
            <x v="5"/>
          </reference>
          <reference field="3" count="1">
            <x v="3"/>
          </reference>
          <reference field="32" count="1">
            <x v="0"/>
          </reference>
        </references>
      </pivotArea>
    </format>
    <format dxfId="35">
      <pivotArea outline="0" fieldPosition="0">
        <references count="4">
          <reference field="4294967294" count="3">
            <x v="0"/>
            <x v="1"/>
            <x v="2"/>
          </reference>
          <reference field="0" count="1">
            <x v="5"/>
          </reference>
          <reference field="3" count="1">
            <x v="9"/>
          </reference>
          <reference field="32" count="1">
            <x v="1"/>
          </reference>
        </references>
      </pivotArea>
    </format>
    <format dxfId="33">
      <pivotArea outline="0" fieldPosition="0">
        <references count="4">
          <reference field="4294967294" count="3">
            <x v="6"/>
            <x v="7"/>
            <x v="8"/>
          </reference>
          <reference field="0" count="1">
            <x v="5"/>
          </reference>
          <reference field="3" count="1">
            <x v="9"/>
          </reference>
          <reference field="32" count="1">
            <x v="1"/>
          </reference>
        </references>
      </pivotArea>
    </format>
    <format dxfId="35">
      <pivotArea outline="0" fieldPosition="0">
        <references count="4">
          <reference field="4294967294" count="3">
            <x v="0"/>
            <x v="1"/>
            <x v="2"/>
          </reference>
          <reference field="0" count="1">
            <x v="6"/>
          </reference>
          <reference field="3" count="1">
            <x v="1"/>
          </reference>
          <reference field="32" count="1">
            <x v="0"/>
          </reference>
        </references>
      </pivotArea>
    </format>
    <format dxfId="33">
      <pivotArea outline="0" fieldPosition="0">
        <references count="4">
          <reference field="4294967294" count="1">
            <x v="4"/>
          </reference>
          <reference field="0" count="1">
            <x v="6"/>
          </reference>
          <reference field="3" count="5">
            <x v="0"/>
            <x v="1"/>
            <x v="2"/>
            <x v="3"/>
            <x v="4"/>
          </reference>
          <reference field="32" count="1">
            <x v="0"/>
          </reference>
        </references>
      </pivotArea>
    </format>
    <format dxfId="33">
      <pivotArea outline="0" fieldPosition="0">
        <references count="4">
          <reference field="4294967294" count="1">
            <x v="22"/>
          </reference>
          <reference field="0" count="1">
            <x v="6"/>
          </reference>
          <reference field="3" count="5">
            <x v="0"/>
            <x v="1"/>
            <x v="2"/>
            <x v="3"/>
            <x v="4"/>
          </reference>
          <reference field="32" count="1">
            <x v="0"/>
          </reference>
        </references>
      </pivotArea>
    </format>
    <format dxfId="33">
      <pivotArea outline="0" fieldPosition="0">
        <references count="3">
          <reference field="4294967294" count="1">
            <x v="4"/>
          </reference>
          <reference field="0" count="1">
            <x v="6"/>
          </reference>
          <reference field="32" count="1">
            <x v="1"/>
          </reference>
        </references>
      </pivotArea>
    </format>
    <format dxfId="33">
      <pivotArea outline="0" fieldPosition="0">
        <references count="3">
          <reference field="4294967294" count="1">
            <x v="4"/>
          </reference>
          <reference field="0" count="1">
            <x v="6"/>
          </reference>
          <reference field="32" count="1">
            <x v="2"/>
          </reference>
        </references>
      </pivotArea>
    </format>
    <format dxfId="33">
      <pivotArea outline="0" fieldPosition="0">
        <references count="4">
          <reference field="4294967294" count="3">
            <x v="3"/>
            <x v="4"/>
            <x v="5"/>
          </reference>
          <reference field="0" count="1">
            <x v="7"/>
          </reference>
          <reference field="3" count="1">
            <x v="12"/>
          </reference>
          <reference field="32" count="1">
            <x v="0"/>
          </reference>
        </references>
      </pivotArea>
    </format>
    <format dxfId="35">
      <pivotArea outline="0" fieldPosition="0">
        <references count="4">
          <reference field="4294967294" count="3">
            <x v="6"/>
            <x v="7"/>
            <x v="8"/>
          </reference>
          <reference field="0" count="1">
            <x v="7"/>
          </reference>
          <reference field="3" count="1">
            <x v="12"/>
          </reference>
          <reference field="32" count="1">
            <x v="0"/>
          </reference>
        </references>
      </pivotArea>
    </format>
    <format dxfId="33">
      <pivotArea outline="0" fieldPosition="0">
        <references count="4">
          <reference field="4294967294" count="3">
            <x v="18"/>
            <x v="19"/>
            <x v="20"/>
          </reference>
          <reference field="0" count="1">
            <x v="7"/>
          </reference>
          <reference field="3" count="1">
            <x v="2"/>
          </reference>
          <reference field="32" count="1">
            <x v="0"/>
          </reference>
        </references>
      </pivotArea>
    </format>
    <format dxfId="35">
      <pivotArea outline="0" fieldPosition="0">
        <references count="4">
          <reference field="4294967294" count="3">
            <x v="21"/>
            <x v="22"/>
            <x v="23"/>
          </reference>
          <reference field="0" count="1">
            <x v="7"/>
          </reference>
          <reference field="3" count="1">
            <x v="2"/>
          </reference>
          <reference field="32" count="1">
            <x v="0"/>
          </reference>
        </references>
      </pivotArea>
    </format>
    <format dxfId="33">
      <pivotArea outline="0" fieldPosition="0">
        <references count="4">
          <reference field="4294967294" count="3">
            <x v="24"/>
            <x v="25"/>
            <x v="26"/>
          </reference>
          <reference field="0" count="1">
            <x v="8"/>
          </reference>
          <reference field="3" count="1">
            <x v="1"/>
          </reference>
          <reference field="32" count="1">
            <x v="0"/>
          </reference>
        </references>
      </pivotArea>
    </format>
    <format dxfId="33">
      <pivotArea outline="0" fieldPosition="0">
        <references count="4">
          <reference field="4294967294" count="3">
            <x v="21"/>
            <x v="22"/>
            <x v="23"/>
          </reference>
          <reference field="0" count="1">
            <x v="9"/>
          </reference>
          <reference field="3" count="1">
            <x v="2"/>
          </reference>
          <reference field="32" count="1">
            <x v="0"/>
          </reference>
        </references>
      </pivotArea>
    </format>
    <format dxfId="34">
      <pivotArea outline="0" fieldPosition="0">
        <references count="4">
          <reference field="4294967294" count="3">
            <x v="21"/>
            <x v="22"/>
            <x v="23"/>
          </reference>
          <reference field="0" count="1">
            <x v="9"/>
          </reference>
          <reference field="3" count="1">
            <x v="3"/>
          </reference>
          <reference field="32" count="1">
            <x v="0"/>
          </reference>
        </references>
      </pivotArea>
    </format>
    <format dxfId="33">
      <pivotArea outline="0" fieldPosition="0">
        <references count="4">
          <reference field="4294967294" count="3">
            <x v="24"/>
            <x v="25"/>
            <x v="26"/>
          </reference>
          <reference field="0" count="1">
            <x v="9"/>
          </reference>
          <reference field="3" count="1">
            <x v="4"/>
          </reference>
          <reference field="32" count="1">
            <x v="0"/>
          </reference>
        </references>
      </pivotArea>
    </format>
    <format dxfId="33">
      <pivotArea outline="0" fieldPosition="0">
        <references count="4">
          <reference field="4294967294" count="3">
            <x v="18"/>
            <x v="19"/>
            <x v="20"/>
          </reference>
          <reference field="0" count="1">
            <x v="9"/>
          </reference>
          <reference field="3" count="1">
            <x v="4"/>
          </reference>
          <reference field="32" count="1">
            <x v="0"/>
          </reference>
        </references>
      </pivotArea>
    </format>
    <format dxfId="38">
      <pivotArea outline="0" fieldPosition="0">
        <references count="4">
          <reference field="4294967294" count="3">
            <x v="18"/>
            <x v="19"/>
            <x v="20"/>
          </reference>
          <reference field="0" count="1">
            <x v="9"/>
          </reference>
          <reference field="3" count="1">
            <x v="3"/>
          </reference>
          <reference field="32" count="1">
            <x v="0"/>
          </reference>
        </references>
      </pivotArea>
    </format>
    <format dxfId="33">
      <pivotArea outline="0" fieldPosition="0">
        <references count="4">
          <reference field="4294967294" count="3">
            <x v="18"/>
            <x v="19"/>
            <x v="20"/>
          </reference>
          <reference field="0" count="1">
            <x v="10"/>
          </reference>
          <reference field="3" count="1">
            <x v="0"/>
          </reference>
          <reference field="32" count="1">
            <x v="0"/>
          </reference>
        </references>
      </pivotArea>
    </format>
    <format dxfId="35">
      <pivotArea outline="0" fieldPosition="0">
        <references count="4">
          <reference field="4294967294" count="3">
            <x v="21"/>
            <x v="22"/>
            <x v="23"/>
          </reference>
          <reference field="0" count="1">
            <x v="10"/>
          </reference>
          <reference field="3" count="1">
            <x v="0"/>
          </reference>
          <reference field="32" count="1">
            <x v="0"/>
          </reference>
        </references>
      </pivotArea>
    </format>
    <format dxfId="33">
      <pivotArea outline="0" fieldPosition="0">
        <references count="4">
          <reference field="4294967294" count="3">
            <x v="18"/>
            <x v="19"/>
            <x v="20"/>
          </reference>
          <reference field="0" count="1">
            <x v="10"/>
          </reference>
          <reference field="3" count="1">
            <x v="4"/>
          </reference>
          <reference field="32" count="1">
            <x v="0"/>
          </reference>
        </references>
      </pivotArea>
    </format>
    <format dxfId="33">
      <pivotArea outline="0" fieldPosition="0">
        <references count="4">
          <reference field="4294967294" count="3">
            <x v="24"/>
            <x v="25"/>
            <x v="26"/>
          </reference>
          <reference field="0" count="1">
            <x v="10"/>
          </reference>
          <reference field="3" count="1">
            <x v="4"/>
          </reference>
          <reference field="32" count="1">
            <x v="0"/>
          </reference>
        </references>
      </pivotArea>
    </format>
    <format dxfId="35">
      <pivotArea outline="0" fieldPosition="0">
        <references count="4">
          <reference field="4294967294" count="3">
            <x v="27"/>
            <x v="28"/>
            <x v="29"/>
          </reference>
          <reference field="0" count="1">
            <x v="10"/>
          </reference>
          <reference field="3" count="1">
            <x v="4"/>
          </reference>
          <reference field="32" count="1">
            <x v="0"/>
          </reference>
        </references>
      </pivotArea>
    </format>
    <format dxfId="33">
      <pivotArea outline="0" fieldPosition="0">
        <references count="4">
          <reference field="4294967294" count="3">
            <x v="27"/>
            <x v="28"/>
            <x v="29"/>
          </reference>
          <reference field="0" count="1">
            <x v="10"/>
          </reference>
          <reference field="3" count="1">
            <x v="0"/>
          </reference>
          <reference field="32" count="1">
            <x v="0"/>
          </reference>
        </references>
      </pivotArea>
    </format>
    <format dxfId="35">
      <pivotArea outline="0" fieldPosition="0">
        <references count="4">
          <reference field="4294967294" count="3">
            <x v="0"/>
            <x v="1"/>
            <x v="2"/>
          </reference>
          <reference field="0" count="1">
            <x v="13"/>
          </reference>
          <reference field="3" count="1">
            <x v="4"/>
          </reference>
          <reference field="32" count="1">
            <x v="0"/>
          </reference>
        </references>
      </pivotArea>
    </format>
    <format dxfId="39">
      <pivotArea outline="0" fieldPosition="0">
        <references count="4">
          <reference field="4294967294" count="3">
            <x v="0"/>
            <x v="1"/>
            <x v="2"/>
          </reference>
          <reference field="0" count="1">
            <x v="13"/>
          </reference>
          <reference field="3" count="1">
            <x v="3"/>
          </reference>
          <reference field="32" count="1">
            <x v="0"/>
          </reference>
        </references>
      </pivotArea>
    </format>
    <format dxfId="33">
      <pivotArea outline="0" fieldPosition="0">
        <references count="4">
          <reference field="4294967294" count="3">
            <x v="6"/>
            <x v="7"/>
            <x v="8"/>
          </reference>
          <reference field="0" count="1">
            <x v="13"/>
          </reference>
          <reference field="3" count="1">
            <x v="4"/>
          </reference>
          <reference field="32" count="1">
            <x v="0"/>
          </reference>
        </references>
      </pivotArea>
    </format>
    <format dxfId="33">
      <pivotArea outline="0" fieldPosition="0">
        <references count="4">
          <reference field="4294967294" count="3">
            <x v="18"/>
            <x v="19"/>
            <x v="20"/>
          </reference>
          <reference field="0" count="1">
            <x v="13"/>
          </reference>
          <reference field="3" count="1">
            <x v="5"/>
          </reference>
          <reference field="32" count="1">
            <x v="0"/>
          </reference>
        </references>
      </pivotArea>
    </format>
    <format dxfId="35">
      <pivotArea outline="0" fieldPosition="0">
        <references count="4">
          <reference field="4294967294" count="3">
            <x v="21"/>
            <x v="22"/>
            <x v="23"/>
          </reference>
          <reference field="0" count="1">
            <x v="13"/>
          </reference>
          <reference field="3" count="1">
            <x v="5"/>
          </reference>
          <reference field="32" count="1">
            <x v="0"/>
          </reference>
        </references>
      </pivotArea>
    </format>
    <format dxfId="35">
      <pivotArea outline="0" fieldPosition="0">
        <references count="4">
          <reference field="4294967294" count="3">
            <x v="0"/>
            <x v="1"/>
            <x v="2"/>
          </reference>
          <reference field="0" count="1">
            <x v="13"/>
          </reference>
          <reference field="3" count="1">
            <x v="9"/>
          </reference>
          <reference field="32" count="1">
            <x v="1"/>
          </reference>
        </references>
      </pivotArea>
    </format>
    <format dxfId="35">
      <pivotArea outline="0" fieldPosition="0">
        <references count="4">
          <reference field="4294967294" count="3">
            <x v="3"/>
            <x v="4"/>
            <x v="5"/>
          </reference>
          <reference field="0" count="1">
            <x v="13"/>
          </reference>
          <reference field="3" count="1">
            <x v="9"/>
          </reference>
          <reference field="32" count="1">
            <x v="1"/>
          </reference>
        </references>
      </pivotArea>
    </format>
    <format dxfId="35">
      <pivotArea outline="0" fieldPosition="0">
        <references count="4">
          <reference field="4294967294" count="3">
            <x v="6"/>
            <x v="7"/>
            <x v="8"/>
          </reference>
          <reference field="0" count="1">
            <x v="13"/>
          </reference>
          <reference field="3" count="1">
            <x v="9"/>
          </reference>
          <reference field="32" count="1">
            <x v="1"/>
          </reference>
        </references>
      </pivotArea>
    </format>
    <format dxfId="33">
      <pivotArea outline="0" fieldPosition="0">
        <references count="4">
          <reference field="4294967294" count="3">
            <x v="24"/>
            <x v="25"/>
            <x v="26"/>
          </reference>
          <reference field="0" count="1">
            <x v="13"/>
          </reference>
          <reference field="3" count="1">
            <x v="1"/>
          </reference>
          <reference field="32" count="1">
            <x v="0"/>
          </reference>
        </references>
      </pivotArea>
    </format>
    <format dxfId="33">
      <pivotArea outline="0" fieldPosition="0">
        <references count="4">
          <reference field="4294967294" count="3">
            <x v="18"/>
            <x v="19"/>
            <x v="20"/>
          </reference>
          <reference field="0" count="1">
            <x v="15"/>
          </reference>
          <reference field="3" count="1">
            <x v="0"/>
          </reference>
          <reference field="32" count="1">
            <x v="0"/>
          </reference>
        </references>
      </pivotArea>
    </format>
    <format dxfId="33">
      <pivotArea outline="0" fieldPosition="0">
        <references count="4">
          <reference field="4294967294" count="3">
            <x v="18"/>
            <x v="19"/>
            <x v="20"/>
          </reference>
          <reference field="0" count="1">
            <x v="15"/>
          </reference>
          <reference field="3" count="1">
            <x v="5"/>
          </reference>
          <reference field="32" count="1">
            <x v="0"/>
          </reference>
        </references>
      </pivotArea>
    </format>
    <format dxfId="33">
      <pivotArea outline="0" fieldPosition="0">
        <references count="4">
          <reference field="4294967294" count="3">
            <x v="24"/>
            <x v="25"/>
            <x v="26"/>
          </reference>
          <reference field="0" count="1">
            <x v="15"/>
          </reference>
          <reference field="3" count="1">
            <x v="5"/>
          </reference>
          <reference field="32" count="1">
            <x v="0"/>
          </reference>
        </references>
      </pivotArea>
    </format>
    <format dxfId="33">
      <pivotArea outline="0" fieldPosition="0">
        <references count="4">
          <reference field="4294967294" count="3">
            <x v="21"/>
            <x v="22"/>
            <x v="23"/>
          </reference>
          <reference field="0" count="1">
            <x v="15"/>
          </reference>
          <reference field="3" count="1">
            <x v="2"/>
          </reference>
          <reference field="32" count="1">
            <x v="0"/>
          </reference>
        </references>
      </pivotArea>
    </format>
    <format dxfId="35">
      <pivotArea outline="0" fieldPosition="0">
        <references count="4">
          <reference field="4294967294" count="3">
            <x v="24"/>
            <x v="25"/>
            <x v="26"/>
          </reference>
          <reference field="0" count="1">
            <x v="15"/>
          </reference>
          <reference field="3" count="1">
            <x v="2"/>
          </reference>
          <reference field="32" count="1">
            <x v="0"/>
          </reference>
        </references>
      </pivotArea>
    </format>
    <format dxfId="35">
      <pivotArea outline="0" fieldPosition="0">
        <references count="4">
          <reference field="4294967294" count="3">
            <x v="0"/>
            <x v="1"/>
            <x v="2"/>
          </reference>
          <reference field="0" count="1">
            <x v="15"/>
          </reference>
          <reference field="3" count="1">
            <x v="8"/>
          </reference>
          <reference field="32" count="1">
            <x v="1"/>
          </reference>
        </references>
      </pivotArea>
    </format>
    <format dxfId="35">
      <pivotArea outline="0" fieldPosition="0">
        <references count="4">
          <reference field="4294967294" count="3">
            <x v="3"/>
            <x v="4"/>
            <x v="5"/>
          </reference>
          <reference field="0" count="1">
            <x v="15"/>
          </reference>
          <reference field="3" count="1">
            <x v="8"/>
          </reference>
          <reference field="32" count="1">
            <x v="1"/>
          </reference>
        </references>
      </pivotArea>
    </format>
    <format dxfId="24">
      <pivotArea outline="0" fieldPosition="0" dataOnly="0" labelOnly="1">
        <references count="2">
          <reference field="4294967294" count="1">
            <x v="5"/>
          </reference>
          <reference field="0" count="1">
            <x v="0"/>
          </reference>
        </references>
      </pivotArea>
    </format>
    <format dxfId="24">
      <pivotArea outline="0" fieldPosition="0" dataOnly="0" labelOnly="1">
        <references count="2">
          <reference field="4294967294" count="1">
            <x v="8"/>
          </reference>
          <reference field="0" count="1">
            <x v="0"/>
          </reference>
        </references>
      </pivotArea>
    </format>
    <format dxfId="24">
      <pivotArea outline="0" fieldPosition="0" dataOnly="0" labelOnly="1">
        <references count="2">
          <reference field="4294967294" count="1">
            <x v="11"/>
          </reference>
          <reference field="0" count="1">
            <x v="0"/>
          </reference>
        </references>
      </pivotArea>
    </format>
    <format dxfId="24">
      <pivotArea outline="0" fieldPosition="0" dataOnly="0" labelOnly="1">
        <references count="2">
          <reference field="4294967294" count="1">
            <x v="14"/>
          </reference>
          <reference field="0" count="1">
            <x v="0"/>
          </reference>
        </references>
      </pivotArea>
    </format>
    <format dxfId="24">
      <pivotArea outline="0" fieldPosition="0" dataOnly="0" labelOnly="1">
        <references count="2">
          <reference field="4294967294" count="1">
            <x v="17"/>
          </reference>
          <reference field="0" count="1">
            <x v="0"/>
          </reference>
        </references>
      </pivotArea>
    </format>
    <format dxfId="24">
      <pivotArea outline="0" fieldPosition="0" dataOnly="0" labelOnly="1">
        <references count="2">
          <reference field="4294967294" count="1">
            <x v="20"/>
          </reference>
          <reference field="0" count="1">
            <x v="0"/>
          </reference>
        </references>
      </pivotArea>
    </format>
    <format dxfId="24">
      <pivotArea outline="0" fieldPosition="0" dataOnly="0" labelOnly="1">
        <references count="2">
          <reference field="4294967294" count="1">
            <x v="23"/>
          </reference>
          <reference field="0" count="1">
            <x v="0"/>
          </reference>
        </references>
      </pivotArea>
    </format>
    <format dxfId="24">
      <pivotArea outline="0" fieldPosition="0" dataOnly="0" labelOnly="1">
        <references count="2">
          <reference field="4294967294" count="1">
            <x v="26"/>
          </reference>
          <reference field="0" count="1">
            <x v="0"/>
          </reference>
        </references>
      </pivotArea>
    </format>
    <format dxfId="24">
      <pivotArea outline="0" fieldPosition="0" dataOnly="0" labelOnly="1">
        <references count="2">
          <reference field="4294967294" count="1">
            <x v="29"/>
          </reference>
          <reference field="0" count="1">
            <x v="0"/>
          </reference>
        </references>
      </pivotArea>
    </format>
    <format dxfId="24">
      <pivotArea outline="0" fieldPosition="0" dataOnly="0" labelOnly="1">
        <references count="2">
          <reference field="4294967294" count="1">
            <x v="32"/>
          </reference>
          <reference field="0" count="1">
            <x v="0"/>
          </reference>
        </references>
      </pivotArea>
    </format>
    <format dxfId="24">
      <pivotArea outline="0" fieldPosition="0" dataOnly="0" labelOnly="1">
        <references count="2">
          <reference field="4294967294" count="1">
            <x v="35"/>
          </reference>
          <reference field="0" count="1">
            <x v="0"/>
          </reference>
        </references>
      </pivotArea>
    </format>
    <format dxfId="33">
      <pivotArea outline="0" fieldPosition="0">
        <references count="4">
          <reference field="4294967294" count="3">
            <x v="0"/>
            <x v="1"/>
            <x v="2"/>
          </reference>
          <reference field="0" count="1">
            <x v="1"/>
          </reference>
          <reference field="3" count="1">
            <x v="5"/>
          </reference>
          <reference field="32" count="1">
            <x v="0"/>
          </reference>
        </references>
      </pivotArea>
    </format>
    <format dxfId="22">
      <pivotArea outline="0" fieldPosition="0">
        <references count="4">
          <reference field="4294967294" count="1">
            <x v="6"/>
          </reference>
          <reference field="0" count="1">
            <x v="1"/>
          </reference>
          <reference field="3" count="1">
            <x v="0"/>
          </reference>
          <reference field="32" count="1">
            <x v="0"/>
          </reference>
        </references>
      </pivotArea>
    </format>
    <format dxfId="33">
      <pivotArea outline="0" fieldPosition="0">
        <references count="4">
          <reference field="4294967294" count="3">
            <x v="18"/>
            <x v="19"/>
            <x v="20"/>
          </reference>
          <reference field="0" count="1">
            <x v="1"/>
          </reference>
          <reference field="3" count="1">
            <x v="5"/>
          </reference>
          <reference field="32" count="1">
            <x v="0"/>
          </reference>
        </references>
      </pivotArea>
    </format>
    <format dxfId="22">
      <pivotArea outline="0" fieldPosition="0">
        <references count="4">
          <reference field="4294967294" count="1">
            <x v="6"/>
          </reference>
          <reference field="0" count="1">
            <x v="1"/>
          </reference>
          <reference field="3" count="1">
            <x v="5"/>
          </reference>
          <reference field="32" count="1">
            <x v="0"/>
          </reference>
        </references>
      </pivotArea>
    </format>
    <format dxfId="33">
      <pivotArea outline="0" fieldPosition="0">
        <references count="4">
          <reference field="4294967294" count="3">
            <x v="6"/>
            <x v="7"/>
            <x v="8"/>
          </reference>
          <reference field="0" count="1">
            <x v="1"/>
          </reference>
          <reference field="3" count="1">
            <x v="8"/>
          </reference>
          <reference field="32" count="1">
            <x v="1"/>
          </reference>
        </references>
      </pivotArea>
    </format>
    <format dxfId="33">
      <pivotArea outline="0" fieldPosition="0">
        <references count="4">
          <reference field="4294967294" count="3">
            <x v="0"/>
            <x v="1"/>
            <x v="2"/>
          </reference>
          <reference field="0" count="1">
            <x v="1"/>
          </reference>
          <reference field="3" count="1">
            <x v="8"/>
          </reference>
          <reference field="32" count="1">
            <x v="1"/>
          </reference>
        </references>
      </pivotArea>
    </format>
    <format dxfId="34">
      <pivotArea outline="0" fieldPosition="0">
        <references count="4">
          <reference field="4294967294" count="3">
            <x v="0"/>
            <x v="1"/>
            <x v="2"/>
          </reference>
          <reference field="0" count="1">
            <x v="1"/>
          </reference>
          <reference field="3" count="1">
            <x v="9"/>
          </reference>
          <reference field="32" count="1">
            <x v="1"/>
          </reference>
        </references>
      </pivotArea>
    </format>
    <format dxfId="37">
      <pivotArea outline="0" fieldPosition="0">
        <references count="4">
          <reference field="4294967294" count="3">
            <x v="3"/>
            <x v="4"/>
            <x v="5"/>
          </reference>
          <reference field="0" count="1">
            <x v="1"/>
          </reference>
          <reference field="3" count="1">
            <x v="8"/>
          </reference>
          <reference field="32" count="1">
            <x v="1"/>
          </reference>
        </references>
      </pivotArea>
    </format>
    <format dxfId="40">
      <pivotArea outline="0" fieldPosition="0">
        <references count="4">
          <reference field="4294967294" count="3">
            <x v="6"/>
            <x v="7"/>
            <x v="8"/>
          </reference>
          <reference field="0" count="1">
            <x v="1"/>
          </reference>
          <reference field="3" count="1">
            <x v="9"/>
          </reference>
          <reference field="32" count="1">
            <x v="1"/>
          </reference>
        </references>
      </pivotArea>
    </format>
    <format dxfId="39">
      <pivotArea outline="0" fieldPosition="0">
        <references count="4">
          <reference field="4294967294" count="3">
            <x v="18"/>
            <x v="19"/>
            <x v="20"/>
          </reference>
          <reference field="0" count="1">
            <x v="1"/>
          </reference>
          <reference field="3" count="1">
            <x v="4"/>
          </reference>
          <reference field="32" count="1">
            <x v="0"/>
          </reference>
        </references>
      </pivotArea>
    </format>
    <format dxfId="22">
      <pivotArea outline="0" fieldPosition="0">
        <references count="4">
          <reference field="4294967294" count="1">
            <x v="18"/>
          </reference>
          <reference field="0" count="1">
            <x v="1"/>
          </reference>
          <reference field="3" count="1">
            <x v="3"/>
          </reference>
          <reference field="32" count="1">
            <x v="0"/>
          </reference>
        </references>
      </pivotArea>
    </format>
    <format dxfId="35">
      <pivotArea outline="0" fieldPosition="0">
        <references count="4">
          <reference field="4294967294" count="3">
            <x v="24"/>
            <x v="25"/>
            <x v="26"/>
          </reference>
          <reference field="0" count="1">
            <x v="1"/>
          </reference>
          <reference field="3" count="1">
            <x v="0"/>
          </reference>
          <reference field="32" count="1">
            <x v="0"/>
          </reference>
        </references>
      </pivotArea>
    </format>
    <format dxfId="35">
      <pivotArea outline="0" fieldPosition="0">
        <references count="4">
          <reference field="4294967294" count="3">
            <x v="27"/>
            <x v="28"/>
            <x v="29"/>
          </reference>
          <reference field="0" count="1">
            <x v="1"/>
          </reference>
          <reference field="3" count="1">
            <x v="0"/>
          </reference>
          <reference field="32" count="1">
            <x v="0"/>
          </reference>
        </references>
      </pivotArea>
    </format>
    <format dxfId="33">
      <pivotArea outline="0" fieldPosition="0">
        <references count="4">
          <reference field="4294967294" count="3">
            <x v="24"/>
            <x v="25"/>
            <x v="26"/>
          </reference>
          <reference field="0" count="1">
            <x v="1"/>
          </reference>
          <reference field="3" count="1">
            <x v="5"/>
          </reference>
          <reference field="32" count="1">
            <x v="0"/>
          </reference>
        </references>
      </pivotArea>
    </format>
    <format dxfId="22">
      <pivotArea outline="0" fieldPosition="0">
        <references count="4">
          <reference field="4294967294" count="1">
            <x v="24"/>
          </reference>
          <reference field="0" count="1">
            <x v="1"/>
          </reference>
          <reference field="3" count="1">
            <x v="3"/>
          </reference>
          <reference field="32" count="1">
            <x v="0"/>
          </reference>
        </references>
      </pivotArea>
    </format>
    <format dxfId="22">
      <pivotArea outline="0" fieldPosition="0">
        <references count="4">
          <reference field="4294967294" count="1">
            <x v="24"/>
          </reference>
          <reference field="0" count="1">
            <x v="1"/>
          </reference>
          <reference field="3" count="1">
            <x v="4"/>
          </reference>
          <reference field="32" count="1">
            <x v="0"/>
          </reference>
        </references>
      </pivotArea>
    </format>
    <format dxfId="33">
      <pivotArea outline="0" fieldPosition="0">
        <references count="4">
          <reference field="4294967294" count="3">
            <x v="18"/>
            <x v="19"/>
            <x v="20"/>
          </reference>
          <reference field="0" count="1">
            <x v="1"/>
          </reference>
          <reference field="3" count="1">
            <x v="0"/>
          </reference>
          <reference field="32" count="1">
            <x v="0"/>
          </reference>
        </references>
      </pivotArea>
    </format>
    <format dxfId="37">
      <pivotArea outline="0" fieldPosition="0">
        <references count="4">
          <reference field="4294967294" count="3">
            <x v="21"/>
            <x v="22"/>
            <x v="23"/>
          </reference>
          <reference field="0" count="1">
            <x v="1"/>
          </reference>
          <reference field="3" count="1">
            <x v="0"/>
          </reference>
          <reference field="32" count="1">
            <x v="0"/>
          </reference>
        </references>
      </pivotArea>
    </format>
    <format dxfId="33">
      <pivotArea outline="0" fieldPosition="0">
        <references count="4">
          <reference field="4294967294" count="3">
            <x v="18"/>
            <x v="19"/>
            <x v="20"/>
          </reference>
          <reference field="0" count="1">
            <x v="1"/>
          </reference>
          <reference field="3" count="1">
            <x v="2"/>
          </reference>
          <reference field="32" count="1">
            <x v="0"/>
          </reference>
        </references>
      </pivotArea>
    </format>
    <format dxfId="41">
      <pivotArea outline="0" fieldPosition="0">
        <references count="2">
          <reference field="4294967294" count="1">
            <x v="2"/>
          </reference>
          <reference field="0" count="1">
            <x v="2"/>
          </reference>
        </references>
      </pivotArea>
    </format>
    <format dxfId="42">
      <pivotArea outline="0" fieldPosition="0">
        <references count="2">
          <reference field="4294967294" count="1">
            <x v="26"/>
          </reference>
          <reference field="0" count="1">
            <x v="15"/>
          </reference>
        </references>
      </pivotArea>
    </format>
    <format dxfId="27">
      <pivotArea outline="0" fieldPosition="0" axis="axisRow" field="0" grandRow="1">
        <references count="1">
          <reference field="4294967294" count="1">
            <x v="2"/>
          </reference>
        </references>
      </pivotArea>
    </format>
    <format dxfId="27">
      <pivotArea outline="0" fieldPosition="0" axis="axisRow" field="0" grandRow="1">
        <references count="1">
          <reference field="4294967294" count="1">
            <x v="5"/>
          </reference>
        </references>
      </pivotArea>
    </format>
    <format dxfId="27">
      <pivotArea outline="0" fieldPosition="0" axis="axisRow" field="0" grandRow="1">
        <references count="1">
          <reference field="4294967294" count="1">
            <x v="8"/>
          </reference>
        </references>
      </pivotArea>
    </format>
    <format dxfId="27">
      <pivotArea outline="0" fieldPosition="0" axis="axisRow" field="0" grandRow="1">
        <references count="1">
          <reference field="4294967294" count="1">
            <x v="11"/>
          </reference>
        </references>
      </pivotArea>
    </format>
    <format dxfId="27">
      <pivotArea outline="0" fieldPosition="0" axis="axisRow" field="0" grandRow="1">
        <references count="1">
          <reference field="4294967294" count="1">
            <x v="14"/>
          </reference>
        </references>
      </pivotArea>
    </format>
    <format dxfId="27">
      <pivotArea outline="0" fieldPosition="0" axis="axisRow" field="0" grandRow="1">
        <references count="1">
          <reference field="4294967294" count="1">
            <x v="17"/>
          </reference>
        </references>
      </pivotArea>
    </format>
    <format dxfId="27">
      <pivotArea outline="0" fieldPosition="0" axis="axisRow" field="0" grandRow="1">
        <references count="1">
          <reference field="4294967294" count="1">
            <x v="20"/>
          </reference>
        </references>
      </pivotArea>
    </format>
    <format dxfId="27">
      <pivotArea outline="0" fieldPosition="0" axis="axisRow" field="0" grandRow="1">
        <references count="1">
          <reference field="4294967294" count="1">
            <x v="23"/>
          </reference>
        </references>
      </pivotArea>
    </format>
    <format dxfId="27">
      <pivotArea outline="0" fieldPosition="0" axis="axisRow" field="0" grandRow="1">
        <references count="1">
          <reference field="4294967294" count="1">
            <x v="26"/>
          </reference>
        </references>
      </pivotArea>
    </format>
    <format dxfId="27">
      <pivotArea outline="0" fieldPosition="0" axis="axisRow" field="0" grandRow="1">
        <references count="1">
          <reference field="4294967294" count="1">
            <x v="29"/>
          </reference>
        </references>
      </pivotArea>
    </format>
    <format dxfId="27">
      <pivotArea outline="0" fieldPosition="0" axis="axisRow" field="0" grandRow="1">
        <references count="1">
          <reference field="4294967294" count="1">
            <x v="32"/>
          </reference>
        </references>
      </pivotArea>
    </format>
    <format dxfId="27">
      <pivotArea outline="0" fieldPosition="0" axis="axisRow" field="0" grandRow="1">
        <references count="1">
          <reference field="4294967294" count="1">
            <x v="35"/>
          </reference>
        </references>
      </pivotArea>
    </format>
    <format dxfId="27">
      <pivotArea outline="0" fieldPosition="0" axis="axisRow" dataOnly="0" field="0" grandRow="1" labelOnly="1">
        <references count="1">
          <reference field="4294967294" count="1">
            <x v="0"/>
          </reference>
        </references>
      </pivotArea>
    </format>
    <format dxfId="27">
      <pivotArea outline="0" fieldPosition="0" axis="axisRow" dataOnly="0" field="0" grandRow="1" labelOnly="1">
        <references count="1">
          <reference field="4294967294" count="1">
            <x v="1"/>
          </reference>
        </references>
      </pivotArea>
    </format>
    <format dxfId="27">
      <pivotArea outline="0" fieldPosition="0" axis="axisRow" dataOnly="0" field="0" grandRow="1" labelOnly="1">
        <references count="1">
          <reference field="4294967294" count="1">
            <x v="2"/>
          </reference>
        </references>
      </pivotArea>
    </format>
    <format dxfId="27">
      <pivotArea outline="0" fieldPosition="0" axis="axisRow" dataOnly="0" field="0" grandRow="1" labelOnly="1">
        <references count="1">
          <reference field="4294967294" count="1">
            <x v="3"/>
          </reference>
        </references>
      </pivotArea>
    </format>
    <format dxfId="27">
      <pivotArea outline="0" fieldPosition="0" axis="axisRow" dataOnly="0" field="0" grandRow="1" labelOnly="1">
        <references count="1">
          <reference field="4294967294" count="1">
            <x v="4"/>
          </reference>
        </references>
      </pivotArea>
    </format>
    <format dxfId="27">
      <pivotArea outline="0" fieldPosition="0" axis="axisRow" dataOnly="0" field="0" grandRow="1" labelOnly="1">
        <references count="1">
          <reference field="4294967294" count="1">
            <x v="5"/>
          </reference>
        </references>
      </pivotArea>
    </format>
    <format dxfId="27">
      <pivotArea outline="0" fieldPosition="0" axis="axisRow" dataOnly="0" field="0" grandRow="1" labelOnly="1">
        <references count="1">
          <reference field="4294967294" count="1">
            <x v="6"/>
          </reference>
        </references>
      </pivotArea>
    </format>
    <format dxfId="27">
      <pivotArea outline="0" fieldPosition="0" axis="axisRow" dataOnly="0" field="0" grandRow="1" labelOnly="1">
        <references count="1">
          <reference field="4294967294" count="1">
            <x v="7"/>
          </reference>
        </references>
      </pivotArea>
    </format>
    <format dxfId="27">
      <pivotArea outline="0" fieldPosition="0" axis="axisRow" dataOnly="0" field="0" grandRow="1" labelOnly="1">
        <references count="1">
          <reference field="4294967294" count="1">
            <x v="8"/>
          </reference>
        </references>
      </pivotArea>
    </format>
    <format dxfId="27">
      <pivotArea outline="0" fieldPosition="0" axis="axisRow" dataOnly="0" field="0" grandRow="1" labelOnly="1">
        <references count="1">
          <reference field="4294967294" count="1">
            <x v="9"/>
          </reference>
        </references>
      </pivotArea>
    </format>
    <format dxfId="27">
      <pivotArea outline="0" fieldPosition="0" axis="axisRow" dataOnly="0" field="0" grandRow="1" labelOnly="1">
        <references count="1">
          <reference field="4294967294" count="1">
            <x v="10"/>
          </reference>
        </references>
      </pivotArea>
    </format>
    <format dxfId="27">
      <pivotArea outline="0" fieldPosition="0" axis="axisRow" dataOnly="0" field="0" grandRow="1" labelOnly="1">
        <references count="1">
          <reference field="4294967294" count="1">
            <x v="11"/>
          </reference>
        </references>
      </pivotArea>
    </format>
    <format dxfId="27">
      <pivotArea outline="0" fieldPosition="0" axis="axisRow" dataOnly="0" field="0" grandRow="1" labelOnly="1">
        <references count="1">
          <reference field="4294967294" count="1">
            <x v="12"/>
          </reference>
        </references>
      </pivotArea>
    </format>
    <format dxfId="27">
      <pivotArea outline="0" fieldPosition="0" axis="axisRow" dataOnly="0" field="0" grandRow="1" labelOnly="1">
        <references count="1">
          <reference field="4294967294" count="1">
            <x v="13"/>
          </reference>
        </references>
      </pivotArea>
    </format>
    <format dxfId="27">
      <pivotArea outline="0" fieldPosition="0" axis="axisRow" dataOnly="0" field="0" grandRow="1" labelOnly="1">
        <references count="1">
          <reference field="4294967294" count="1">
            <x v="14"/>
          </reference>
        </references>
      </pivotArea>
    </format>
    <format dxfId="27">
      <pivotArea outline="0" fieldPosition="0" axis="axisRow" dataOnly="0" field="0" grandRow="1" labelOnly="1">
        <references count="1">
          <reference field="4294967294" count="1">
            <x v="15"/>
          </reference>
        </references>
      </pivotArea>
    </format>
    <format dxfId="27">
      <pivotArea outline="0" fieldPosition="0" axis="axisRow" dataOnly="0" field="0" grandRow="1" labelOnly="1">
        <references count="1">
          <reference field="4294967294" count="1">
            <x v="16"/>
          </reference>
        </references>
      </pivotArea>
    </format>
    <format dxfId="27">
      <pivotArea outline="0" fieldPosition="0" axis="axisRow" dataOnly="0" field="0" grandRow="1" labelOnly="1">
        <references count="1">
          <reference field="4294967294" count="1">
            <x v="17"/>
          </reference>
        </references>
      </pivotArea>
    </format>
    <format dxfId="27">
      <pivotArea outline="0" fieldPosition="0" axis="axisRow" dataOnly="0" field="0" grandRow="1" labelOnly="1">
        <references count="1">
          <reference field="4294967294" count="1">
            <x v="18"/>
          </reference>
        </references>
      </pivotArea>
    </format>
    <format dxfId="27">
      <pivotArea outline="0" fieldPosition="0" axis="axisRow" dataOnly="0" field="0" grandRow="1" labelOnly="1">
        <references count="1">
          <reference field="4294967294" count="1">
            <x v="19"/>
          </reference>
        </references>
      </pivotArea>
    </format>
    <format dxfId="27">
      <pivotArea outline="0" fieldPosition="0" axis="axisRow" dataOnly="0" field="0" grandRow="1" labelOnly="1">
        <references count="1">
          <reference field="4294967294" count="1">
            <x v="20"/>
          </reference>
        </references>
      </pivotArea>
    </format>
    <format dxfId="27">
      <pivotArea outline="0" fieldPosition="0" axis="axisRow" dataOnly="0" field="0" grandRow="1" labelOnly="1">
        <references count="1">
          <reference field="4294967294" count="1">
            <x v="21"/>
          </reference>
        </references>
      </pivotArea>
    </format>
    <format dxfId="27">
      <pivotArea outline="0" fieldPosition="0" axis="axisRow" dataOnly="0" field="0" grandRow="1" labelOnly="1">
        <references count="1">
          <reference field="4294967294" count="1">
            <x v="22"/>
          </reference>
        </references>
      </pivotArea>
    </format>
    <format dxfId="27">
      <pivotArea outline="0" fieldPosition="0" axis="axisRow" dataOnly="0" field="0" grandRow="1" labelOnly="1">
        <references count="1">
          <reference field="4294967294" count="1">
            <x v="23"/>
          </reference>
        </references>
      </pivotArea>
    </format>
    <format dxfId="27">
      <pivotArea outline="0" fieldPosition="0" axis="axisRow" dataOnly="0" field="0" grandRow="1" labelOnly="1">
        <references count="1">
          <reference field="4294967294" count="1">
            <x v="24"/>
          </reference>
        </references>
      </pivotArea>
    </format>
    <format dxfId="27">
      <pivotArea outline="0" fieldPosition="0" axis="axisRow" dataOnly="0" field="0" grandRow="1" labelOnly="1">
        <references count="1">
          <reference field="4294967294" count="1">
            <x v="25"/>
          </reference>
        </references>
      </pivotArea>
    </format>
    <format dxfId="27">
      <pivotArea outline="0" fieldPosition="0" axis="axisRow" dataOnly="0" field="0" grandRow="1" labelOnly="1">
        <references count="1">
          <reference field="4294967294" count="1">
            <x v="26"/>
          </reference>
        </references>
      </pivotArea>
    </format>
    <format dxfId="27">
      <pivotArea outline="0" fieldPosition="0" axis="axisRow" dataOnly="0" field="0" grandRow="1" labelOnly="1">
        <references count="1">
          <reference field="4294967294" count="1">
            <x v="27"/>
          </reference>
        </references>
      </pivotArea>
    </format>
    <format dxfId="27">
      <pivotArea outline="0" fieldPosition="0" axis="axisRow" dataOnly="0" field="0" grandRow="1" labelOnly="1">
        <references count="1">
          <reference field="4294967294" count="1">
            <x v="28"/>
          </reference>
        </references>
      </pivotArea>
    </format>
    <format dxfId="27">
      <pivotArea outline="0" fieldPosition="0" axis="axisRow" dataOnly="0" field="0" grandRow="1" labelOnly="1">
        <references count="1">
          <reference field="4294967294" count="1">
            <x v="29"/>
          </reference>
        </references>
      </pivotArea>
    </format>
    <format dxfId="27">
      <pivotArea outline="0" fieldPosition="0" axis="axisRow" dataOnly="0" field="0" grandRow="1" labelOnly="1">
        <references count="1">
          <reference field="4294967294" count="1">
            <x v="30"/>
          </reference>
        </references>
      </pivotArea>
    </format>
    <format dxfId="27">
      <pivotArea outline="0" fieldPosition="0" axis="axisRow" dataOnly="0" field="0" grandRow="1" labelOnly="1">
        <references count="1">
          <reference field="4294967294" count="1">
            <x v="31"/>
          </reference>
        </references>
      </pivotArea>
    </format>
    <format dxfId="27">
      <pivotArea outline="0" fieldPosition="0" axis="axisRow" dataOnly="0" field="0" grandRow="1" labelOnly="1">
        <references count="1">
          <reference field="4294967294" count="1">
            <x v="32"/>
          </reference>
        </references>
      </pivotArea>
    </format>
    <format dxfId="27">
      <pivotArea outline="0" fieldPosition="0" axis="axisRow" dataOnly="0" field="0" grandRow="1" labelOnly="1">
        <references count="1">
          <reference field="4294967294" count="1">
            <x v="33"/>
          </reference>
        </references>
      </pivotArea>
    </format>
    <format dxfId="27">
      <pivotArea outline="0" fieldPosition="0" axis="axisRow" dataOnly="0" field="0" grandRow="1" labelOnly="1">
        <references count="1">
          <reference field="4294967294" count="1">
            <x v="34"/>
          </reference>
        </references>
      </pivotArea>
    </format>
    <format dxfId="27">
      <pivotArea outline="0" fieldPosition="0" axis="axisRow" dataOnly="0" field="0" grandRow="1" labelOnly="1">
        <references count="1">
          <reference field="4294967294" count="1">
            <x v="35"/>
          </reference>
        </references>
      </pivotArea>
    </format>
    <format dxfId="3">
      <pivotArea outline="0" fieldPosition="0">
        <references count="2">
          <reference field="4294967294" count="1">
            <x v="5"/>
          </reference>
          <reference field="0" count="1">
            <x v="0"/>
          </reference>
        </references>
      </pivotArea>
    </format>
    <format dxfId="3">
      <pivotArea outline="0" fieldPosition="0">
        <references count="2">
          <reference field="4294967294" count="1">
            <x v="8"/>
          </reference>
          <reference field="0" count="1">
            <x v="0"/>
          </reference>
        </references>
      </pivotArea>
    </format>
    <format dxfId="3">
      <pivotArea outline="0" fieldPosition="0">
        <references count="2">
          <reference field="4294967294" count="1">
            <x v="11"/>
          </reference>
          <reference field="0" count="1">
            <x v="0"/>
          </reference>
        </references>
      </pivotArea>
    </format>
    <format dxfId="3">
      <pivotArea outline="0" fieldPosition="0">
        <references count="2">
          <reference field="4294967294" count="1">
            <x v="14"/>
          </reference>
          <reference field="0" count="1">
            <x v="0"/>
          </reference>
        </references>
      </pivotArea>
    </format>
    <format dxfId="3">
      <pivotArea outline="0" fieldPosition="0">
        <references count="2">
          <reference field="4294967294" count="1">
            <x v="17"/>
          </reference>
          <reference field="0" count="1">
            <x v="0"/>
          </reference>
        </references>
      </pivotArea>
    </format>
    <format dxfId="3">
      <pivotArea outline="0" fieldPosition="0">
        <references count="2">
          <reference field="4294967294" count="1">
            <x v="20"/>
          </reference>
          <reference field="0" count="1">
            <x v="0"/>
          </reference>
        </references>
      </pivotArea>
    </format>
    <format dxfId="3">
      <pivotArea outline="0" fieldPosition="0">
        <references count="2">
          <reference field="4294967294" count="1">
            <x v="23"/>
          </reference>
          <reference field="0" count="1">
            <x v="0"/>
          </reference>
        </references>
      </pivotArea>
    </format>
    <format dxfId="3">
      <pivotArea outline="0" fieldPosition="0">
        <references count="2">
          <reference field="4294967294" count="1">
            <x v="26"/>
          </reference>
          <reference field="0" count="1">
            <x v="0"/>
          </reference>
        </references>
      </pivotArea>
    </format>
    <format dxfId="3">
      <pivotArea outline="0" fieldPosition="0">
        <references count="2">
          <reference field="4294967294" count="1">
            <x v="29"/>
          </reference>
          <reference field="0" count="1">
            <x v="0"/>
          </reference>
        </references>
      </pivotArea>
    </format>
    <format dxfId="3">
      <pivotArea outline="0" fieldPosition="0">
        <references count="2">
          <reference field="4294967294" count="1">
            <x v="32"/>
          </reference>
          <reference field="0" count="1">
            <x v="0"/>
          </reference>
        </references>
      </pivotArea>
    </format>
    <format dxfId="3">
      <pivotArea outline="0" fieldPosition="0">
        <references count="2">
          <reference field="4294967294" count="1">
            <x v="35"/>
          </reference>
          <reference field="0" count="1">
            <x v="0"/>
          </reference>
        </references>
      </pivotArea>
    </format>
    <format dxfId="3">
      <pivotArea outline="0" fieldPosition="0">
        <references count="2">
          <reference field="4294967294" count="1">
            <x v="2"/>
          </reference>
          <reference field="0" count="1">
            <x v="1"/>
          </reference>
        </references>
      </pivotArea>
    </format>
    <format dxfId="3">
      <pivotArea outline="0" fieldPosition="0">
        <references count="2">
          <reference field="4294967294" count="1">
            <x v="5"/>
          </reference>
          <reference field="0" count="1">
            <x v="1"/>
          </reference>
        </references>
      </pivotArea>
    </format>
    <format dxfId="3">
      <pivotArea outline="0" fieldPosition="0">
        <references count="2">
          <reference field="4294967294" count="1">
            <x v="8"/>
          </reference>
          <reference field="0" count="1">
            <x v="1"/>
          </reference>
        </references>
      </pivotArea>
    </format>
    <format dxfId="3">
      <pivotArea outline="0" fieldPosition="0">
        <references count="2">
          <reference field="4294967294" count="1">
            <x v="11"/>
          </reference>
          <reference field="0" count="1">
            <x v="1"/>
          </reference>
        </references>
      </pivotArea>
    </format>
    <format dxfId="3">
      <pivotArea outline="0" fieldPosition="0">
        <references count="2">
          <reference field="4294967294" count="1">
            <x v="14"/>
          </reference>
          <reference field="0" count="1">
            <x v="1"/>
          </reference>
        </references>
      </pivotArea>
    </format>
    <format dxfId="3">
      <pivotArea outline="0" fieldPosition="0">
        <references count="2">
          <reference field="4294967294" count="1">
            <x v="17"/>
          </reference>
          <reference field="0" count="1">
            <x v="1"/>
          </reference>
        </references>
      </pivotArea>
    </format>
    <format dxfId="3">
      <pivotArea outline="0" fieldPosition="0">
        <references count="2">
          <reference field="4294967294" count="1">
            <x v="20"/>
          </reference>
          <reference field="0" count="1">
            <x v="1"/>
          </reference>
        </references>
      </pivotArea>
    </format>
    <format dxfId="3">
      <pivotArea outline="0" fieldPosition="0">
        <references count="2">
          <reference field="4294967294" count="1">
            <x v="23"/>
          </reference>
          <reference field="0" count="1">
            <x v="1"/>
          </reference>
        </references>
      </pivotArea>
    </format>
    <format dxfId="3">
      <pivotArea outline="0" fieldPosition="0">
        <references count="2">
          <reference field="4294967294" count="1">
            <x v="26"/>
          </reference>
          <reference field="0" count="1">
            <x v="1"/>
          </reference>
        </references>
      </pivotArea>
    </format>
    <format dxfId="3">
      <pivotArea outline="0" fieldPosition="0">
        <references count="2">
          <reference field="4294967294" count="1">
            <x v="29"/>
          </reference>
          <reference field="0" count="1">
            <x v="1"/>
          </reference>
        </references>
      </pivotArea>
    </format>
    <format dxfId="3">
      <pivotArea outline="0" fieldPosition="0">
        <references count="2">
          <reference field="4294967294" count="1">
            <x v="32"/>
          </reference>
          <reference field="0" count="1">
            <x v="1"/>
          </reference>
        </references>
      </pivotArea>
    </format>
    <format dxfId="3">
      <pivotArea outline="0" fieldPosition="0">
        <references count="2">
          <reference field="4294967294" count="1">
            <x v="35"/>
          </reference>
          <reference field="0" count="1">
            <x v="1"/>
          </reference>
        </references>
      </pivotArea>
    </format>
    <format dxfId="3">
      <pivotArea outline="0" fieldPosition="0">
        <references count="2">
          <reference field="4294967294" count="1">
            <x v="2"/>
          </reference>
          <reference field="0" count="1">
            <x v="2"/>
          </reference>
        </references>
      </pivotArea>
    </format>
    <format dxfId="3">
      <pivotArea outline="0" fieldPosition="0">
        <references count="2">
          <reference field="4294967294" count="1">
            <x v="8"/>
          </reference>
          <reference field="0" count="1">
            <x v="2"/>
          </reference>
        </references>
      </pivotArea>
    </format>
    <format dxfId="3">
      <pivotArea outline="0" fieldPosition="0">
        <references count="2">
          <reference field="4294967294" count="1">
            <x v="11"/>
          </reference>
          <reference field="0" count="1">
            <x v="2"/>
          </reference>
        </references>
      </pivotArea>
    </format>
    <format dxfId="3">
      <pivotArea outline="0" fieldPosition="0">
        <references count="2">
          <reference field="4294967294" count="1">
            <x v="14"/>
          </reference>
          <reference field="0" count="1">
            <x v="2"/>
          </reference>
        </references>
      </pivotArea>
    </format>
    <format dxfId="3">
      <pivotArea outline="0" fieldPosition="0">
        <references count="2">
          <reference field="4294967294" count="1">
            <x v="17"/>
          </reference>
          <reference field="0" count="1">
            <x v="2"/>
          </reference>
        </references>
      </pivotArea>
    </format>
    <format dxfId="3">
      <pivotArea outline="0" fieldPosition="0">
        <references count="2">
          <reference field="4294967294" count="1">
            <x v="20"/>
          </reference>
          <reference field="0" count="1">
            <x v="2"/>
          </reference>
        </references>
      </pivotArea>
    </format>
    <format dxfId="3">
      <pivotArea outline="0" fieldPosition="0">
        <references count="2">
          <reference field="4294967294" count="1">
            <x v="23"/>
          </reference>
          <reference field="0" count="1">
            <x v="2"/>
          </reference>
        </references>
      </pivotArea>
    </format>
    <format dxfId="3">
      <pivotArea outline="0" fieldPosition="0">
        <references count="2">
          <reference field="4294967294" count="1">
            <x v="26"/>
          </reference>
          <reference field="0" count="1">
            <x v="2"/>
          </reference>
        </references>
      </pivotArea>
    </format>
    <format dxfId="3">
      <pivotArea outline="0" fieldPosition="0">
        <references count="2">
          <reference field="4294967294" count="1">
            <x v="29"/>
          </reference>
          <reference field="0" count="1">
            <x v="2"/>
          </reference>
        </references>
      </pivotArea>
    </format>
    <format dxfId="3">
      <pivotArea outline="0" fieldPosition="0">
        <references count="2">
          <reference field="4294967294" count="1">
            <x v="32"/>
          </reference>
          <reference field="0" count="1">
            <x v="2"/>
          </reference>
        </references>
      </pivotArea>
    </format>
    <format dxfId="3">
      <pivotArea outline="0" fieldPosition="0">
        <references count="2">
          <reference field="4294967294" count="1">
            <x v="35"/>
          </reference>
          <reference field="0" count="1">
            <x v="2"/>
          </reference>
        </references>
      </pivotArea>
    </format>
    <format dxfId="43">
      <pivotArea outline="0" fieldPosition="0">
        <references count="4">
          <reference field="4294967294" count="1">
            <x v="2"/>
          </reference>
          <reference field="0" count="1">
            <x v="0"/>
          </reference>
          <reference field="3" count="1">
            <x v="9"/>
          </reference>
          <reference field="32" count="1">
            <x v="1"/>
          </reference>
        </references>
      </pivotArea>
    </format>
    <format dxfId="43">
      <pivotArea outline="0" fieldPosition="0">
        <references count="4">
          <reference field="4294967294" count="1">
            <x v="5"/>
          </reference>
          <reference field="0" count="1">
            <x v="0"/>
          </reference>
          <reference field="3" count="1">
            <x v="9"/>
          </reference>
          <reference field="32" count="1">
            <x v="1"/>
          </reference>
        </references>
      </pivotArea>
    </format>
    <format dxfId="43">
      <pivotArea outline="0" fieldPosition="0">
        <references count="4">
          <reference field="4294967294" count="1">
            <x v="8"/>
          </reference>
          <reference field="0" count="1">
            <x v="0"/>
          </reference>
          <reference field="3" count="1">
            <x v="9"/>
          </reference>
          <reference field="32" count="1">
            <x v="1"/>
          </reference>
        </references>
      </pivotArea>
    </format>
    <format dxfId="3">
      <pivotArea outline="0" fieldPosition="0">
        <references count="2">
          <reference field="4294967294" count="1">
            <x v="5"/>
          </reference>
          <reference field="0" count="1">
            <x v="2"/>
          </reference>
        </references>
      </pivotArea>
    </format>
    <format dxfId="3">
      <pivotArea outline="0" fieldPosition="0" dataOnly="0">
        <references count="1">
          <reference field="4294967294" count="1">
            <x v="2"/>
          </reference>
        </references>
      </pivotArea>
    </format>
    <format dxfId="3">
      <pivotArea outline="0" fieldPosition="0" dataOnly="0" labelOnly="1">
        <references count="2">
          <reference field="4294967294" count="1">
            <x v="5"/>
          </reference>
          <reference field="0" count="1">
            <x v="2"/>
          </reference>
        </references>
      </pivotArea>
    </format>
    <format dxfId="3">
      <pivotArea outline="0" fieldPosition="0" dataOnly="0" labelOnly="1">
        <references count="2">
          <reference field="4294967294" count="1">
            <x v="8"/>
          </reference>
          <reference field="0" count="1">
            <x v="2"/>
          </reference>
        </references>
      </pivotArea>
    </format>
    <format dxfId="3">
      <pivotArea outline="0" fieldPosition="0" dataOnly="0" labelOnly="1">
        <references count="2">
          <reference field="4294967294" count="1">
            <x v="11"/>
          </reference>
          <reference field="0" count="1">
            <x v="2"/>
          </reference>
        </references>
      </pivotArea>
    </format>
    <format dxfId="3">
      <pivotArea outline="0" fieldPosition="0" dataOnly="0" labelOnly="1">
        <references count="2">
          <reference field="4294967294" count="1">
            <x v="14"/>
          </reference>
          <reference field="0" count="1">
            <x v="2"/>
          </reference>
        </references>
      </pivotArea>
    </format>
    <format dxfId="3">
      <pivotArea outline="0" fieldPosition="0" dataOnly="0" labelOnly="1">
        <references count="2">
          <reference field="4294967294" count="1">
            <x v="17"/>
          </reference>
          <reference field="0" count="1">
            <x v="2"/>
          </reference>
        </references>
      </pivotArea>
    </format>
    <format dxfId="3">
      <pivotArea outline="0" fieldPosition="0" dataOnly="0" labelOnly="1">
        <references count="2">
          <reference field="4294967294" count="1">
            <x v="20"/>
          </reference>
          <reference field="0" count="1">
            <x v="2"/>
          </reference>
        </references>
      </pivotArea>
    </format>
    <format dxfId="3">
      <pivotArea outline="0" fieldPosition="0" dataOnly="0" labelOnly="1">
        <references count="2">
          <reference field="4294967294" count="1">
            <x v="23"/>
          </reference>
          <reference field="0" count="1">
            <x v="2"/>
          </reference>
        </references>
      </pivotArea>
    </format>
    <format dxfId="3">
      <pivotArea outline="0" fieldPosition="0" dataOnly="0" labelOnly="1">
        <references count="2">
          <reference field="4294967294" count="1">
            <x v="26"/>
          </reference>
          <reference field="0" count="1">
            <x v="2"/>
          </reference>
        </references>
      </pivotArea>
    </format>
    <format dxfId="3">
      <pivotArea outline="0" fieldPosition="0" dataOnly="0" labelOnly="1">
        <references count="2">
          <reference field="4294967294" count="1">
            <x v="29"/>
          </reference>
          <reference field="0" count="1">
            <x v="2"/>
          </reference>
        </references>
      </pivotArea>
    </format>
    <format dxfId="3">
      <pivotArea outline="0" fieldPosition="0" dataOnly="0" labelOnly="1">
        <references count="2">
          <reference field="4294967294" count="1">
            <x v="32"/>
          </reference>
          <reference field="0" count="1">
            <x v="2"/>
          </reference>
        </references>
      </pivotArea>
    </format>
    <format dxfId="3">
      <pivotArea outline="0" fieldPosition="0" dataOnly="0" labelOnly="1">
        <references count="2">
          <reference field="4294967294" count="1">
            <x v="35"/>
          </reference>
          <reference field="0" count="1">
            <x v="2"/>
          </reference>
        </references>
      </pivotArea>
    </format>
    <format dxfId="43">
      <pivotArea outline="0" fieldPosition="0">
        <references count="4">
          <reference field="4294967294" count="3">
            <x v="18"/>
            <x v="19"/>
            <x v="20"/>
          </reference>
          <reference field="0" count="1">
            <x v="0"/>
          </reference>
          <reference field="3" count="1">
            <x v="3"/>
          </reference>
          <reference field="32" count="1">
            <x v="0"/>
          </reference>
        </references>
      </pivotArea>
    </format>
    <format dxfId="43">
      <pivotArea outline="0" fieldPosition="0">
        <references count="4">
          <reference field="4294967294" count="3">
            <x v="18"/>
            <x v="19"/>
            <x v="20"/>
          </reference>
          <reference field="0" count="1">
            <x v="0"/>
          </reference>
          <reference field="3" count="1">
            <x v="4"/>
          </reference>
          <reference field="32" count="1">
            <x v="0"/>
          </reference>
        </references>
      </pivotArea>
    </format>
    <format dxfId="43">
      <pivotArea outline="0" fieldPosition="0">
        <references count="4">
          <reference field="4294967294" count="3">
            <x v="24"/>
            <x v="25"/>
            <x v="26"/>
          </reference>
          <reference field="0" count="1">
            <x v="0"/>
          </reference>
          <reference field="3" count="2">
            <x v="3"/>
            <x v="4"/>
          </reference>
          <reference field="32" count="1">
            <x v="0"/>
          </reference>
        </references>
      </pivotArea>
    </format>
    <format dxfId="44">
      <pivotArea outline="0" fieldPosition="0">
        <references count="3">
          <reference field="4294967294" count="1">
            <x v="2"/>
          </reference>
          <reference field="0" count="1">
            <x v="4"/>
          </reference>
          <reference field="32" defaultSubtotal="1" count="1">
            <x v="2"/>
          </reference>
        </references>
      </pivotArea>
    </format>
    <format dxfId="43">
      <pivotArea outline="0" fieldPosition="0">
        <references count="4">
          <reference field="4294967294" count="3">
            <x v="0"/>
            <x v="1"/>
            <x v="2"/>
          </reference>
          <reference field="0" count="1">
            <x v="5"/>
          </reference>
          <reference field="3" count="1">
            <x v="1"/>
          </reference>
          <reference field="32" count="1">
            <x v="0"/>
          </reference>
        </references>
      </pivotArea>
    </format>
    <format dxfId="43">
      <pivotArea outline="0" fieldPosition="0">
        <references count="4">
          <reference field="4294967294" count="3">
            <x v="6"/>
            <x v="7"/>
            <x v="8"/>
          </reference>
          <reference field="0" count="1">
            <x v="5"/>
          </reference>
          <reference field="3" count="1">
            <x v="1"/>
          </reference>
          <reference field="32" count="1">
            <x v="0"/>
          </reference>
        </references>
      </pivotArea>
    </format>
    <format dxfId="12">
      <pivotArea outline="0" fieldPosition="0">
        <references count="4">
          <reference field="4294967294" count="3">
            <x v="0"/>
            <x v="1"/>
            <x v="2"/>
          </reference>
          <reference field="0" count="1">
            <x v="5"/>
          </reference>
          <reference field="3" count="1">
            <x v="1"/>
          </reference>
          <reference field="32" count="1">
            <x v="0"/>
          </reference>
        </references>
      </pivotArea>
    </format>
    <format dxfId="12">
      <pivotArea outline="0" fieldPosition="0">
        <references count="4">
          <reference field="4294967294" count="3">
            <x v="6"/>
            <x v="7"/>
            <x v="8"/>
          </reference>
          <reference field="0" count="1">
            <x v="5"/>
          </reference>
          <reference field="3" count="1">
            <x v="1"/>
          </reference>
          <reference field="32" count="1">
            <x v="0"/>
          </reference>
        </references>
      </pivotArea>
    </format>
    <format dxfId="43">
      <pivotArea outline="0" fieldPosition="0">
        <references count="4">
          <reference field="4294967294" count="3">
            <x v="3"/>
            <x v="4"/>
            <x v="5"/>
          </reference>
          <reference field="0" count="1">
            <x v="7"/>
          </reference>
          <reference field="3" count="1">
            <x v="12"/>
          </reference>
          <reference field="32" count="1">
            <x v="0"/>
          </reference>
        </references>
      </pivotArea>
    </format>
    <format dxfId="43">
      <pivotArea outline="0" fieldPosition="0">
        <references count="4">
          <reference field="4294967294" count="3">
            <x v="6"/>
            <x v="7"/>
            <x v="8"/>
          </reference>
          <reference field="0" count="1">
            <x v="7"/>
          </reference>
          <reference field="3" count="1">
            <x v="12"/>
          </reference>
          <reference field="32" count="1">
            <x v="0"/>
          </reference>
        </references>
      </pivotArea>
    </format>
    <format dxfId="28">
      <pivotArea outline="0" fieldPosition="0">
        <references count="4">
          <reference field="4294967294" count="1">
            <x v="20"/>
          </reference>
          <reference field="0" count="1">
            <x v="0"/>
          </reference>
          <reference field="3" count="2">
            <x v="3"/>
            <x v="4"/>
          </reference>
          <reference field="32" count="1">
            <x v="0"/>
          </reference>
        </references>
      </pivotArea>
    </format>
    <format dxfId="28">
      <pivotArea outline="0" fieldPosition="0">
        <references count="4">
          <reference field="4294967294" count="1">
            <x v="26"/>
          </reference>
          <reference field="0" count="1">
            <x v="0"/>
          </reference>
          <reference field="3" count="2">
            <x v="3"/>
            <x v="4"/>
          </reference>
          <reference field="32" count="1">
            <x v="0"/>
          </reference>
        </references>
      </pivotArea>
    </format>
    <format dxfId="22">
      <pivotArea outline="0" fieldPosition="0">
        <references count="4">
          <reference field="4294967294" count="2">
            <x v="18"/>
            <x v="19"/>
          </reference>
          <reference field="0" count="1">
            <x v="0"/>
          </reference>
          <reference field="3" count="2">
            <x v="3"/>
            <x v="4"/>
          </reference>
          <reference field="32" count="1">
            <x v="0"/>
          </reference>
        </references>
      </pivotArea>
    </format>
    <format dxfId="22">
      <pivotArea outline="0" fieldPosition="0">
        <references count="4">
          <reference field="4294967294" count="2">
            <x v="24"/>
            <x v="25"/>
          </reference>
          <reference field="0" count="1">
            <x v="0"/>
          </reference>
          <reference field="3" count="2">
            <x v="3"/>
            <x v="4"/>
          </reference>
          <reference field="32"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8"/>
  </sheetPr>
  <dimension ref="A1:IC513"/>
  <sheetViews>
    <sheetView zoomScale="75" zoomScaleNormal="75" workbookViewId="0" topLeftCell="A1">
      <pane xSplit="4" ySplit="5" topLeftCell="AB281" activePane="bottomRight" state="frozen"/>
      <selection pane="topLeft" activeCell="A1" sqref="A1"/>
      <selection pane="topRight" activeCell="E1" sqref="E1"/>
      <selection pane="bottomLeft" activeCell="A6" sqref="A6"/>
      <selection pane="bottomRight" activeCell="AD303" sqref="AD303"/>
    </sheetView>
  </sheetViews>
  <sheetFormatPr defaultColWidth="9.140625" defaultRowHeight="12.75"/>
  <cols>
    <col min="1" max="1" width="6.421875" style="162" customWidth="1"/>
    <col min="2" max="2" width="29.8515625" style="162" customWidth="1"/>
    <col min="3" max="3" width="10.140625" style="162" customWidth="1"/>
    <col min="4" max="4" width="6.7109375" style="162" customWidth="1"/>
    <col min="5" max="5" width="13.28125" style="162" customWidth="1"/>
    <col min="6" max="6" width="13.140625" style="167" customWidth="1"/>
    <col min="7" max="7" width="13.57421875" style="162" customWidth="1"/>
    <col min="8" max="8" width="13.57421875" style="167" customWidth="1"/>
    <col min="9" max="9" width="13.57421875" style="162" customWidth="1"/>
    <col min="10" max="10" width="13.57421875" style="167" customWidth="1"/>
    <col min="11" max="11" width="9.140625" style="162" customWidth="1"/>
    <col min="12" max="13" width="8.7109375" style="162" customWidth="1"/>
    <col min="14" max="14" width="11.140625" style="168" customWidth="1"/>
    <col min="15" max="15" width="8.7109375" style="168" customWidth="1"/>
    <col min="16" max="16" width="11.57421875" style="168" customWidth="1"/>
    <col min="17" max="17" width="17.140625" style="162" customWidth="1"/>
    <col min="18" max="18" width="17.140625" style="167" customWidth="1"/>
    <col min="19" max="19" width="10.140625" style="162" customWidth="1"/>
    <col min="20" max="20" width="11.421875" style="167" customWidth="1"/>
    <col min="21" max="21" width="14.00390625" style="162" customWidth="1"/>
    <col min="22" max="22" width="14.00390625" style="167" customWidth="1"/>
    <col min="23" max="23" width="14.140625" style="162" customWidth="1"/>
    <col min="24" max="24" width="14.140625" style="167" customWidth="1"/>
    <col min="25" max="25" width="10.00390625" style="162" customWidth="1"/>
    <col min="26" max="27" width="8.57421875" style="162" customWidth="1"/>
    <col min="28" max="28" width="12.8515625" style="167" customWidth="1"/>
    <col min="29" max="29" width="9.7109375" style="167" customWidth="1"/>
    <col min="30" max="30" width="9.8515625" style="167" customWidth="1"/>
    <col min="31" max="31" width="17.421875" style="162" customWidth="1"/>
    <col min="32" max="32" width="16.140625" style="167" customWidth="1"/>
    <col min="33" max="16384" width="9.140625" style="162" customWidth="1"/>
  </cols>
  <sheetData>
    <row r="1" spans="2:32" s="75" customFormat="1" ht="16.5" customHeight="1">
      <c r="B1" s="178"/>
      <c r="C1" s="178"/>
      <c r="D1" s="179"/>
      <c r="E1" s="180" t="s">
        <v>479</v>
      </c>
      <c r="F1" s="181"/>
      <c r="G1" s="181"/>
      <c r="H1" s="181"/>
      <c r="I1" s="181"/>
      <c r="J1" s="181"/>
      <c r="K1" s="181"/>
      <c r="L1" s="181"/>
      <c r="M1" s="181"/>
      <c r="N1" s="181"/>
      <c r="O1" s="181"/>
      <c r="P1" s="181"/>
      <c r="Q1" s="181"/>
      <c r="R1" s="181"/>
      <c r="S1" s="180" t="s">
        <v>480</v>
      </c>
      <c r="T1" s="181"/>
      <c r="U1" s="181"/>
      <c r="V1" s="181"/>
      <c r="W1" s="181"/>
      <c r="X1" s="181"/>
      <c r="Y1" s="181"/>
      <c r="Z1" s="181"/>
      <c r="AA1" s="181"/>
      <c r="AB1" s="181"/>
      <c r="AC1" s="181"/>
      <c r="AD1" s="181"/>
      <c r="AE1" s="181"/>
      <c r="AF1" s="181"/>
    </row>
    <row r="2" spans="2:32" s="182" customFormat="1" ht="39.75" customHeight="1">
      <c r="B2" s="183"/>
      <c r="C2" s="184"/>
      <c r="D2" s="185"/>
      <c r="E2" s="186" t="s">
        <v>481</v>
      </c>
      <c r="F2" s="186" t="s">
        <v>481</v>
      </c>
      <c r="G2" s="187"/>
      <c r="H2" s="188"/>
      <c r="I2" s="593" t="s">
        <v>574</v>
      </c>
      <c r="J2" s="658" t="s">
        <v>576</v>
      </c>
      <c r="K2" s="595" t="s">
        <v>577</v>
      </c>
      <c r="L2" s="675"/>
      <c r="M2" s="676"/>
      <c r="N2" s="665" t="s">
        <v>578</v>
      </c>
      <c r="O2" s="666"/>
      <c r="P2" s="667"/>
      <c r="Q2" s="187"/>
      <c r="R2" s="188"/>
      <c r="S2" s="189"/>
      <c r="T2" s="190"/>
      <c r="U2" s="187"/>
      <c r="V2" s="188"/>
      <c r="W2" s="593" t="s">
        <v>579</v>
      </c>
      <c r="X2" s="658" t="s">
        <v>580</v>
      </c>
      <c r="Y2" s="595" t="s">
        <v>577</v>
      </c>
      <c r="Z2" s="596"/>
      <c r="AA2" s="574"/>
      <c r="AB2" s="661" t="s">
        <v>578</v>
      </c>
      <c r="AC2" s="662"/>
      <c r="AD2" s="663"/>
      <c r="AE2" s="187"/>
      <c r="AF2" s="191"/>
    </row>
    <row r="3" spans="1:32" s="182" customFormat="1" ht="55.5" customHeight="1">
      <c r="A3" s="185"/>
      <c r="B3" s="185"/>
      <c r="C3" s="185"/>
      <c r="D3" s="185"/>
      <c r="E3" s="671" t="s">
        <v>10</v>
      </c>
      <c r="F3" s="591" t="s">
        <v>11</v>
      </c>
      <c r="G3" s="593" t="s">
        <v>581</v>
      </c>
      <c r="H3" s="658" t="s">
        <v>582</v>
      </c>
      <c r="I3" s="673"/>
      <c r="J3" s="658"/>
      <c r="K3" s="593" t="s">
        <v>12</v>
      </c>
      <c r="L3" s="593" t="s">
        <v>583</v>
      </c>
      <c r="M3" s="593" t="s">
        <v>13</v>
      </c>
      <c r="N3" s="658" t="s">
        <v>12</v>
      </c>
      <c r="O3" s="658" t="s">
        <v>584</v>
      </c>
      <c r="P3" s="658" t="s">
        <v>13</v>
      </c>
      <c r="Q3" s="593" t="s">
        <v>585</v>
      </c>
      <c r="R3" s="658" t="s">
        <v>586</v>
      </c>
      <c r="S3" s="669" t="s">
        <v>587</v>
      </c>
      <c r="T3" s="591" t="s">
        <v>588</v>
      </c>
      <c r="U3" s="593" t="s">
        <v>589</v>
      </c>
      <c r="V3" s="658" t="s">
        <v>582</v>
      </c>
      <c r="W3" s="673"/>
      <c r="X3" s="659"/>
      <c r="Y3" s="593" t="s">
        <v>12</v>
      </c>
      <c r="Z3" s="593" t="s">
        <v>590</v>
      </c>
      <c r="AA3" s="593" t="s">
        <v>13</v>
      </c>
      <c r="AB3" s="658" t="s">
        <v>12</v>
      </c>
      <c r="AC3" s="658" t="s">
        <v>591</v>
      </c>
      <c r="AD3" s="658" t="s">
        <v>13</v>
      </c>
      <c r="AE3" s="593" t="s">
        <v>592</v>
      </c>
      <c r="AF3" s="656" t="s">
        <v>586</v>
      </c>
    </row>
    <row r="4" spans="1:32" s="75" customFormat="1" ht="58.5" customHeight="1">
      <c r="A4" s="192" t="s">
        <v>15</v>
      </c>
      <c r="B4" s="192" t="s">
        <v>16</v>
      </c>
      <c r="C4" s="193" t="s">
        <v>17</v>
      </c>
      <c r="D4" s="194" t="s">
        <v>482</v>
      </c>
      <c r="E4" s="672"/>
      <c r="F4" s="592"/>
      <c r="G4" s="594"/>
      <c r="H4" s="590"/>
      <c r="I4" s="674"/>
      <c r="J4" s="590"/>
      <c r="K4" s="594"/>
      <c r="L4" s="594"/>
      <c r="M4" s="594" t="s">
        <v>14</v>
      </c>
      <c r="N4" s="590"/>
      <c r="O4" s="668"/>
      <c r="P4" s="590" t="s">
        <v>14</v>
      </c>
      <c r="Q4" s="594"/>
      <c r="R4" s="590"/>
      <c r="S4" s="670"/>
      <c r="T4" s="592"/>
      <c r="U4" s="594"/>
      <c r="V4" s="590"/>
      <c r="W4" s="674"/>
      <c r="X4" s="660"/>
      <c r="Y4" s="664"/>
      <c r="Z4" s="594"/>
      <c r="AA4" s="664" t="s">
        <v>14</v>
      </c>
      <c r="AB4" s="590"/>
      <c r="AC4" s="590"/>
      <c r="AD4" s="590" t="s">
        <v>14</v>
      </c>
      <c r="AE4" s="594"/>
      <c r="AF4" s="657"/>
    </row>
    <row r="5" spans="1:32" s="40" customFormat="1" ht="33" customHeight="1">
      <c r="A5" s="163" t="s">
        <v>15</v>
      </c>
      <c r="B5" s="163" t="s">
        <v>16</v>
      </c>
      <c r="C5" s="164" t="s">
        <v>118</v>
      </c>
      <c r="D5" s="164" t="s">
        <v>119</v>
      </c>
      <c r="E5" s="165" t="s">
        <v>546</v>
      </c>
      <c r="F5" s="165" t="s">
        <v>547</v>
      </c>
      <c r="G5" s="165" t="s">
        <v>548</v>
      </c>
      <c r="H5" s="165" t="s">
        <v>549</v>
      </c>
      <c r="I5" s="166" t="s">
        <v>550</v>
      </c>
      <c r="J5" s="165" t="s">
        <v>551</v>
      </c>
      <c r="K5" s="165" t="s">
        <v>552</v>
      </c>
      <c r="L5" s="165" t="s">
        <v>553</v>
      </c>
      <c r="M5" s="165" t="s">
        <v>554</v>
      </c>
      <c r="N5" s="165" t="s">
        <v>555</v>
      </c>
      <c r="O5" s="165" t="s">
        <v>556</v>
      </c>
      <c r="P5" s="165" t="s">
        <v>557</v>
      </c>
      <c r="Q5" s="165" t="s">
        <v>558</v>
      </c>
      <c r="R5" s="165" t="s">
        <v>559</v>
      </c>
      <c r="S5" s="165" t="s">
        <v>560</v>
      </c>
      <c r="T5" s="165" t="s">
        <v>561</v>
      </c>
      <c r="U5" s="165" t="s">
        <v>562</v>
      </c>
      <c r="V5" s="165" t="s">
        <v>563</v>
      </c>
      <c r="W5" s="166" t="s">
        <v>564</v>
      </c>
      <c r="X5" s="166" t="s">
        <v>565</v>
      </c>
      <c r="Y5" s="165" t="s">
        <v>566</v>
      </c>
      <c r="Z5" s="165" t="s">
        <v>567</v>
      </c>
      <c r="AA5" s="165" t="s">
        <v>568</v>
      </c>
      <c r="AB5" s="165" t="s">
        <v>569</v>
      </c>
      <c r="AC5" s="165" t="s">
        <v>570</v>
      </c>
      <c r="AD5" s="165" t="s">
        <v>571</v>
      </c>
      <c r="AE5" s="165" t="s">
        <v>572</v>
      </c>
      <c r="AF5" s="171" t="s">
        <v>573</v>
      </c>
    </row>
    <row r="6" spans="1:32" s="299" customFormat="1" ht="15" customHeight="1">
      <c r="A6" s="128" t="s">
        <v>232</v>
      </c>
      <c r="B6" s="461" t="s">
        <v>483</v>
      </c>
      <c r="C6" s="462">
        <v>100858</v>
      </c>
      <c r="D6" s="463">
        <v>1</v>
      </c>
      <c r="E6" s="297">
        <f aca="true" t="shared" si="0" ref="E6:E14">SUM(G6,I6,K6,L6,M6,Q6)</f>
        <v>570303</v>
      </c>
      <c r="F6" s="251">
        <f aca="true" t="shared" si="1" ref="F6:F14">SUM(H6,J6,N6,O6,P6,R6)</f>
        <v>0</v>
      </c>
      <c r="G6" s="298">
        <v>567729</v>
      </c>
      <c r="H6" s="464"/>
      <c r="I6" s="298">
        <v>1605</v>
      </c>
      <c r="J6" s="252"/>
      <c r="K6" s="298"/>
      <c r="L6" s="298"/>
      <c r="M6" s="298">
        <v>885</v>
      </c>
      <c r="N6" s="241"/>
      <c r="O6" s="241"/>
      <c r="P6" s="241"/>
      <c r="Q6" s="298">
        <v>84</v>
      </c>
      <c r="R6" s="252"/>
      <c r="S6" s="297">
        <f aca="true" t="shared" si="2" ref="S6:S14">SUM(U6,W6,Y6,Z6,AA6,AE6)</f>
        <v>72327</v>
      </c>
      <c r="T6" s="251">
        <f aca="true" t="shared" si="3" ref="T6:T14">SUM(V6,X6,AB6,AC6,AD6,AF6)</f>
        <v>0</v>
      </c>
      <c r="U6" s="298">
        <v>66647</v>
      </c>
      <c r="V6" s="252"/>
      <c r="W6" s="298"/>
      <c r="X6" s="252"/>
      <c r="Y6" s="318"/>
      <c r="Z6" s="319"/>
      <c r="AA6" s="320">
        <v>5680</v>
      </c>
      <c r="AB6" s="321"/>
      <c r="AC6" s="322"/>
      <c r="AD6" s="323"/>
      <c r="AE6" s="298"/>
      <c r="AF6" s="257"/>
    </row>
    <row r="7" spans="1:32" s="299" customFormat="1" ht="15" customHeight="1">
      <c r="A7" s="128" t="s">
        <v>232</v>
      </c>
      <c r="B7" s="461" t="s">
        <v>484</v>
      </c>
      <c r="C7" s="462">
        <v>100751</v>
      </c>
      <c r="D7" s="463">
        <v>1</v>
      </c>
      <c r="E7" s="297">
        <f t="shared" si="0"/>
        <v>482640</v>
      </c>
      <c r="F7" s="251">
        <f t="shared" si="1"/>
        <v>0</v>
      </c>
      <c r="G7" s="298">
        <v>470606</v>
      </c>
      <c r="H7" s="464"/>
      <c r="I7" s="298">
        <v>1749</v>
      </c>
      <c r="J7" s="252"/>
      <c r="K7" s="298">
        <v>3873</v>
      </c>
      <c r="L7" s="298">
        <v>324</v>
      </c>
      <c r="M7" s="298">
        <v>744</v>
      </c>
      <c r="N7" s="241"/>
      <c r="O7" s="241"/>
      <c r="P7" s="241"/>
      <c r="Q7" s="298">
        <v>5344</v>
      </c>
      <c r="R7" s="252"/>
      <c r="S7" s="297">
        <f t="shared" si="2"/>
        <v>92654</v>
      </c>
      <c r="T7" s="251">
        <f t="shared" si="3"/>
        <v>0</v>
      </c>
      <c r="U7" s="298">
        <v>74197</v>
      </c>
      <c r="V7" s="252"/>
      <c r="W7" s="298">
        <v>10722</v>
      </c>
      <c r="X7" s="252"/>
      <c r="Y7" s="298">
        <v>1751</v>
      </c>
      <c r="Z7" s="298">
        <v>1593</v>
      </c>
      <c r="AA7" s="298">
        <v>4388</v>
      </c>
      <c r="AB7" s="252"/>
      <c r="AC7" s="252"/>
      <c r="AD7" s="252"/>
      <c r="AE7" s="298">
        <v>3</v>
      </c>
      <c r="AF7" s="257"/>
    </row>
    <row r="8" spans="1:32" s="299" customFormat="1" ht="15" customHeight="1">
      <c r="A8" s="128" t="s">
        <v>232</v>
      </c>
      <c r="B8" s="373" t="s">
        <v>485</v>
      </c>
      <c r="C8" s="119">
        <v>100663</v>
      </c>
      <c r="D8" s="226">
        <v>1</v>
      </c>
      <c r="E8" s="297">
        <f t="shared" si="0"/>
        <v>275222</v>
      </c>
      <c r="F8" s="251">
        <f t="shared" si="1"/>
        <v>277018</v>
      </c>
      <c r="G8" s="298">
        <v>273467</v>
      </c>
      <c r="H8" s="253">
        <v>263973</v>
      </c>
      <c r="I8" s="298">
        <v>0</v>
      </c>
      <c r="J8" s="252"/>
      <c r="K8" s="298">
        <v>1731</v>
      </c>
      <c r="L8" s="298">
        <v>24</v>
      </c>
      <c r="M8" s="298">
        <v>0</v>
      </c>
      <c r="N8" s="254">
        <v>13036</v>
      </c>
      <c r="O8" s="254">
        <v>9</v>
      </c>
      <c r="P8" s="241"/>
      <c r="Q8" s="298">
        <v>0</v>
      </c>
      <c r="R8" s="252"/>
      <c r="S8" s="297">
        <f t="shared" si="2"/>
        <v>49597</v>
      </c>
      <c r="T8" s="251">
        <f t="shared" si="3"/>
        <v>39372</v>
      </c>
      <c r="U8" s="298">
        <v>47884</v>
      </c>
      <c r="V8" s="253">
        <v>32968</v>
      </c>
      <c r="W8" s="298">
        <v>1125</v>
      </c>
      <c r="X8" s="253">
        <v>951</v>
      </c>
      <c r="Y8" s="298">
        <v>306</v>
      </c>
      <c r="Z8" s="298">
        <v>282</v>
      </c>
      <c r="AA8" s="298"/>
      <c r="AB8" s="253">
        <v>5240</v>
      </c>
      <c r="AC8" s="253">
        <v>213</v>
      </c>
      <c r="AD8" s="252"/>
      <c r="AE8" s="298"/>
      <c r="AF8" s="257"/>
    </row>
    <row r="9" spans="1:32" s="299" customFormat="1" ht="15" customHeight="1">
      <c r="A9" s="128" t="s">
        <v>232</v>
      </c>
      <c r="B9" s="129" t="s">
        <v>486</v>
      </c>
      <c r="C9" s="119">
        <v>100706</v>
      </c>
      <c r="D9" s="226">
        <v>2</v>
      </c>
      <c r="E9" s="297">
        <f t="shared" si="0"/>
        <v>0</v>
      </c>
      <c r="F9" s="251">
        <f t="shared" si="1"/>
        <v>0</v>
      </c>
      <c r="G9" s="298"/>
      <c r="H9" s="252"/>
      <c r="I9" s="298"/>
      <c r="J9" s="252"/>
      <c r="K9" s="298"/>
      <c r="L9" s="298"/>
      <c r="M9" s="298"/>
      <c r="N9" s="241"/>
      <c r="O9" s="241"/>
      <c r="P9" s="241"/>
      <c r="Q9" s="298"/>
      <c r="R9" s="252"/>
      <c r="S9" s="297">
        <f t="shared" si="2"/>
        <v>0</v>
      </c>
      <c r="T9" s="251">
        <f t="shared" si="3"/>
        <v>0</v>
      </c>
      <c r="U9" s="298"/>
      <c r="V9" s="252"/>
      <c r="W9" s="298"/>
      <c r="X9" s="252"/>
      <c r="Y9" s="298"/>
      <c r="Z9" s="298"/>
      <c r="AA9" s="298"/>
      <c r="AB9" s="252"/>
      <c r="AC9" s="252"/>
      <c r="AD9" s="252"/>
      <c r="AE9" s="298"/>
      <c r="AF9" s="257"/>
    </row>
    <row r="10" spans="1:32" s="299" customFormat="1" ht="15" customHeight="1">
      <c r="A10" s="128" t="s">
        <v>232</v>
      </c>
      <c r="B10" s="129" t="s">
        <v>487</v>
      </c>
      <c r="C10" s="119">
        <v>100654</v>
      </c>
      <c r="D10" s="226">
        <v>3</v>
      </c>
      <c r="E10" s="297">
        <f t="shared" si="0"/>
        <v>0</v>
      </c>
      <c r="F10" s="251">
        <f t="shared" si="1"/>
        <v>78176</v>
      </c>
      <c r="G10" s="298"/>
      <c r="H10" s="255">
        <v>78062</v>
      </c>
      <c r="I10" s="298"/>
      <c r="J10" s="252"/>
      <c r="K10" s="298"/>
      <c r="L10" s="298"/>
      <c r="M10" s="298"/>
      <c r="N10" s="255">
        <v>114</v>
      </c>
      <c r="O10" s="241"/>
      <c r="P10" s="241"/>
      <c r="Q10" s="298"/>
      <c r="R10" s="252"/>
      <c r="S10" s="297">
        <f t="shared" si="2"/>
        <v>22231</v>
      </c>
      <c r="T10" s="251">
        <f t="shared" si="3"/>
        <v>8745</v>
      </c>
      <c r="U10" s="298">
        <v>22231</v>
      </c>
      <c r="V10" s="255">
        <v>8694</v>
      </c>
      <c r="W10" s="298"/>
      <c r="X10" s="255">
        <v>21</v>
      </c>
      <c r="Y10" s="298"/>
      <c r="Z10" s="298"/>
      <c r="AA10" s="298"/>
      <c r="AB10" s="255">
        <v>30</v>
      </c>
      <c r="AC10" s="252"/>
      <c r="AD10" s="252"/>
      <c r="AE10" s="298"/>
      <c r="AF10" s="257"/>
    </row>
    <row r="11" spans="1:32" s="299" customFormat="1" ht="15" customHeight="1">
      <c r="A11" s="128" t="s">
        <v>232</v>
      </c>
      <c r="B11" s="129" t="s">
        <v>488</v>
      </c>
      <c r="C11" s="119">
        <v>101480</v>
      </c>
      <c r="D11" s="226">
        <v>3</v>
      </c>
      <c r="E11" s="297">
        <f t="shared" si="0"/>
        <v>200784</v>
      </c>
      <c r="F11" s="251">
        <f t="shared" si="1"/>
        <v>0</v>
      </c>
      <c r="G11" s="298">
        <v>181372</v>
      </c>
      <c r="H11" s="252"/>
      <c r="I11" s="298">
        <v>5448</v>
      </c>
      <c r="J11" s="252"/>
      <c r="K11" s="298">
        <v>10646</v>
      </c>
      <c r="L11" s="298">
        <v>264</v>
      </c>
      <c r="M11" s="298">
        <v>3054</v>
      </c>
      <c r="N11" s="241"/>
      <c r="O11" s="241"/>
      <c r="P11" s="241"/>
      <c r="Q11" s="298"/>
      <c r="R11" s="252"/>
      <c r="S11" s="297">
        <f t="shared" si="2"/>
        <v>27201</v>
      </c>
      <c r="T11" s="251">
        <f t="shared" si="3"/>
        <v>0</v>
      </c>
      <c r="U11" s="298">
        <v>17793</v>
      </c>
      <c r="V11" s="252"/>
      <c r="W11" s="298">
        <v>972</v>
      </c>
      <c r="X11" s="252"/>
      <c r="Y11" s="298">
        <v>6657</v>
      </c>
      <c r="Z11" s="298">
        <v>1665</v>
      </c>
      <c r="AA11" s="298">
        <v>114</v>
      </c>
      <c r="AB11" s="252"/>
      <c r="AC11" s="252"/>
      <c r="AD11" s="252"/>
      <c r="AE11" s="298"/>
      <c r="AF11" s="257"/>
    </row>
    <row r="12" spans="1:32" s="299" customFormat="1" ht="15" customHeight="1">
      <c r="A12" s="128" t="s">
        <v>232</v>
      </c>
      <c r="B12" s="129" t="s">
        <v>489</v>
      </c>
      <c r="C12" s="119">
        <v>102094</v>
      </c>
      <c r="D12" s="226">
        <v>3</v>
      </c>
      <c r="E12" s="297">
        <f t="shared" si="0"/>
        <v>250438</v>
      </c>
      <c r="F12" s="251">
        <f t="shared" si="1"/>
        <v>244918</v>
      </c>
      <c r="G12" s="298">
        <v>247835</v>
      </c>
      <c r="H12" s="252">
        <v>240908</v>
      </c>
      <c r="I12" s="298">
        <v>47</v>
      </c>
      <c r="J12" s="252">
        <v>61</v>
      </c>
      <c r="K12" s="298">
        <v>2556</v>
      </c>
      <c r="L12" s="298"/>
      <c r="M12" s="298"/>
      <c r="N12" s="255">
        <v>3949</v>
      </c>
      <c r="O12" s="241"/>
      <c r="P12" s="241"/>
      <c r="Q12" s="298"/>
      <c r="R12" s="252"/>
      <c r="S12" s="297">
        <f t="shared" si="2"/>
        <v>25955</v>
      </c>
      <c r="T12" s="251">
        <f t="shared" si="3"/>
        <v>24158</v>
      </c>
      <c r="U12" s="298">
        <v>22292</v>
      </c>
      <c r="V12" s="252">
        <v>20429</v>
      </c>
      <c r="W12" s="298"/>
      <c r="X12" s="252"/>
      <c r="Y12" s="298">
        <v>3663</v>
      </c>
      <c r="Z12" s="298"/>
      <c r="AA12" s="298"/>
      <c r="AB12" s="252">
        <v>3729</v>
      </c>
      <c r="AC12" s="252"/>
      <c r="AD12" s="252"/>
      <c r="AE12" s="298"/>
      <c r="AF12" s="257"/>
    </row>
    <row r="13" spans="1:32" s="299" customFormat="1" ht="15" customHeight="1">
      <c r="A13" s="461" t="s">
        <v>232</v>
      </c>
      <c r="B13" s="466" t="s">
        <v>490</v>
      </c>
      <c r="C13" s="462">
        <v>100724</v>
      </c>
      <c r="D13" s="463">
        <v>4</v>
      </c>
      <c r="E13" s="297">
        <f t="shared" si="0"/>
        <v>65034</v>
      </c>
      <c r="F13" s="251">
        <f t="shared" si="1"/>
        <v>0</v>
      </c>
      <c r="G13" s="298">
        <v>65034</v>
      </c>
      <c r="H13" s="252"/>
      <c r="I13" s="298"/>
      <c r="J13" s="252"/>
      <c r="K13" s="298"/>
      <c r="L13" s="298"/>
      <c r="M13" s="298"/>
      <c r="N13" s="241"/>
      <c r="O13" s="241"/>
      <c r="P13" s="241"/>
      <c r="Q13" s="298"/>
      <c r="R13" s="252"/>
      <c r="S13" s="297">
        <f t="shared" si="2"/>
        <v>16857</v>
      </c>
      <c r="T13" s="251">
        <f t="shared" si="3"/>
        <v>0</v>
      </c>
      <c r="U13" s="298">
        <v>16782</v>
      </c>
      <c r="V13" s="252"/>
      <c r="W13" s="298"/>
      <c r="X13" s="252"/>
      <c r="Y13" s="298">
        <v>75</v>
      </c>
      <c r="Z13" s="298"/>
      <c r="AA13" s="298"/>
      <c r="AB13" s="252"/>
      <c r="AC13" s="252"/>
      <c r="AD13" s="252"/>
      <c r="AE13" s="298"/>
      <c r="AF13" s="257"/>
    </row>
    <row r="14" spans="1:32" s="299" customFormat="1" ht="15" customHeight="1">
      <c r="A14" s="461" t="s">
        <v>232</v>
      </c>
      <c r="B14" s="461" t="s">
        <v>491</v>
      </c>
      <c r="C14" s="462">
        <v>100830</v>
      </c>
      <c r="D14" s="463">
        <v>4</v>
      </c>
      <c r="E14" s="297">
        <f t="shared" si="0"/>
        <v>0</v>
      </c>
      <c r="F14" s="251">
        <f t="shared" si="1"/>
        <v>0</v>
      </c>
      <c r="G14" s="298"/>
      <c r="H14" s="252"/>
      <c r="I14" s="298"/>
      <c r="J14" s="252"/>
      <c r="K14" s="298"/>
      <c r="L14" s="298"/>
      <c r="M14" s="298"/>
      <c r="N14" s="241"/>
      <c r="O14" s="241"/>
      <c r="P14" s="241"/>
      <c r="Q14" s="298"/>
      <c r="R14" s="252"/>
      <c r="S14" s="297">
        <f t="shared" si="2"/>
        <v>13527</v>
      </c>
      <c r="T14" s="251">
        <f t="shared" si="3"/>
        <v>0</v>
      </c>
      <c r="U14" s="298">
        <v>13527</v>
      </c>
      <c r="V14" s="252"/>
      <c r="W14" s="298"/>
      <c r="X14" s="252"/>
      <c r="Y14" s="298"/>
      <c r="Z14" s="298"/>
      <c r="AA14" s="298"/>
      <c r="AB14" s="252"/>
      <c r="AC14" s="252"/>
      <c r="AD14" s="252"/>
      <c r="AE14" s="298"/>
      <c r="AF14" s="257"/>
    </row>
    <row r="15" spans="1:32" s="299" customFormat="1" ht="15" customHeight="1">
      <c r="A15" s="461" t="s">
        <v>232</v>
      </c>
      <c r="B15" s="466" t="s">
        <v>5</v>
      </c>
      <c r="C15" s="462">
        <v>102368</v>
      </c>
      <c r="D15" s="463">
        <v>4</v>
      </c>
      <c r="E15" s="297">
        <v>250212</v>
      </c>
      <c r="F15" s="251">
        <v>262576</v>
      </c>
      <c r="G15" s="298">
        <v>204388</v>
      </c>
      <c r="H15" s="255">
        <v>216550</v>
      </c>
      <c r="I15" s="298">
        <v>10006</v>
      </c>
      <c r="J15" s="255">
        <v>7930</v>
      </c>
      <c r="K15" s="298">
        <v>23125</v>
      </c>
      <c r="L15" s="298">
        <v>8616</v>
      </c>
      <c r="M15" s="298">
        <v>0</v>
      </c>
      <c r="N15" s="255">
        <v>27615</v>
      </c>
      <c r="O15" s="255">
        <v>7159</v>
      </c>
      <c r="P15" s="241">
        <v>0</v>
      </c>
      <c r="Q15" s="298">
        <v>4077</v>
      </c>
      <c r="R15" s="255">
        <v>3322</v>
      </c>
      <c r="S15" s="297">
        <v>63474</v>
      </c>
      <c r="T15" s="251">
        <v>68054</v>
      </c>
      <c r="U15" s="298">
        <v>32633</v>
      </c>
      <c r="V15" s="255">
        <v>34858</v>
      </c>
      <c r="W15" s="298">
        <v>4839</v>
      </c>
      <c r="X15" s="255">
        <v>3981</v>
      </c>
      <c r="Y15" s="298">
        <v>20093</v>
      </c>
      <c r="Z15" s="298">
        <v>5909</v>
      </c>
      <c r="AA15" s="298">
        <v>0</v>
      </c>
      <c r="AB15" s="255">
        <v>24526</v>
      </c>
      <c r="AC15" s="255">
        <v>4689</v>
      </c>
      <c r="AD15" s="252"/>
      <c r="AE15" s="298"/>
      <c r="AF15" s="257"/>
    </row>
    <row r="16" spans="1:32" s="299" customFormat="1" ht="15" customHeight="1">
      <c r="A16" s="461" t="s">
        <v>232</v>
      </c>
      <c r="B16" s="461" t="s">
        <v>492</v>
      </c>
      <c r="C16" s="462">
        <v>101879</v>
      </c>
      <c r="D16" s="463">
        <v>4</v>
      </c>
      <c r="E16" s="297">
        <f aca="true" t="shared" si="4" ref="E16:E26">SUM(G16,I16,K16,L16,M16,Q16)</f>
        <v>137970</v>
      </c>
      <c r="F16" s="251">
        <f>SUM(H16,J16,N16,O16,P16,R16)</f>
        <v>141977</v>
      </c>
      <c r="G16" s="298">
        <v>128364</v>
      </c>
      <c r="H16" s="252">
        <v>130818</v>
      </c>
      <c r="I16" s="298">
        <v>0</v>
      </c>
      <c r="J16" s="252"/>
      <c r="K16" s="298">
        <v>7569</v>
      </c>
      <c r="L16" s="298">
        <v>2037</v>
      </c>
      <c r="M16" s="298"/>
      <c r="N16" s="255">
        <v>8716</v>
      </c>
      <c r="O16" s="255">
        <v>2443</v>
      </c>
      <c r="P16" s="241"/>
      <c r="Q16" s="298"/>
      <c r="R16" s="252"/>
      <c r="S16" s="297">
        <f aca="true" t="shared" si="5" ref="S16:S92">SUM(U16,W16,Y16,Z16,AA16,AE16)</f>
        <v>11640</v>
      </c>
      <c r="T16" s="251">
        <f aca="true" t="shared" si="6" ref="T16:T92">SUM(V16,X16,AB16,AC16,AD16,AF16)</f>
        <v>14339</v>
      </c>
      <c r="U16" s="298">
        <v>10122</v>
      </c>
      <c r="V16" s="252">
        <v>10172</v>
      </c>
      <c r="W16" s="298"/>
      <c r="X16" s="252"/>
      <c r="Y16" s="298">
        <v>1401</v>
      </c>
      <c r="Z16" s="298">
        <v>117</v>
      </c>
      <c r="AA16" s="298"/>
      <c r="AB16" s="252">
        <v>3378</v>
      </c>
      <c r="AC16" s="252">
        <v>789</v>
      </c>
      <c r="AD16" s="252"/>
      <c r="AE16" s="298"/>
      <c r="AF16" s="257"/>
    </row>
    <row r="17" spans="1:32" s="299" customFormat="1" ht="15" customHeight="1">
      <c r="A17" s="461" t="s">
        <v>232</v>
      </c>
      <c r="B17" s="461" t="s">
        <v>493</v>
      </c>
      <c r="C17" s="462">
        <v>101709</v>
      </c>
      <c r="D17" s="463">
        <v>5</v>
      </c>
      <c r="E17" s="297">
        <f t="shared" si="4"/>
        <v>74608</v>
      </c>
      <c r="F17" s="251">
        <f>SUM(H17,J17,N17,O17,P17,R17)</f>
        <v>74538</v>
      </c>
      <c r="G17" s="298">
        <v>74608</v>
      </c>
      <c r="H17" s="252">
        <v>74538</v>
      </c>
      <c r="I17" s="298"/>
      <c r="J17" s="252"/>
      <c r="K17" s="298"/>
      <c r="L17" s="298"/>
      <c r="M17" s="298"/>
      <c r="N17" s="241"/>
      <c r="O17" s="241"/>
      <c r="P17" s="241"/>
      <c r="Q17" s="298"/>
      <c r="R17" s="252"/>
      <c r="S17" s="297">
        <f t="shared" si="5"/>
        <v>7984</v>
      </c>
      <c r="T17" s="251">
        <f t="shared" si="6"/>
        <v>7138</v>
      </c>
      <c r="U17" s="298">
        <v>7984</v>
      </c>
      <c r="V17" s="252">
        <v>7138</v>
      </c>
      <c r="W17" s="298"/>
      <c r="X17" s="252"/>
      <c r="Y17" s="298"/>
      <c r="Z17" s="298"/>
      <c r="AA17" s="298"/>
      <c r="AB17" s="252"/>
      <c r="AC17" s="252"/>
      <c r="AD17" s="252"/>
      <c r="AE17" s="298"/>
      <c r="AF17" s="257"/>
    </row>
    <row r="18" spans="1:32" s="299" customFormat="1" ht="15" customHeight="1">
      <c r="A18" s="461" t="s">
        <v>232</v>
      </c>
      <c r="B18" s="461" t="s">
        <v>494</v>
      </c>
      <c r="C18" s="462">
        <v>101587</v>
      </c>
      <c r="D18" s="463">
        <v>5</v>
      </c>
      <c r="E18" s="297">
        <f t="shared" si="4"/>
        <v>45746</v>
      </c>
      <c r="F18" s="251">
        <f>SUM(H18,J18,N18,O18,P18,R18)</f>
        <v>45615</v>
      </c>
      <c r="G18" s="298">
        <v>45642</v>
      </c>
      <c r="H18" s="252">
        <v>44808</v>
      </c>
      <c r="I18" s="298">
        <v>6</v>
      </c>
      <c r="J18" s="252"/>
      <c r="K18" s="298">
        <v>98</v>
      </c>
      <c r="L18" s="298"/>
      <c r="M18" s="298"/>
      <c r="N18" s="255">
        <v>807</v>
      </c>
      <c r="O18" s="241"/>
      <c r="P18" s="241"/>
      <c r="Q18" s="298"/>
      <c r="R18" s="252"/>
      <c r="S18" s="297">
        <f t="shared" si="5"/>
        <v>13277</v>
      </c>
      <c r="T18" s="251">
        <f t="shared" si="6"/>
        <v>17377</v>
      </c>
      <c r="U18" s="298">
        <v>6498</v>
      </c>
      <c r="V18" s="252">
        <v>5537</v>
      </c>
      <c r="W18" s="298">
        <v>411</v>
      </c>
      <c r="X18" s="252">
        <v>438</v>
      </c>
      <c r="Y18" s="298">
        <v>6368</v>
      </c>
      <c r="Z18" s="298"/>
      <c r="AA18" s="298"/>
      <c r="AB18" s="252">
        <v>11402</v>
      </c>
      <c r="AC18" s="252"/>
      <c r="AD18" s="252"/>
      <c r="AE18" s="298"/>
      <c r="AF18" s="257"/>
    </row>
    <row r="19" spans="1:32" s="299" customFormat="1" ht="15" customHeight="1">
      <c r="A19" s="128" t="s">
        <v>232</v>
      </c>
      <c r="B19" s="129" t="s">
        <v>495</v>
      </c>
      <c r="C19" s="119">
        <v>100812</v>
      </c>
      <c r="D19" s="226">
        <v>6</v>
      </c>
      <c r="E19" s="297">
        <f t="shared" si="4"/>
        <v>63584</v>
      </c>
      <c r="F19" s="251">
        <v>64753</v>
      </c>
      <c r="G19" s="298">
        <v>46127</v>
      </c>
      <c r="H19" s="252">
        <v>40875</v>
      </c>
      <c r="I19" s="298">
        <v>6818</v>
      </c>
      <c r="J19" s="252">
        <v>8420</v>
      </c>
      <c r="K19" s="298">
        <v>10639</v>
      </c>
      <c r="L19" s="298"/>
      <c r="M19" s="298"/>
      <c r="N19" s="241">
        <v>15458</v>
      </c>
      <c r="O19" s="241"/>
      <c r="P19" s="241"/>
      <c r="Q19" s="298"/>
      <c r="R19" s="252"/>
      <c r="S19" s="297">
        <f t="shared" si="5"/>
        <v>0</v>
      </c>
      <c r="T19" s="251">
        <f t="shared" si="6"/>
        <v>0</v>
      </c>
      <c r="U19" s="298"/>
      <c r="V19" s="252"/>
      <c r="W19" s="298"/>
      <c r="X19" s="252"/>
      <c r="Y19" s="298"/>
      <c r="Z19" s="298"/>
      <c r="AA19" s="298"/>
      <c r="AB19" s="252"/>
      <c r="AC19" s="252"/>
      <c r="AD19" s="252"/>
      <c r="AE19" s="298"/>
      <c r="AF19" s="257"/>
    </row>
    <row r="20" spans="1:32" s="299" customFormat="1" ht="15" customHeight="1">
      <c r="A20" s="128" t="s">
        <v>232</v>
      </c>
      <c r="B20" s="373" t="s">
        <v>502</v>
      </c>
      <c r="C20" s="119">
        <v>101505</v>
      </c>
      <c r="D20" s="226">
        <v>8</v>
      </c>
      <c r="E20" s="297">
        <f t="shared" si="4"/>
        <v>150764</v>
      </c>
      <c r="F20" s="251">
        <f>SUM(H20,J20,N20,O20,P20,R20)</f>
        <v>0</v>
      </c>
      <c r="G20" s="298">
        <v>127678</v>
      </c>
      <c r="H20" s="252"/>
      <c r="I20" s="298">
        <v>8932</v>
      </c>
      <c r="J20" s="252"/>
      <c r="K20" s="298">
        <v>12013</v>
      </c>
      <c r="L20" s="298">
        <v>359</v>
      </c>
      <c r="M20" s="298">
        <v>1782</v>
      </c>
      <c r="N20" s="241"/>
      <c r="O20" s="241"/>
      <c r="P20" s="241"/>
      <c r="Q20" s="298"/>
      <c r="R20" s="252"/>
      <c r="S20" s="297">
        <f t="shared" si="5"/>
        <v>0</v>
      </c>
      <c r="T20" s="251">
        <f t="shared" si="6"/>
        <v>0</v>
      </c>
      <c r="U20" s="298"/>
      <c r="V20" s="252"/>
      <c r="W20" s="298"/>
      <c r="X20" s="252"/>
      <c r="Y20" s="298"/>
      <c r="Z20" s="298"/>
      <c r="AA20" s="298"/>
      <c r="AB20" s="252"/>
      <c r="AC20" s="252"/>
      <c r="AD20" s="252"/>
      <c r="AE20" s="298"/>
      <c r="AF20" s="257"/>
    </row>
    <row r="21" spans="1:32" s="299" customFormat="1" ht="15" customHeight="1">
      <c r="A21" s="128" t="s">
        <v>232</v>
      </c>
      <c r="B21" s="129" t="s">
        <v>496</v>
      </c>
      <c r="C21" s="119">
        <v>101514</v>
      </c>
      <c r="D21" s="226">
        <v>8</v>
      </c>
      <c r="E21" s="297">
        <f t="shared" si="4"/>
        <v>186393</v>
      </c>
      <c r="F21" s="251">
        <f>SUM(H21,J21,N21,O21,P21,R21)</f>
        <v>178855</v>
      </c>
      <c r="G21" s="298">
        <v>166440</v>
      </c>
      <c r="H21" s="252">
        <v>156302</v>
      </c>
      <c r="I21" s="298">
        <v>3111</v>
      </c>
      <c r="J21" s="252">
        <v>4789</v>
      </c>
      <c r="K21" s="298">
        <v>6183</v>
      </c>
      <c r="L21" s="298"/>
      <c r="M21" s="298">
        <f>SUM(578+2986+497+3532+2600+466)</f>
        <v>10659</v>
      </c>
      <c r="N21" s="241">
        <v>7255</v>
      </c>
      <c r="O21" s="241">
        <v>1975</v>
      </c>
      <c r="P21" s="241">
        <v>8534</v>
      </c>
      <c r="Q21" s="298">
        <v>0</v>
      </c>
      <c r="R21" s="252">
        <v>0</v>
      </c>
      <c r="S21" s="297">
        <f t="shared" si="5"/>
        <v>0</v>
      </c>
      <c r="T21" s="251">
        <f t="shared" si="6"/>
        <v>0</v>
      </c>
      <c r="U21" s="298"/>
      <c r="V21" s="252"/>
      <c r="W21" s="298"/>
      <c r="X21" s="252"/>
      <c r="Y21" s="298"/>
      <c r="Z21" s="298"/>
      <c r="AA21" s="298"/>
      <c r="AB21" s="252"/>
      <c r="AC21" s="252"/>
      <c r="AD21" s="252"/>
      <c r="AE21" s="298"/>
      <c r="AF21" s="257"/>
    </row>
    <row r="22" spans="1:32" s="299" customFormat="1" ht="15" customHeight="1">
      <c r="A22" s="128" t="s">
        <v>232</v>
      </c>
      <c r="B22" s="129" t="s">
        <v>497</v>
      </c>
      <c r="C22" s="119">
        <v>102429</v>
      </c>
      <c r="D22" s="226">
        <v>9</v>
      </c>
      <c r="E22" s="297">
        <f t="shared" si="4"/>
        <v>0</v>
      </c>
      <c r="F22" s="251">
        <f>SUM(H22,J22,N22,O22,P22,R22)</f>
        <v>0</v>
      </c>
      <c r="G22" s="298"/>
      <c r="H22" s="252"/>
      <c r="I22" s="298"/>
      <c r="J22" s="252"/>
      <c r="K22" s="298"/>
      <c r="L22" s="298"/>
      <c r="M22" s="298"/>
      <c r="N22" s="241"/>
      <c r="O22" s="241"/>
      <c r="P22" s="241"/>
      <c r="Q22" s="298"/>
      <c r="R22" s="252"/>
      <c r="S22" s="297">
        <f t="shared" si="5"/>
        <v>0</v>
      </c>
      <c r="T22" s="251">
        <f t="shared" si="6"/>
        <v>0</v>
      </c>
      <c r="U22" s="298"/>
      <c r="V22" s="252"/>
      <c r="W22" s="298"/>
      <c r="X22" s="252"/>
      <c r="Y22" s="298"/>
      <c r="Z22" s="298"/>
      <c r="AA22" s="298"/>
      <c r="AB22" s="252"/>
      <c r="AC22" s="252"/>
      <c r="AD22" s="252"/>
      <c r="AE22" s="298"/>
      <c r="AF22" s="257"/>
    </row>
    <row r="23" spans="1:32" s="299" customFormat="1" ht="15" customHeight="1">
      <c r="A23" s="128" t="s">
        <v>232</v>
      </c>
      <c r="B23" s="129" t="s">
        <v>498</v>
      </c>
      <c r="C23" s="119">
        <v>102030</v>
      </c>
      <c r="D23" s="226">
        <v>9</v>
      </c>
      <c r="E23" s="297">
        <f t="shared" si="4"/>
        <v>0</v>
      </c>
      <c r="F23" s="251">
        <v>103106</v>
      </c>
      <c r="G23" s="298"/>
      <c r="H23" s="252">
        <v>95391</v>
      </c>
      <c r="I23" s="298"/>
      <c r="J23" s="252"/>
      <c r="K23" s="298"/>
      <c r="L23" s="298"/>
      <c r="M23" s="298"/>
      <c r="N23" s="241">
        <v>7715</v>
      </c>
      <c r="O23" s="241"/>
      <c r="P23" s="241"/>
      <c r="Q23" s="298"/>
      <c r="R23" s="252"/>
      <c r="S23" s="297">
        <f t="shared" si="5"/>
        <v>0</v>
      </c>
      <c r="T23" s="251">
        <f t="shared" si="6"/>
        <v>0</v>
      </c>
      <c r="U23" s="298"/>
      <c r="V23" s="252"/>
      <c r="W23" s="298"/>
      <c r="X23" s="252"/>
      <c r="Y23" s="298"/>
      <c r="Z23" s="298"/>
      <c r="AA23" s="298"/>
      <c r="AB23" s="252"/>
      <c r="AC23" s="252"/>
      <c r="AD23" s="252"/>
      <c r="AE23" s="298"/>
      <c r="AF23" s="257"/>
    </row>
    <row r="24" spans="1:32" s="299" customFormat="1" ht="15" customHeight="1">
      <c r="A24" s="128" t="s">
        <v>232</v>
      </c>
      <c r="B24" s="130" t="s">
        <v>499</v>
      </c>
      <c r="C24" s="119">
        <v>101240</v>
      </c>
      <c r="D24" s="226">
        <v>9</v>
      </c>
      <c r="E24" s="297">
        <f t="shared" si="4"/>
        <v>0</v>
      </c>
      <c r="F24" s="251">
        <f>SUM(H24,J24,N24,O24,P24,R24)</f>
        <v>0</v>
      </c>
      <c r="G24" s="298"/>
      <c r="H24" s="252"/>
      <c r="I24" s="298"/>
      <c r="J24" s="252"/>
      <c r="K24" s="298"/>
      <c r="L24" s="298"/>
      <c r="M24" s="298"/>
      <c r="N24" s="241"/>
      <c r="O24" s="241"/>
      <c r="P24" s="241"/>
      <c r="Q24" s="298"/>
      <c r="R24" s="252"/>
      <c r="S24" s="297">
        <f t="shared" si="5"/>
        <v>0</v>
      </c>
      <c r="T24" s="251">
        <f t="shared" si="6"/>
        <v>0</v>
      </c>
      <c r="U24" s="298"/>
      <c r="V24" s="252"/>
      <c r="W24" s="298"/>
      <c r="X24" s="252"/>
      <c r="Y24" s="298"/>
      <c r="Z24" s="298"/>
      <c r="AA24" s="298"/>
      <c r="AB24" s="252"/>
      <c r="AC24" s="252"/>
      <c r="AD24" s="252"/>
      <c r="AE24" s="298"/>
      <c r="AF24" s="257"/>
    </row>
    <row r="25" spans="1:32" s="299" customFormat="1" ht="15" customHeight="1">
      <c r="A25" s="128" t="s">
        <v>232</v>
      </c>
      <c r="B25" s="129" t="s">
        <v>500</v>
      </c>
      <c r="C25" s="119">
        <v>101286</v>
      </c>
      <c r="D25" s="226">
        <v>9</v>
      </c>
      <c r="E25" s="297">
        <f t="shared" si="4"/>
        <v>0</v>
      </c>
      <c r="F25" s="251">
        <f>SUM(H25,J25,N25,O25,P25,R25)</f>
        <v>93697</v>
      </c>
      <c r="G25" s="298"/>
      <c r="H25" s="252">
        <v>85355</v>
      </c>
      <c r="I25" s="298"/>
      <c r="J25" s="252"/>
      <c r="K25" s="298"/>
      <c r="L25" s="298"/>
      <c r="M25" s="298"/>
      <c r="N25" s="241">
        <v>8342</v>
      </c>
      <c r="O25" s="241"/>
      <c r="P25" s="241"/>
      <c r="Q25" s="298"/>
      <c r="R25" s="252"/>
      <c r="S25" s="297">
        <f t="shared" si="5"/>
        <v>0</v>
      </c>
      <c r="T25" s="251">
        <f t="shared" si="6"/>
        <v>0</v>
      </c>
      <c r="U25" s="298"/>
      <c r="V25" s="252"/>
      <c r="W25" s="298"/>
      <c r="X25" s="252"/>
      <c r="Y25" s="298"/>
      <c r="Z25" s="298"/>
      <c r="AA25" s="298"/>
      <c r="AB25" s="252"/>
      <c r="AC25" s="252"/>
      <c r="AD25" s="252"/>
      <c r="AE25" s="298"/>
      <c r="AF25" s="257"/>
    </row>
    <row r="26" spans="1:32" s="299" customFormat="1" ht="15" customHeight="1">
      <c r="A26" s="128" t="s">
        <v>232</v>
      </c>
      <c r="B26" s="129" t="s">
        <v>501</v>
      </c>
      <c r="C26" s="119">
        <v>101161</v>
      </c>
      <c r="D26" s="226">
        <v>9</v>
      </c>
      <c r="E26" s="297">
        <f t="shared" si="4"/>
        <v>0</v>
      </c>
      <c r="F26" s="251">
        <f>SUM(H26,J26,N26,O26,P26,R26)</f>
        <v>0</v>
      </c>
      <c r="G26" s="298"/>
      <c r="H26" s="252"/>
      <c r="I26" s="298"/>
      <c r="J26" s="252"/>
      <c r="K26" s="298"/>
      <c r="L26" s="298"/>
      <c r="M26" s="298"/>
      <c r="N26" s="241"/>
      <c r="O26" s="241"/>
      <c r="P26" s="241"/>
      <c r="Q26" s="298"/>
      <c r="R26" s="252"/>
      <c r="S26" s="297">
        <f t="shared" si="5"/>
        <v>0</v>
      </c>
      <c r="T26" s="251">
        <f t="shared" si="6"/>
        <v>0</v>
      </c>
      <c r="U26" s="298"/>
      <c r="V26" s="252"/>
      <c r="W26" s="298"/>
      <c r="X26" s="252"/>
      <c r="Y26" s="298"/>
      <c r="Z26" s="298"/>
      <c r="AA26" s="298"/>
      <c r="AB26" s="252"/>
      <c r="AC26" s="252"/>
      <c r="AD26" s="252"/>
      <c r="AE26" s="298"/>
      <c r="AF26" s="257"/>
    </row>
    <row r="27" spans="1:32" s="299" customFormat="1" ht="15" customHeight="1">
      <c r="A27" s="128" t="s">
        <v>232</v>
      </c>
      <c r="B27" s="373" t="s">
        <v>513</v>
      </c>
      <c r="C27" s="119">
        <v>101569</v>
      </c>
      <c r="D27" s="226">
        <v>9</v>
      </c>
      <c r="E27" s="297">
        <v>61475</v>
      </c>
      <c r="F27" s="251">
        <v>84108</v>
      </c>
      <c r="G27" s="298">
        <v>56767</v>
      </c>
      <c r="H27" s="252">
        <v>80474</v>
      </c>
      <c r="I27" s="298">
        <v>168</v>
      </c>
      <c r="J27" s="252">
        <v>174</v>
      </c>
      <c r="K27" s="298"/>
      <c r="L27" s="298"/>
      <c r="M27" s="298">
        <v>2540</v>
      </c>
      <c r="N27" s="241"/>
      <c r="O27" s="241"/>
      <c r="P27" s="241">
        <v>3460</v>
      </c>
      <c r="Q27" s="298"/>
      <c r="R27" s="252"/>
      <c r="S27" s="297">
        <f t="shared" si="5"/>
        <v>0</v>
      </c>
      <c r="T27" s="251">
        <f t="shared" si="6"/>
        <v>0</v>
      </c>
      <c r="U27" s="298"/>
      <c r="V27" s="252"/>
      <c r="W27" s="298"/>
      <c r="X27" s="252"/>
      <c r="Y27" s="298"/>
      <c r="Z27" s="298"/>
      <c r="AA27" s="298"/>
      <c r="AB27" s="252"/>
      <c r="AC27" s="252"/>
      <c r="AD27" s="252"/>
      <c r="AE27" s="298"/>
      <c r="AF27" s="257"/>
    </row>
    <row r="28" spans="1:32" s="299" customFormat="1" ht="15" customHeight="1">
      <c r="A28" s="128" t="s">
        <v>232</v>
      </c>
      <c r="B28" s="129" t="s">
        <v>503</v>
      </c>
      <c r="C28" s="119">
        <v>101736</v>
      </c>
      <c r="D28" s="226">
        <v>9</v>
      </c>
      <c r="E28" s="297">
        <f>SUM(G28,I28,K28,L28,M28,Q28)</f>
        <v>0</v>
      </c>
      <c r="F28" s="251">
        <f aca="true" t="shared" si="7" ref="F28:F39">SUM(H28,J28,N28,O28,P28,R28)</f>
        <v>94869</v>
      </c>
      <c r="G28" s="298"/>
      <c r="H28" s="252">
        <v>88887</v>
      </c>
      <c r="I28" s="298"/>
      <c r="J28" s="252">
        <v>1483</v>
      </c>
      <c r="K28" s="298"/>
      <c r="L28" s="298"/>
      <c r="M28" s="298"/>
      <c r="N28" s="241">
        <v>948</v>
      </c>
      <c r="O28" s="241">
        <v>798</v>
      </c>
      <c r="P28" s="241">
        <v>2753</v>
      </c>
      <c r="Q28" s="298"/>
      <c r="R28" s="252">
        <v>0</v>
      </c>
      <c r="S28" s="297">
        <f t="shared" si="5"/>
        <v>0</v>
      </c>
      <c r="T28" s="251">
        <f t="shared" si="6"/>
        <v>0</v>
      </c>
      <c r="U28" s="298"/>
      <c r="V28" s="252"/>
      <c r="W28" s="298"/>
      <c r="X28" s="252"/>
      <c r="Y28" s="298"/>
      <c r="Z28" s="298"/>
      <c r="AA28" s="298"/>
      <c r="AB28" s="252"/>
      <c r="AC28" s="252"/>
      <c r="AD28" s="252"/>
      <c r="AE28" s="298"/>
      <c r="AF28" s="257"/>
    </row>
    <row r="29" spans="1:32" s="299" customFormat="1" ht="15" customHeight="1">
      <c r="A29" s="128" t="s">
        <v>232</v>
      </c>
      <c r="B29" s="129" t="s">
        <v>504</v>
      </c>
      <c r="C29" s="119">
        <v>102067</v>
      </c>
      <c r="D29" s="226">
        <v>9</v>
      </c>
      <c r="E29" s="297">
        <f>SUM(G29,I29,K29,L29,M29,Q29)</f>
        <v>144130</v>
      </c>
      <c r="F29" s="251">
        <f t="shared" si="7"/>
        <v>0</v>
      </c>
      <c r="G29" s="298">
        <v>139805</v>
      </c>
      <c r="H29" s="252"/>
      <c r="I29" s="298"/>
      <c r="J29" s="252"/>
      <c r="K29" s="298">
        <v>4325</v>
      </c>
      <c r="L29" s="298"/>
      <c r="M29" s="298"/>
      <c r="N29" s="241"/>
      <c r="O29" s="241"/>
      <c r="P29" s="241"/>
      <c r="Q29" s="298"/>
      <c r="R29" s="252"/>
      <c r="S29" s="297">
        <f t="shared" si="5"/>
        <v>0</v>
      </c>
      <c r="T29" s="251">
        <f t="shared" si="6"/>
        <v>0</v>
      </c>
      <c r="U29" s="298"/>
      <c r="V29" s="252"/>
      <c r="W29" s="298"/>
      <c r="X29" s="252"/>
      <c r="Y29" s="298"/>
      <c r="Z29" s="298"/>
      <c r="AA29" s="298"/>
      <c r="AB29" s="252"/>
      <c r="AC29" s="252"/>
      <c r="AD29" s="252"/>
      <c r="AE29" s="298"/>
      <c r="AF29" s="257"/>
    </row>
    <row r="30" spans="1:32" s="299" customFormat="1" ht="15" customHeight="1">
      <c r="A30" s="128" t="s">
        <v>232</v>
      </c>
      <c r="B30" s="129" t="s">
        <v>505</v>
      </c>
      <c r="C30" s="119">
        <v>251260</v>
      </c>
      <c r="D30" s="226">
        <v>9</v>
      </c>
      <c r="E30" s="297">
        <f>SUM(G30,I30,K30,L30,M30,Q30)</f>
        <v>0</v>
      </c>
      <c r="F30" s="251">
        <f t="shared" si="7"/>
        <v>0</v>
      </c>
      <c r="G30" s="298"/>
      <c r="H30" s="252"/>
      <c r="I30" s="298"/>
      <c r="J30" s="252"/>
      <c r="K30" s="298"/>
      <c r="L30" s="298"/>
      <c r="M30" s="298"/>
      <c r="N30" s="241"/>
      <c r="O30" s="241"/>
      <c r="P30" s="241"/>
      <c r="Q30" s="298"/>
      <c r="R30" s="252"/>
      <c r="S30" s="297">
        <f t="shared" si="5"/>
        <v>0</v>
      </c>
      <c r="T30" s="251">
        <f t="shared" si="6"/>
        <v>0</v>
      </c>
      <c r="U30" s="298"/>
      <c r="V30" s="252"/>
      <c r="W30" s="298"/>
      <c r="X30" s="252"/>
      <c r="Y30" s="298"/>
      <c r="Z30" s="298"/>
      <c r="AA30" s="298"/>
      <c r="AB30" s="252"/>
      <c r="AC30" s="252"/>
      <c r="AD30" s="252"/>
      <c r="AE30" s="298"/>
      <c r="AF30" s="257"/>
    </row>
    <row r="31" spans="1:32" s="299" customFormat="1" ht="15" customHeight="1">
      <c r="A31" s="128" t="s">
        <v>232</v>
      </c>
      <c r="B31" s="129" t="s">
        <v>506</v>
      </c>
      <c r="C31" s="119">
        <v>101295</v>
      </c>
      <c r="D31" s="226">
        <v>9</v>
      </c>
      <c r="E31" s="297"/>
      <c r="F31" s="251">
        <f t="shared" si="7"/>
        <v>136243</v>
      </c>
      <c r="G31" s="467"/>
      <c r="H31" s="252">
        <v>122630</v>
      </c>
      <c r="I31" s="467"/>
      <c r="J31" s="252">
        <v>5835</v>
      </c>
      <c r="K31" s="467"/>
      <c r="L31" s="298"/>
      <c r="M31" s="298"/>
      <c r="N31" s="241">
        <v>7778</v>
      </c>
      <c r="O31" s="241"/>
      <c r="P31" s="241"/>
      <c r="Q31" s="298"/>
      <c r="R31" s="252"/>
      <c r="S31" s="297">
        <f t="shared" si="5"/>
        <v>0</v>
      </c>
      <c r="T31" s="251">
        <f t="shared" si="6"/>
        <v>0</v>
      </c>
      <c r="U31" s="298"/>
      <c r="V31" s="252"/>
      <c r="W31" s="298"/>
      <c r="X31" s="252"/>
      <c r="Y31" s="298"/>
      <c r="Z31" s="298"/>
      <c r="AA31" s="298"/>
      <c r="AB31" s="252"/>
      <c r="AC31" s="252"/>
      <c r="AD31" s="252"/>
      <c r="AE31" s="298"/>
      <c r="AF31" s="257"/>
    </row>
    <row r="32" spans="1:32" s="299" customFormat="1" ht="15" customHeight="1">
      <c r="A32" s="461" t="s">
        <v>232</v>
      </c>
      <c r="B32" s="461" t="s">
        <v>507</v>
      </c>
      <c r="C32" s="462">
        <v>101949</v>
      </c>
      <c r="D32" s="463">
        <v>10</v>
      </c>
      <c r="E32" s="297">
        <f aca="true" t="shared" si="8" ref="E32:E38">SUM(G32,I32,K32,L32,M32,Q32)</f>
        <v>35779</v>
      </c>
      <c r="F32" s="251">
        <f t="shared" si="7"/>
        <v>0</v>
      </c>
      <c r="G32" s="298">
        <v>29943</v>
      </c>
      <c r="H32" s="252"/>
      <c r="I32" s="298">
        <v>4960</v>
      </c>
      <c r="J32" s="252"/>
      <c r="K32" s="298">
        <v>273</v>
      </c>
      <c r="L32" s="298">
        <v>603</v>
      </c>
      <c r="M32" s="298"/>
      <c r="N32" s="241"/>
      <c r="O32" s="241"/>
      <c r="P32" s="241"/>
      <c r="Q32" s="298"/>
      <c r="R32" s="252"/>
      <c r="S32" s="297">
        <f t="shared" si="5"/>
        <v>0</v>
      </c>
      <c r="T32" s="251">
        <f t="shared" si="6"/>
        <v>0</v>
      </c>
      <c r="U32" s="298"/>
      <c r="V32" s="252"/>
      <c r="W32" s="298"/>
      <c r="X32" s="252"/>
      <c r="Y32" s="298"/>
      <c r="Z32" s="298"/>
      <c r="AA32" s="298"/>
      <c r="AB32" s="252"/>
      <c r="AC32" s="252"/>
      <c r="AD32" s="252"/>
      <c r="AE32" s="298"/>
      <c r="AF32" s="257"/>
    </row>
    <row r="33" spans="1:32" s="299" customFormat="1" ht="15" customHeight="1">
      <c r="A33" s="461" t="s">
        <v>232</v>
      </c>
      <c r="B33" s="461" t="s">
        <v>508</v>
      </c>
      <c r="C33" s="462">
        <v>100760</v>
      </c>
      <c r="D33" s="463">
        <v>10</v>
      </c>
      <c r="E33" s="297">
        <f t="shared" si="8"/>
        <v>50806</v>
      </c>
      <c r="F33" s="251">
        <f t="shared" si="7"/>
        <v>52902</v>
      </c>
      <c r="G33" s="298">
        <v>49145</v>
      </c>
      <c r="H33" s="252">
        <v>49402</v>
      </c>
      <c r="I33" s="298">
        <v>24</v>
      </c>
      <c r="J33" s="252">
        <v>171</v>
      </c>
      <c r="K33" s="298">
        <v>1637</v>
      </c>
      <c r="L33" s="298"/>
      <c r="M33" s="298"/>
      <c r="N33" s="241">
        <v>2790</v>
      </c>
      <c r="O33" s="241"/>
      <c r="P33" s="241">
        <v>539</v>
      </c>
      <c r="Q33" s="298"/>
      <c r="R33" s="252"/>
      <c r="S33" s="297">
        <f t="shared" si="5"/>
        <v>0</v>
      </c>
      <c r="T33" s="251">
        <f t="shared" si="6"/>
        <v>0</v>
      </c>
      <c r="U33" s="298"/>
      <c r="V33" s="252"/>
      <c r="W33" s="298"/>
      <c r="X33" s="252"/>
      <c r="Y33" s="298"/>
      <c r="Z33" s="298"/>
      <c r="AA33" s="298"/>
      <c r="AB33" s="252"/>
      <c r="AC33" s="252"/>
      <c r="AD33" s="252"/>
      <c r="AE33" s="298"/>
      <c r="AF33" s="257"/>
    </row>
    <row r="34" spans="1:32" s="299" customFormat="1" ht="15" customHeight="1">
      <c r="A34" s="461" t="s">
        <v>232</v>
      </c>
      <c r="B34" s="461" t="s">
        <v>509</v>
      </c>
      <c r="C34" s="462">
        <v>101028</v>
      </c>
      <c r="D34" s="463">
        <v>10</v>
      </c>
      <c r="E34" s="297">
        <f t="shared" si="8"/>
        <v>0</v>
      </c>
      <c r="F34" s="251">
        <f t="shared" si="7"/>
        <v>0</v>
      </c>
      <c r="G34" s="298"/>
      <c r="H34" s="252"/>
      <c r="I34" s="298"/>
      <c r="J34" s="252"/>
      <c r="K34" s="298"/>
      <c r="L34" s="298"/>
      <c r="M34" s="298"/>
      <c r="N34" s="241"/>
      <c r="O34" s="241"/>
      <c r="P34" s="241"/>
      <c r="Q34" s="298"/>
      <c r="R34" s="252"/>
      <c r="S34" s="297">
        <f t="shared" si="5"/>
        <v>0</v>
      </c>
      <c r="T34" s="251">
        <f t="shared" si="6"/>
        <v>0</v>
      </c>
      <c r="U34" s="298"/>
      <c r="V34" s="252"/>
      <c r="W34" s="298"/>
      <c r="X34" s="252"/>
      <c r="Y34" s="298"/>
      <c r="Z34" s="298"/>
      <c r="AA34" s="298"/>
      <c r="AB34" s="252"/>
      <c r="AC34" s="252"/>
      <c r="AD34" s="252"/>
      <c r="AE34" s="298"/>
      <c r="AF34" s="257"/>
    </row>
    <row r="35" spans="1:32" s="299" customFormat="1" ht="15" customHeight="1">
      <c r="A35" s="461" t="s">
        <v>232</v>
      </c>
      <c r="B35" s="461" t="s">
        <v>510</v>
      </c>
      <c r="C35" s="462">
        <v>101143</v>
      </c>
      <c r="D35" s="463">
        <v>10</v>
      </c>
      <c r="E35" s="297">
        <f t="shared" si="8"/>
        <v>49703</v>
      </c>
      <c r="F35" s="251">
        <f t="shared" si="7"/>
        <v>47208</v>
      </c>
      <c r="G35" s="298">
        <v>45891</v>
      </c>
      <c r="H35" s="252">
        <v>43182</v>
      </c>
      <c r="I35" s="298">
        <v>82</v>
      </c>
      <c r="J35" s="252"/>
      <c r="K35" s="298">
        <v>3730</v>
      </c>
      <c r="L35" s="298"/>
      <c r="M35" s="298"/>
      <c r="N35" s="241">
        <v>4026</v>
      </c>
      <c r="O35" s="241"/>
      <c r="P35" s="241"/>
      <c r="Q35" s="298">
        <v>0</v>
      </c>
      <c r="R35" s="252"/>
      <c r="S35" s="297">
        <f t="shared" si="5"/>
        <v>0</v>
      </c>
      <c r="T35" s="251">
        <f t="shared" si="6"/>
        <v>0</v>
      </c>
      <c r="U35" s="298"/>
      <c r="V35" s="252"/>
      <c r="W35" s="298"/>
      <c r="X35" s="252"/>
      <c r="Y35" s="298"/>
      <c r="Z35" s="298"/>
      <c r="AA35" s="298"/>
      <c r="AB35" s="252"/>
      <c r="AC35" s="252"/>
      <c r="AD35" s="252"/>
      <c r="AE35" s="298"/>
      <c r="AF35" s="257"/>
    </row>
    <row r="36" spans="1:32" s="299" customFormat="1" ht="15" customHeight="1">
      <c r="A36" s="461" t="s">
        <v>232</v>
      </c>
      <c r="B36" s="461" t="s">
        <v>511</v>
      </c>
      <c r="C36" s="462">
        <v>101301</v>
      </c>
      <c r="D36" s="463">
        <v>10</v>
      </c>
      <c r="E36" s="297">
        <f t="shared" si="8"/>
        <v>47941</v>
      </c>
      <c r="F36" s="251">
        <f t="shared" si="7"/>
        <v>49227</v>
      </c>
      <c r="G36" s="298">
        <f>47941-K36</f>
        <v>41350</v>
      </c>
      <c r="H36" s="252">
        <f>49227-N36</f>
        <v>38171</v>
      </c>
      <c r="I36" s="298"/>
      <c r="J36" s="252"/>
      <c r="K36" s="298">
        <v>6591</v>
      </c>
      <c r="L36" s="298">
        <v>0</v>
      </c>
      <c r="M36" s="298">
        <v>0</v>
      </c>
      <c r="N36" s="241">
        <v>11056</v>
      </c>
      <c r="O36" s="241">
        <v>0</v>
      </c>
      <c r="P36" s="241">
        <v>0</v>
      </c>
      <c r="Q36" s="298">
        <v>0</v>
      </c>
      <c r="R36" s="252">
        <v>0</v>
      </c>
      <c r="S36" s="297">
        <f t="shared" si="5"/>
        <v>0</v>
      </c>
      <c r="T36" s="251">
        <f t="shared" si="6"/>
        <v>0</v>
      </c>
      <c r="U36" s="298"/>
      <c r="V36" s="252"/>
      <c r="W36" s="298"/>
      <c r="X36" s="252"/>
      <c r="Y36" s="298"/>
      <c r="Z36" s="298"/>
      <c r="AA36" s="298"/>
      <c r="AB36" s="252"/>
      <c r="AC36" s="252"/>
      <c r="AD36" s="252"/>
      <c r="AE36" s="298"/>
      <c r="AF36" s="257"/>
    </row>
    <row r="37" spans="1:32" s="299" customFormat="1" ht="15" customHeight="1">
      <c r="A37" s="461" t="s">
        <v>232</v>
      </c>
      <c r="B37" s="461" t="s">
        <v>512</v>
      </c>
      <c r="C37" s="462">
        <v>101499</v>
      </c>
      <c r="D37" s="463">
        <v>10</v>
      </c>
      <c r="E37" s="297">
        <f t="shared" si="8"/>
        <v>31845</v>
      </c>
      <c r="F37" s="251">
        <f t="shared" si="7"/>
        <v>0</v>
      </c>
      <c r="G37" s="298">
        <v>30150</v>
      </c>
      <c r="H37" s="464"/>
      <c r="I37" s="298"/>
      <c r="J37" s="252"/>
      <c r="K37" s="298">
        <v>840</v>
      </c>
      <c r="L37" s="298">
        <v>855</v>
      </c>
      <c r="M37" s="298"/>
      <c r="N37" s="469"/>
      <c r="O37" s="469"/>
      <c r="P37" s="241"/>
      <c r="Q37" s="298"/>
      <c r="R37" s="252"/>
      <c r="S37" s="297">
        <f t="shared" si="5"/>
        <v>0</v>
      </c>
      <c r="T37" s="251">
        <f t="shared" si="6"/>
        <v>0</v>
      </c>
      <c r="U37" s="298"/>
      <c r="V37" s="252"/>
      <c r="W37" s="298"/>
      <c r="X37" s="252"/>
      <c r="Y37" s="298"/>
      <c r="Z37" s="298"/>
      <c r="AA37" s="298"/>
      <c r="AB37" s="252"/>
      <c r="AC37" s="252"/>
      <c r="AD37" s="252"/>
      <c r="AE37" s="298"/>
      <c r="AF37" s="257"/>
    </row>
    <row r="38" spans="1:32" s="299" customFormat="1" ht="15" customHeight="1">
      <c r="A38" s="461" t="s">
        <v>232</v>
      </c>
      <c r="B38" s="468" t="s">
        <v>514</v>
      </c>
      <c r="C38" s="462">
        <v>101602</v>
      </c>
      <c r="D38" s="463">
        <v>10</v>
      </c>
      <c r="E38" s="297">
        <f t="shared" si="8"/>
        <v>0</v>
      </c>
      <c r="F38" s="251">
        <f t="shared" si="7"/>
        <v>0</v>
      </c>
      <c r="G38" s="298"/>
      <c r="H38" s="252"/>
      <c r="I38" s="298"/>
      <c r="J38" s="252"/>
      <c r="K38" s="298"/>
      <c r="L38" s="298"/>
      <c r="M38" s="298"/>
      <c r="N38" s="241"/>
      <c r="O38" s="241"/>
      <c r="P38" s="241"/>
      <c r="Q38" s="298"/>
      <c r="R38" s="252"/>
      <c r="S38" s="297">
        <f t="shared" si="5"/>
        <v>0</v>
      </c>
      <c r="T38" s="251">
        <f t="shared" si="6"/>
        <v>0</v>
      </c>
      <c r="U38" s="298"/>
      <c r="V38" s="252"/>
      <c r="W38" s="298"/>
      <c r="X38" s="252"/>
      <c r="Y38" s="298"/>
      <c r="Z38" s="298"/>
      <c r="AA38" s="298"/>
      <c r="AB38" s="252"/>
      <c r="AC38" s="252"/>
      <c r="AD38" s="252"/>
      <c r="AE38" s="298"/>
      <c r="AF38" s="257"/>
    </row>
    <row r="39" spans="1:32" s="299" customFormat="1" ht="15" customHeight="1">
      <c r="A39" s="461" t="s">
        <v>232</v>
      </c>
      <c r="B39" s="461" t="s">
        <v>515</v>
      </c>
      <c r="C39" s="462">
        <v>101897</v>
      </c>
      <c r="D39" s="463">
        <v>10</v>
      </c>
      <c r="E39" s="297">
        <v>28620</v>
      </c>
      <c r="F39" s="251">
        <f t="shared" si="7"/>
        <v>50826</v>
      </c>
      <c r="G39" s="467"/>
      <c r="H39" s="465">
        <v>45362</v>
      </c>
      <c r="I39" s="298"/>
      <c r="J39" s="252"/>
      <c r="K39" s="467"/>
      <c r="L39" s="298"/>
      <c r="M39" s="298"/>
      <c r="N39" s="241">
        <v>5464</v>
      </c>
      <c r="O39" s="241"/>
      <c r="P39" s="241"/>
      <c r="Q39" s="298"/>
      <c r="R39" s="252"/>
      <c r="S39" s="297">
        <f t="shared" si="5"/>
        <v>0</v>
      </c>
      <c r="T39" s="251">
        <f t="shared" si="6"/>
        <v>0</v>
      </c>
      <c r="U39" s="298"/>
      <c r="V39" s="252"/>
      <c r="W39" s="298"/>
      <c r="X39" s="252"/>
      <c r="Y39" s="298"/>
      <c r="Z39" s="298"/>
      <c r="AA39" s="298"/>
      <c r="AB39" s="252"/>
      <c r="AC39" s="252"/>
      <c r="AD39" s="252"/>
      <c r="AE39" s="298"/>
      <c r="AF39" s="257"/>
    </row>
    <row r="40" spans="1:32" s="299" customFormat="1" ht="15" customHeight="1">
      <c r="A40" s="461" t="s">
        <v>232</v>
      </c>
      <c r="B40" s="461" t="s">
        <v>516</v>
      </c>
      <c r="C40" s="462">
        <v>102076</v>
      </c>
      <c r="D40" s="463">
        <v>10</v>
      </c>
      <c r="E40" s="297">
        <f aca="true" t="shared" si="9" ref="E40:E134">SUM(G40,I40,K40,L40,M40,Q40)</f>
        <v>50237</v>
      </c>
      <c r="F40" s="251">
        <f aca="true" t="shared" si="10" ref="F40:F92">SUM(H40,J40,N40,O40,P40,R40)</f>
        <v>50766</v>
      </c>
      <c r="G40" s="298">
        <f>50237-(4210+2955+5529)</f>
        <v>37543</v>
      </c>
      <c r="H40" s="252">
        <f>50766-(6644+4321+6764)</f>
        <v>33037</v>
      </c>
      <c r="I40" s="298"/>
      <c r="J40" s="252"/>
      <c r="K40" s="298">
        <f>4210+2955+5529</f>
        <v>12694</v>
      </c>
      <c r="L40" s="298"/>
      <c r="M40" s="298"/>
      <c r="N40" s="241">
        <f>6644+4321+6764</f>
        <v>17729</v>
      </c>
      <c r="O40" s="241"/>
      <c r="P40" s="241"/>
      <c r="Q40" s="298"/>
      <c r="R40" s="252"/>
      <c r="S40" s="297">
        <f t="shared" si="5"/>
        <v>0</v>
      </c>
      <c r="T40" s="251">
        <f t="shared" si="6"/>
        <v>0</v>
      </c>
      <c r="U40" s="298"/>
      <c r="V40" s="252"/>
      <c r="W40" s="298"/>
      <c r="X40" s="252"/>
      <c r="Y40" s="298"/>
      <c r="Z40" s="298"/>
      <c r="AA40" s="298"/>
      <c r="AB40" s="252"/>
      <c r="AC40" s="252"/>
      <c r="AD40" s="252"/>
      <c r="AE40" s="298"/>
      <c r="AF40" s="257"/>
    </row>
    <row r="41" spans="1:32" s="299" customFormat="1" ht="15" customHeight="1">
      <c r="A41" s="128" t="s">
        <v>232</v>
      </c>
      <c r="B41" s="130" t="s">
        <v>517</v>
      </c>
      <c r="C41" s="119">
        <v>102313</v>
      </c>
      <c r="D41" s="226">
        <v>12</v>
      </c>
      <c r="E41" s="297">
        <f t="shared" si="9"/>
        <v>0</v>
      </c>
      <c r="F41" s="251">
        <f t="shared" si="10"/>
        <v>0</v>
      </c>
      <c r="G41" s="298"/>
      <c r="H41" s="252"/>
      <c r="I41" s="298"/>
      <c r="J41" s="252"/>
      <c r="K41" s="298"/>
      <c r="L41" s="298"/>
      <c r="M41" s="298"/>
      <c r="N41" s="241"/>
      <c r="O41" s="241"/>
      <c r="P41" s="241"/>
      <c r="Q41" s="298"/>
      <c r="R41" s="252"/>
      <c r="S41" s="297">
        <f t="shared" si="5"/>
        <v>0</v>
      </c>
      <c r="T41" s="251">
        <f t="shared" si="6"/>
        <v>0</v>
      </c>
      <c r="U41" s="298"/>
      <c r="V41" s="252"/>
      <c r="W41" s="298"/>
      <c r="X41" s="252"/>
      <c r="Y41" s="298"/>
      <c r="Z41" s="298"/>
      <c r="AA41" s="298"/>
      <c r="AB41" s="252"/>
      <c r="AC41" s="252"/>
      <c r="AD41" s="252"/>
      <c r="AE41" s="298"/>
      <c r="AF41" s="257"/>
    </row>
    <row r="42" spans="1:32" s="299" customFormat="1" ht="15" customHeight="1">
      <c r="A42" s="128" t="s">
        <v>232</v>
      </c>
      <c r="B42" s="129" t="s">
        <v>518</v>
      </c>
      <c r="C42" s="119">
        <v>101462</v>
      </c>
      <c r="D42" s="226">
        <v>13</v>
      </c>
      <c r="E42" s="297">
        <f t="shared" si="9"/>
        <v>0</v>
      </c>
      <c r="F42" s="251">
        <f t="shared" si="10"/>
        <v>0</v>
      </c>
      <c r="G42" s="298"/>
      <c r="H42" s="252"/>
      <c r="I42" s="298"/>
      <c r="J42" s="252"/>
      <c r="K42" s="298"/>
      <c r="L42" s="298"/>
      <c r="M42" s="298"/>
      <c r="N42" s="241"/>
      <c r="O42" s="241"/>
      <c r="P42" s="241"/>
      <c r="Q42" s="298"/>
      <c r="R42" s="252"/>
      <c r="S42" s="297">
        <f t="shared" si="5"/>
        <v>0</v>
      </c>
      <c r="T42" s="251">
        <f t="shared" si="6"/>
        <v>0</v>
      </c>
      <c r="U42" s="298"/>
      <c r="V42" s="252"/>
      <c r="W42" s="298"/>
      <c r="X42" s="252"/>
      <c r="Y42" s="298"/>
      <c r="Z42" s="298"/>
      <c r="AA42" s="298"/>
      <c r="AB42" s="252"/>
      <c r="AC42" s="252"/>
      <c r="AD42" s="252"/>
      <c r="AE42" s="298"/>
      <c r="AF42" s="257"/>
    </row>
    <row r="43" spans="1:32" s="299" customFormat="1" ht="15" customHeight="1">
      <c r="A43" s="128" t="s">
        <v>232</v>
      </c>
      <c r="B43" s="129" t="s">
        <v>519</v>
      </c>
      <c r="C43" s="119">
        <v>101471</v>
      </c>
      <c r="D43" s="226">
        <v>13</v>
      </c>
      <c r="E43" s="297">
        <f t="shared" si="9"/>
        <v>0</v>
      </c>
      <c r="F43" s="251">
        <f t="shared" si="10"/>
        <v>0</v>
      </c>
      <c r="G43" s="298"/>
      <c r="H43" s="252"/>
      <c r="I43" s="298"/>
      <c r="J43" s="252"/>
      <c r="K43" s="298"/>
      <c r="L43" s="298"/>
      <c r="M43" s="298"/>
      <c r="N43" s="241"/>
      <c r="O43" s="241"/>
      <c r="P43" s="241"/>
      <c r="Q43" s="298"/>
      <c r="R43" s="252"/>
      <c r="S43" s="297">
        <f t="shared" si="5"/>
        <v>0</v>
      </c>
      <c r="T43" s="251">
        <f t="shared" si="6"/>
        <v>0</v>
      </c>
      <c r="U43" s="298"/>
      <c r="V43" s="252"/>
      <c r="W43" s="298"/>
      <c r="X43" s="252"/>
      <c r="Y43" s="298"/>
      <c r="Z43" s="298"/>
      <c r="AA43" s="298"/>
      <c r="AB43" s="252"/>
      <c r="AC43" s="252"/>
      <c r="AD43" s="252"/>
      <c r="AE43" s="298"/>
      <c r="AF43" s="257"/>
    </row>
    <row r="44" spans="1:32" s="299" customFormat="1" ht="15" customHeight="1">
      <c r="A44" s="128" t="s">
        <v>232</v>
      </c>
      <c r="B44" s="129" t="s">
        <v>520</v>
      </c>
      <c r="C44" s="119">
        <v>101994</v>
      </c>
      <c r="D44" s="226">
        <v>13</v>
      </c>
      <c r="E44" s="297">
        <f t="shared" si="9"/>
        <v>0</v>
      </c>
      <c r="F44" s="251">
        <f t="shared" si="10"/>
        <v>0</v>
      </c>
      <c r="G44" s="298"/>
      <c r="H44" s="252"/>
      <c r="I44" s="298"/>
      <c r="J44" s="252"/>
      <c r="K44" s="298"/>
      <c r="L44" s="298"/>
      <c r="M44" s="298"/>
      <c r="N44" s="241"/>
      <c r="O44" s="241"/>
      <c r="P44" s="241"/>
      <c r="Q44" s="298"/>
      <c r="R44" s="252"/>
      <c r="S44" s="297">
        <f t="shared" si="5"/>
        <v>0</v>
      </c>
      <c r="T44" s="251">
        <f t="shared" si="6"/>
        <v>0</v>
      </c>
      <c r="U44" s="298"/>
      <c r="V44" s="252"/>
      <c r="W44" s="298"/>
      <c r="X44" s="252"/>
      <c r="Y44" s="298"/>
      <c r="Z44" s="298"/>
      <c r="AA44" s="298"/>
      <c r="AB44" s="252"/>
      <c r="AC44" s="252"/>
      <c r="AD44" s="252"/>
      <c r="AE44" s="298"/>
      <c r="AF44" s="257"/>
    </row>
    <row r="45" spans="1:37" s="422" customFormat="1" ht="15" customHeight="1">
      <c r="A45" s="412" t="s">
        <v>233</v>
      </c>
      <c r="B45" s="272" t="s">
        <v>694</v>
      </c>
      <c r="C45" s="413">
        <v>106397</v>
      </c>
      <c r="D45" s="414">
        <v>1</v>
      </c>
      <c r="E45" s="415">
        <f t="shared" si="9"/>
        <v>367507</v>
      </c>
      <c r="F45" s="416">
        <f t="shared" si="10"/>
        <v>386173</v>
      </c>
      <c r="G45" s="417">
        <v>362126</v>
      </c>
      <c r="H45" s="418">
        <v>374569</v>
      </c>
      <c r="I45" s="417">
        <v>3014</v>
      </c>
      <c r="J45" s="418">
        <v>8656</v>
      </c>
      <c r="K45" s="417">
        <v>307</v>
      </c>
      <c r="L45" s="417">
        <v>2060</v>
      </c>
      <c r="M45" s="417"/>
      <c r="N45" s="418">
        <v>1601</v>
      </c>
      <c r="O45" s="419">
        <v>1347</v>
      </c>
      <c r="P45" s="419">
        <v>0</v>
      </c>
      <c r="Q45" s="420"/>
      <c r="R45" s="421"/>
      <c r="S45" s="415">
        <f t="shared" si="5"/>
        <v>60829</v>
      </c>
      <c r="T45" s="416">
        <f t="shared" si="6"/>
        <v>67036</v>
      </c>
      <c r="U45" s="417">
        <v>53515</v>
      </c>
      <c r="V45" s="372">
        <v>56932</v>
      </c>
      <c r="W45" s="417">
        <v>1510</v>
      </c>
      <c r="X45" s="372">
        <v>3846</v>
      </c>
      <c r="Y45" s="417">
        <v>1038</v>
      </c>
      <c r="Z45" s="417">
        <v>4766</v>
      </c>
      <c r="AA45" s="417"/>
      <c r="AB45" s="372">
        <v>4036</v>
      </c>
      <c r="AC45" s="372">
        <v>1236</v>
      </c>
      <c r="AD45" s="372">
        <v>986</v>
      </c>
      <c r="AE45" s="420"/>
      <c r="AF45" s="421"/>
      <c r="AH45"/>
      <c r="AI45"/>
      <c r="AJ45"/>
      <c r="AK45"/>
    </row>
    <row r="46" spans="1:37" s="422" customFormat="1" ht="15" customHeight="1">
      <c r="A46" s="412" t="s">
        <v>233</v>
      </c>
      <c r="B46" s="272" t="s">
        <v>695</v>
      </c>
      <c r="C46" s="413">
        <v>106458</v>
      </c>
      <c r="D46" s="414">
        <v>3</v>
      </c>
      <c r="E46" s="415">
        <f t="shared" si="9"/>
        <v>249518</v>
      </c>
      <c r="F46" s="416">
        <f t="shared" si="10"/>
        <v>242574</v>
      </c>
      <c r="G46" s="417">
        <v>221544</v>
      </c>
      <c r="H46" s="418">
        <v>211660</v>
      </c>
      <c r="I46" s="417">
        <v>20786</v>
      </c>
      <c r="J46" s="418">
        <v>20885</v>
      </c>
      <c r="K46" s="417">
        <v>3468</v>
      </c>
      <c r="L46" s="417">
        <v>3629</v>
      </c>
      <c r="M46" s="417">
        <v>91</v>
      </c>
      <c r="N46" s="418">
        <v>5594</v>
      </c>
      <c r="O46" s="419">
        <v>4333</v>
      </c>
      <c r="P46" s="419">
        <v>102</v>
      </c>
      <c r="Q46" s="420"/>
      <c r="R46" s="421"/>
      <c r="S46" s="415">
        <f t="shared" si="5"/>
        <v>18591</v>
      </c>
      <c r="T46" s="416">
        <f t="shared" si="6"/>
        <v>21787</v>
      </c>
      <c r="U46" s="417">
        <v>15446</v>
      </c>
      <c r="V46" s="372">
        <v>18508</v>
      </c>
      <c r="W46" s="417">
        <v>1146</v>
      </c>
      <c r="X46" s="372">
        <v>994</v>
      </c>
      <c r="Y46" s="417">
        <v>1108</v>
      </c>
      <c r="Z46" s="417">
        <v>822</v>
      </c>
      <c r="AA46" s="417">
        <v>69</v>
      </c>
      <c r="AB46" s="372">
        <v>1540</v>
      </c>
      <c r="AC46" s="372">
        <v>658</v>
      </c>
      <c r="AD46" s="372">
        <v>87</v>
      </c>
      <c r="AE46" s="420"/>
      <c r="AF46" s="421"/>
      <c r="AH46"/>
      <c r="AI46"/>
      <c r="AJ46"/>
      <c r="AK46"/>
    </row>
    <row r="47" spans="1:37" s="422" customFormat="1" ht="15" customHeight="1">
      <c r="A47" s="412" t="s">
        <v>233</v>
      </c>
      <c r="B47" s="424" t="s">
        <v>696</v>
      </c>
      <c r="C47" s="413">
        <v>106245</v>
      </c>
      <c r="D47" s="414">
        <v>3</v>
      </c>
      <c r="E47" s="415">
        <f t="shared" si="9"/>
        <v>217108</v>
      </c>
      <c r="F47" s="416">
        <f t="shared" si="10"/>
        <v>215838</v>
      </c>
      <c r="G47" s="417">
        <v>171738</v>
      </c>
      <c r="H47" s="418">
        <v>159422</v>
      </c>
      <c r="I47" s="417">
        <v>10571</v>
      </c>
      <c r="J47" s="418">
        <v>11394</v>
      </c>
      <c r="K47" s="417">
        <v>25870</v>
      </c>
      <c r="L47" s="417">
        <v>129</v>
      </c>
      <c r="M47" s="417">
        <v>8800</v>
      </c>
      <c r="N47" s="418">
        <v>36327</v>
      </c>
      <c r="O47" s="419">
        <v>96</v>
      </c>
      <c r="P47" s="419">
        <v>8599</v>
      </c>
      <c r="Q47" s="420"/>
      <c r="R47" s="421"/>
      <c r="S47" s="415">
        <f t="shared" si="5"/>
        <v>39444</v>
      </c>
      <c r="T47" s="416">
        <f t="shared" si="6"/>
        <v>44049</v>
      </c>
      <c r="U47" s="417">
        <v>23022</v>
      </c>
      <c r="V47" s="372">
        <v>23250</v>
      </c>
      <c r="W47" s="417">
        <v>12339</v>
      </c>
      <c r="X47" s="372">
        <v>13415</v>
      </c>
      <c r="Y47" s="417">
        <v>3653</v>
      </c>
      <c r="Z47" s="417">
        <v>249</v>
      </c>
      <c r="AA47" s="417">
        <v>181</v>
      </c>
      <c r="AB47" s="372">
        <v>6402</v>
      </c>
      <c r="AC47" s="372">
        <v>168</v>
      </c>
      <c r="AD47" s="372">
        <v>814</v>
      </c>
      <c r="AE47" s="420"/>
      <c r="AF47" s="421"/>
      <c r="AH47"/>
      <c r="AI47"/>
      <c r="AJ47"/>
      <c r="AK47"/>
    </row>
    <row r="48" spans="1:37" s="422" customFormat="1" ht="15" customHeight="1">
      <c r="A48" s="412" t="s">
        <v>233</v>
      </c>
      <c r="B48" s="424" t="s">
        <v>697</v>
      </c>
      <c r="C48" s="413">
        <v>106704</v>
      </c>
      <c r="D48" s="414">
        <v>3</v>
      </c>
      <c r="E48" s="415">
        <f t="shared" si="9"/>
        <v>237738</v>
      </c>
      <c r="F48" s="416">
        <f t="shared" si="10"/>
        <v>277793</v>
      </c>
      <c r="G48" s="417">
        <v>237472</v>
      </c>
      <c r="H48" s="418">
        <v>275819</v>
      </c>
      <c r="I48" s="417">
        <v>120</v>
      </c>
      <c r="J48" s="418">
        <v>879</v>
      </c>
      <c r="K48" s="417">
        <v>146</v>
      </c>
      <c r="L48" s="417"/>
      <c r="M48" s="417"/>
      <c r="N48" s="418">
        <v>0</v>
      </c>
      <c r="O48" s="419">
        <v>609</v>
      </c>
      <c r="P48" s="419">
        <v>312</v>
      </c>
      <c r="Q48" s="420"/>
      <c r="R48" s="421">
        <v>174</v>
      </c>
      <c r="S48" s="415">
        <f t="shared" si="5"/>
        <v>20317</v>
      </c>
      <c r="T48" s="416">
        <f t="shared" si="6"/>
        <v>23604</v>
      </c>
      <c r="U48" s="417">
        <v>18851</v>
      </c>
      <c r="V48" s="372">
        <v>19748</v>
      </c>
      <c r="W48" s="417">
        <v>132</v>
      </c>
      <c r="X48" s="372">
        <v>1218</v>
      </c>
      <c r="Y48" s="417">
        <v>902</v>
      </c>
      <c r="Z48" s="417">
        <v>432</v>
      </c>
      <c r="AA48" s="417"/>
      <c r="AB48" s="372"/>
      <c r="AC48" s="372">
        <v>1839</v>
      </c>
      <c r="AD48" s="372">
        <v>799</v>
      </c>
      <c r="AE48" s="420"/>
      <c r="AF48" s="421"/>
      <c r="AH48"/>
      <c r="AI48"/>
      <c r="AJ48"/>
      <c r="AK48"/>
    </row>
    <row r="49" spans="1:37" s="422" customFormat="1" ht="15" customHeight="1">
      <c r="A49" s="412" t="s">
        <v>233</v>
      </c>
      <c r="B49" s="425" t="s">
        <v>698</v>
      </c>
      <c r="C49" s="413">
        <v>106467</v>
      </c>
      <c r="D49" s="414">
        <v>5</v>
      </c>
      <c r="E49" s="415">
        <f t="shared" si="9"/>
        <v>161708</v>
      </c>
      <c r="F49" s="416">
        <f t="shared" si="10"/>
        <v>175908</v>
      </c>
      <c r="G49" s="417">
        <v>148952</v>
      </c>
      <c r="H49" s="418">
        <v>155582</v>
      </c>
      <c r="I49" s="417">
        <v>6725</v>
      </c>
      <c r="J49" s="418">
        <v>11725</v>
      </c>
      <c r="K49" s="417">
        <v>6022</v>
      </c>
      <c r="L49" s="417"/>
      <c r="M49" s="417">
        <v>9</v>
      </c>
      <c r="N49" s="418">
        <v>8469</v>
      </c>
      <c r="O49" s="419">
        <v>132</v>
      </c>
      <c r="P49" s="419"/>
      <c r="Q49" s="420"/>
      <c r="R49" s="421"/>
      <c r="S49" s="415">
        <f t="shared" si="5"/>
        <v>9627</v>
      </c>
      <c r="T49" s="416">
        <f t="shared" si="6"/>
        <v>10966</v>
      </c>
      <c r="U49" s="417">
        <v>5934</v>
      </c>
      <c r="V49" s="372">
        <v>6224</v>
      </c>
      <c r="W49" s="417">
        <v>3075</v>
      </c>
      <c r="X49" s="372">
        <v>3490</v>
      </c>
      <c r="Y49" s="417">
        <v>618</v>
      </c>
      <c r="Z49" s="417"/>
      <c r="AA49" s="417"/>
      <c r="AB49" s="372">
        <v>1192</v>
      </c>
      <c r="AC49" s="372">
        <v>60</v>
      </c>
      <c r="AD49" s="372"/>
      <c r="AE49" s="420"/>
      <c r="AF49" s="421"/>
      <c r="AH49"/>
      <c r="AI49"/>
      <c r="AJ49"/>
      <c r="AK49"/>
    </row>
    <row r="50" spans="1:37" s="422" customFormat="1" ht="15" customHeight="1">
      <c r="A50" s="412" t="s">
        <v>233</v>
      </c>
      <c r="B50" s="425" t="s">
        <v>699</v>
      </c>
      <c r="C50" s="413">
        <v>107071</v>
      </c>
      <c r="D50" s="414">
        <v>5</v>
      </c>
      <c r="E50" s="415">
        <f t="shared" si="9"/>
        <v>91818</v>
      </c>
      <c r="F50" s="416">
        <f t="shared" si="10"/>
        <v>88484</v>
      </c>
      <c r="G50" s="417">
        <v>91585</v>
      </c>
      <c r="H50" s="418">
        <v>87525</v>
      </c>
      <c r="I50" s="417">
        <v>141</v>
      </c>
      <c r="J50" s="418">
        <v>78</v>
      </c>
      <c r="K50" s="417">
        <v>89</v>
      </c>
      <c r="L50" s="417">
        <v>3</v>
      </c>
      <c r="M50" s="417"/>
      <c r="N50" s="418">
        <v>6</v>
      </c>
      <c r="O50" s="419"/>
      <c r="P50" s="419">
        <v>875</v>
      </c>
      <c r="Q50" s="420"/>
      <c r="R50" s="421"/>
      <c r="S50" s="415">
        <f t="shared" si="5"/>
        <v>6947</v>
      </c>
      <c r="T50" s="416">
        <f t="shared" si="6"/>
        <v>8870</v>
      </c>
      <c r="U50" s="417">
        <v>6641</v>
      </c>
      <c r="V50" s="372">
        <v>7688</v>
      </c>
      <c r="W50" s="417">
        <v>138</v>
      </c>
      <c r="X50" s="372">
        <v>1086</v>
      </c>
      <c r="Y50" s="417">
        <v>36</v>
      </c>
      <c r="Z50" s="417">
        <v>132</v>
      </c>
      <c r="AA50" s="417"/>
      <c r="AB50" s="372"/>
      <c r="AC50" s="372"/>
      <c r="AD50" s="372">
        <v>96</v>
      </c>
      <c r="AE50" s="420"/>
      <c r="AF50" s="421"/>
      <c r="AH50"/>
      <c r="AI50"/>
      <c r="AJ50"/>
      <c r="AK50"/>
    </row>
    <row r="51" spans="1:37" s="422" customFormat="1" ht="15" customHeight="1">
      <c r="A51" s="412" t="s">
        <v>233</v>
      </c>
      <c r="B51" s="272" t="s">
        <v>700</v>
      </c>
      <c r="C51" s="413">
        <v>107983</v>
      </c>
      <c r="D51" s="414">
        <v>5</v>
      </c>
      <c r="E51" s="415">
        <f t="shared" si="9"/>
        <v>82142</v>
      </c>
      <c r="F51" s="416">
        <f t="shared" si="10"/>
        <v>81004</v>
      </c>
      <c r="G51" s="417">
        <v>81661</v>
      </c>
      <c r="H51" s="418">
        <v>79187</v>
      </c>
      <c r="I51" s="417">
        <v>337</v>
      </c>
      <c r="J51" s="418">
        <v>1125</v>
      </c>
      <c r="K51" s="417"/>
      <c r="L51" s="417">
        <v>144</v>
      </c>
      <c r="M51" s="417"/>
      <c r="N51" s="418">
        <v>0</v>
      </c>
      <c r="O51" s="419">
        <v>692</v>
      </c>
      <c r="P51" s="419"/>
      <c r="Q51" s="420"/>
      <c r="R51" s="421"/>
      <c r="S51" s="415">
        <f t="shared" si="5"/>
        <v>2769</v>
      </c>
      <c r="T51" s="416">
        <f t="shared" si="6"/>
        <v>3723</v>
      </c>
      <c r="U51" s="417">
        <v>2475</v>
      </c>
      <c r="V51" s="372">
        <v>3162</v>
      </c>
      <c r="W51" s="417">
        <v>192</v>
      </c>
      <c r="X51" s="372">
        <v>69</v>
      </c>
      <c r="Y51" s="417"/>
      <c r="Z51" s="417">
        <v>102</v>
      </c>
      <c r="AA51" s="417"/>
      <c r="AB51" s="372"/>
      <c r="AC51" s="372">
        <v>492</v>
      </c>
      <c r="AD51" s="372"/>
      <c r="AE51" s="420"/>
      <c r="AF51" s="421"/>
      <c r="AH51"/>
      <c r="AI51"/>
      <c r="AJ51"/>
      <c r="AK51"/>
    </row>
    <row r="52" spans="1:37" s="422" customFormat="1" ht="15" customHeight="1">
      <c r="A52" s="412" t="s">
        <v>233</v>
      </c>
      <c r="B52" s="425" t="s">
        <v>701</v>
      </c>
      <c r="C52" s="413">
        <v>106485</v>
      </c>
      <c r="D52" s="414">
        <v>6</v>
      </c>
      <c r="E52" s="415">
        <f t="shared" si="9"/>
        <v>69779</v>
      </c>
      <c r="F52" s="416">
        <f t="shared" si="10"/>
        <v>73155</v>
      </c>
      <c r="G52" s="417">
        <v>62721</v>
      </c>
      <c r="H52" s="418">
        <v>57902</v>
      </c>
      <c r="I52" s="417">
        <v>3520</v>
      </c>
      <c r="J52" s="418">
        <v>8614</v>
      </c>
      <c r="K52" s="417">
        <v>1765</v>
      </c>
      <c r="L52" s="417">
        <v>1773</v>
      </c>
      <c r="M52" s="417"/>
      <c r="N52" s="418">
        <v>3396</v>
      </c>
      <c r="O52" s="419">
        <v>3243</v>
      </c>
      <c r="P52" s="419"/>
      <c r="Q52" s="420"/>
      <c r="R52" s="421"/>
      <c r="S52" s="415">
        <f t="shared" si="5"/>
        <v>3125</v>
      </c>
      <c r="T52" s="416">
        <f t="shared" si="6"/>
        <v>3443</v>
      </c>
      <c r="U52" s="417">
        <v>1763</v>
      </c>
      <c r="V52" s="372">
        <v>1496</v>
      </c>
      <c r="W52" s="417">
        <v>90</v>
      </c>
      <c r="X52" s="372">
        <v>69</v>
      </c>
      <c r="Y52" s="417">
        <v>1272</v>
      </c>
      <c r="Z52" s="417"/>
      <c r="AA52" s="417"/>
      <c r="AB52" s="372">
        <v>1878</v>
      </c>
      <c r="AC52" s="372"/>
      <c r="AD52" s="372"/>
      <c r="AE52" s="420"/>
      <c r="AF52" s="421"/>
      <c r="AH52"/>
      <c r="AI52"/>
      <c r="AJ52"/>
      <c r="AK52"/>
    </row>
    <row r="53" spans="1:37" s="422" customFormat="1" ht="15" customHeight="1">
      <c r="A53" s="412" t="s">
        <v>233</v>
      </c>
      <c r="B53" s="272" t="s">
        <v>702</v>
      </c>
      <c r="C53" s="413">
        <v>106412</v>
      </c>
      <c r="D53" s="414">
        <v>6</v>
      </c>
      <c r="E53" s="415">
        <f t="shared" si="9"/>
        <v>90671</v>
      </c>
      <c r="F53" s="416">
        <f t="shared" si="10"/>
        <v>92419</v>
      </c>
      <c r="G53" s="417">
        <v>88473</v>
      </c>
      <c r="H53" s="418">
        <v>89569</v>
      </c>
      <c r="I53" s="417">
        <v>1703</v>
      </c>
      <c r="J53" s="418">
        <v>1111</v>
      </c>
      <c r="K53" s="417"/>
      <c r="L53" s="417">
        <v>495</v>
      </c>
      <c r="M53" s="417"/>
      <c r="N53" s="418">
        <v>69</v>
      </c>
      <c r="O53" s="419">
        <v>1670</v>
      </c>
      <c r="P53" s="419"/>
      <c r="Q53" s="420"/>
      <c r="R53" s="421"/>
      <c r="S53" s="415">
        <f t="shared" si="5"/>
        <v>1704</v>
      </c>
      <c r="T53" s="416">
        <f t="shared" si="6"/>
        <v>1702</v>
      </c>
      <c r="U53" s="417">
        <v>1704</v>
      </c>
      <c r="V53" s="372">
        <v>1450</v>
      </c>
      <c r="W53" s="417"/>
      <c r="X53" s="372">
        <v>45</v>
      </c>
      <c r="Y53" s="417"/>
      <c r="Z53" s="417"/>
      <c r="AA53" s="417"/>
      <c r="AB53" s="372"/>
      <c r="AC53" s="372">
        <v>207</v>
      </c>
      <c r="AD53" s="372"/>
      <c r="AE53" s="420"/>
      <c r="AF53" s="421"/>
      <c r="AH53"/>
      <c r="AI53"/>
      <c r="AJ53"/>
      <c r="AK53"/>
    </row>
    <row r="54" spans="1:37" s="422" customFormat="1" ht="15" customHeight="1">
      <c r="A54" s="412" t="s">
        <v>233</v>
      </c>
      <c r="B54" s="425" t="s">
        <v>703</v>
      </c>
      <c r="C54" s="413">
        <v>106449</v>
      </c>
      <c r="D54" s="414">
        <v>9</v>
      </c>
      <c r="E54" s="415">
        <f t="shared" si="9"/>
        <v>76452</v>
      </c>
      <c r="F54" s="416">
        <f t="shared" si="10"/>
        <v>85076</v>
      </c>
      <c r="G54" s="417">
        <v>52299</v>
      </c>
      <c r="H54" s="418">
        <v>49861</v>
      </c>
      <c r="I54" s="417">
        <v>18076</v>
      </c>
      <c r="J54" s="418">
        <v>25391</v>
      </c>
      <c r="K54" s="417">
        <v>5786</v>
      </c>
      <c r="L54" s="417">
        <v>273</v>
      </c>
      <c r="M54" s="417">
        <v>18</v>
      </c>
      <c r="N54" s="418">
        <v>9710</v>
      </c>
      <c r="O54" s="419">
        <v>114</v>
      </c>
      <c r="P54" s="419"/>
      <c r="Q54" s="420"/>
      <c r="R54" s="421"/>
      <c r="S54" s="415">
        <f t="shared" si="5"/>
        <v>0</v>
      </c>
      <c r="T54" s="416"/>
      <c r="U54" s="417"/>
      <c r="V54" s="372"/>
      <c r="W54" s="417"/>
      <c r="X54" s="372"/>
      <c r="Y54" s="417"/>
      <c r="Z54" s="417"/>
      <c r="AA54" s="417"/>
      <c r="AB54"/>
      <c r="AC54"/>
      <c r="AD54"/>
      <c r="AE54" s="420"/>
      <c r="AF54" s="227"/>
      <c r="AH54"/>
      <c r="AI54"/>
      <c r="AJ54"/>
      <c r="AK54"/>
    </row>
    <row r="55" spans="1:37" s="422" customFormat="1" ht="15" customHeight="1">
      <c r="A55" s="412" t="s">
        <v>233</v>
      </c>
      <c r="B55" s="272" t="s">
        <v>704</v>
      </c>
      <c r="C55" s="413">
        <v>367459</v>
      </c>
      <c r="D55" s="414">
        <v>9</v>
      </c>
      <c r="E55" s="415">
        <f t="shared" si="9"/>
        <v>85421</v>
      </c>
      <c r="F55" s="416">
        <f t="shared" si="10"/>
        <v>98186</v>
      </c>
      <c r="G55" s="417">
        <v>79520</v>
      </c>
      <c r="H55" s="418">
        <v>81063</v>
      </c>
      <c r="I55" s="417">
        <v>3400</v>
      </c>
      <c r="J55" s="418">
        <v>9873</v>
      </c>
      <c r="K55" s="417"/>
      <c r="L55" s="417">
        <v>36</v>
      </c>
      <c r="M55" s="417">
        <v>2465</v>
      </c>
      <c r="N55" s="418">
        <v>7120</v>
      </c>
      <c r="O55" s="419">
        <v>85</v>
      </c>
      <c r="P55" s="419">
        <v>45</v>
      </c>
      <c r="Q55" s="420"/>
      <c r="R55" s="421"/>
      <c r="S55" s="415">
        <f t="shared" si="5"/>
        <v>0</v>
      </c>
      <c r="T55" s="416">
        <f t="shared" si="6"/>
        <v>0</v>
      </c>
      <c r="U55" s="417"/>
      <c r="V55" s="372"/>
      <c r="W55" s="417"/>
      <c r="X55" s="372"/>
      <c r="Y55" s="417"/>
      <c r="Z55" s="417"/>
      <c r="AA55" s="417"/>
      <c r="AB55" s="372"/>
      <c r="AC55" s="372"/>
      <c r="AD55" s="372"/>
      <c r="AE55" s="420"/>
      <c r="AF55" s="227"/>
      <c r="AH55"/>
      <c r="AI55"/>
      <c r="AJ55"/>
      <c r="AK55"/>
    </row>
    <row r="56" spans="1:37" s="422" customFormat="1" ht="15" customHeight="1">
      <c r="A56" s="412" t="s">
        <v>233</v>
      </c>
      <c r="B56" s="424" t="s">
        <v>705</v>
      </c>
      <c r="C56" s="413">
        <v>107664</v>
      </c>
      <c r="D56" s="414">
        <v>9</v>
      </c>
      <c r="E56" s="415">
        <f t="shared" si="9"/>
        <v>129673</v>
      </c>
      <c r="F56" s="416">
        <f t="shared" si="10"/>
        <v>170901</v>
      </c>
      <c r="G56" s="417">
        <v>122409</v>
      </c>
      <c r="H56" s="418">
        <v>128144</v>
      </c>
      <c r="I56" s="417"/>
      <c r="J56" s="418">
        <v>15918</v>
      </c>
      <c r="K56" s="417">
        <v>7264</v>
      </c>
      <c r="L56" s="417"/>
      <c r="M56" s="417"/>
      <c r="N56" s="418">
        <v>26839</v>
      </c>
      <c r="O56" s="419"/>
      <c r="P56" s="419"/>
      <c r="Q56" s="420"/>
      <c r="R56" s="421"/>
      <c r="S56" s="415">
        <f t="shared" si="5"/>
        <v>0</v>
      </c>
      <c r="T56" s="416">
        <f t="shared" si="6"/>
        <v>0</v>
      </c>
      <c r="U56" s="417"/>
      <c r="V56" s="372"/>
      <c r="W56" s="417"/>
      <c r="X56" s="372"/>
      <c r="Y56" s="417"/>
      <c r="Z56" s="417"/>
      <c r="AA56" s="417"/>
      <c r="AB56" s="372"/>
      <c r="AC56" s="372"/>
      <c r="AD56" s="372"/>
      <c r="AE56" s="420"/>
      <c r="AF56" s="227"/>
      <c r="AH56"/>
      <c r="AI56"/>
      <c r="AJ56"/>
      <c r="AK56"/>
    </row>
    <row r="57" spans="1:237" s="422" customFormat="1" ht="15" customHeight="1">
      <c r="A57" s="412" t="s">
        <v>233</v>
      </c>
      <c r="B57" s="424" t="s">
        <v>706</v>
      </c>
      <c r="C57" s="413">
        <v>108092</v>
      </c>
      <c r="D57" s="414">
        <v>7</v>
      </c>
      <c r="E57" s="415">
        <f t="shared" si="9"/>
        <v>137246</v>
      </c>
      <c r="F57" s="416">
        <f t="shared" si="10"/>
        <v>149914</v>
      </c>
      <c r="G57" s="417">
        <v>125886</v>
      </c>
      <c r="H57" s="418">
        <v>135241</v>
      </c>
      <c r="I57" s="417">
        <v>2188</v>
      </c>
      <c r="J57" s="418">
        <v>2152</v>
      </c>
      <c r="K57" s="417">
        <v>9097</v>
      </c>
      <c r="L57" s="417">
        <v>75</v>
      </c>
      <c r="M57" s="417"/>
      <c r="N57" s="418">
        <v>12374</v>
      </c>
      <c r="O57" s="419">
        <v>147</v>
      </c>
      <c r="P57" s="419"/>
      <c r="Q57" s="420"/>
      <c r="R57" s="421"/>
      <c r="S57" s="415">
        <f t="shared" si="5"/>
        <v>0</v>
      </c>
      <c r="T57" s="416">
        <f t="shared" si="6"/>
        <v>0</v>
      </c>
      <c r="U57" s="417"/>
      <c r="V57" s="372"/>
      <c r="W57" s="417"/>
      <c r="X57" s="372"/>
      <c r="Y57" s="417"/>
      <c r="Z57" s="417"/>
      <c r="AA57" s="417"/>
      <c r="AB57" s="372"/>
      <c r="AC57" s="372"/>
      <c r="AD57" s="372"/>
      <c r="AE57" s="420"/>
      <c r="AF57" s="227"/>
      <c r="AH57"/>
      <c r="AI57"/>
      <c r="AJ57"/>
      <c r="AK57"/>
      <c r="AL57" s="420"/>
      <c r="AM57" s="421"/>
      <c r="AN57" s="415"/>
      <c r="AO57" s="416"/>
      <c r="AP57" s="417"/>
      <c r="AQ57" s="372"/>
      <c r="AR57" s="417"/>
      <c r="AS57" s="372"/>
      <c r="AT57" s="417"/>
      <c r="AU57" s="417"/>
      <c r="AV57" s="417"/>
      <c r="AW57" s="372"/>
      <c r="AX57" s="372"/>
      <c r="AY57" s="372"/>
      <c r="AZ57" s="420"/>
      <c r="BA57" s="227"/>
      <c r="BC57"/>
      <c r="BD57"/>
      <c r="BE57"/>
      <c r="BF57"/>
      <c r="BH57" s="423"/>
      <c r="BI57" s="423"/>
      <c r="BJ57" s="412"/>
      <c r="BK57" s="412"/>
      <c r="BL57" s="413"/>
      <c r="BM57" s="414"/>
      <c r="BN57" s="415"/>
      <c r="BO57" s="416"/>
      <c r="BP57" s="417"/>
      <c r="BQ57" s="418"/>
      <c r="BR57" s="417"/>
      <c r="BS57" s="418"/>
      <c r="BT57" s="417"/>
      <c r="BU57" s="417"/>
      <c r="BV57" s="417"/>
      <c r="BW57" s="418"/>
      <c r="BX57" s="419"/>
      <c r="BY57" s="419"/>
      <c r="BZ57" s="420"/>
      <c r="CA57" s="421"/>
      <c r="CB57" s="415"/>
      <c r="CC57" s="416"/>
      <c r="CD57" s="417"/>
      <c r="CE57" s="372"/>
      <c r="CF57" s="417"/>
      <c r="CG57" s="372"/>
      <c r="CH57" s="417"/>
      <c r="CI57" s="417"/>
      <c r="CJ57" s="417"/>
      <c r="CK57" s="372"/>
      <c r="CL57" s="372"/>
      <c r="CM57" s="372"/>
      <c r="CN57" s="420"/>
      <c r="CO57" s="227"/>
      <c r="CQ57"/>
      <c r="CR57"/>
      <c r="CS57"/>
      <c r="CT57"/>
      <c r="CV57" s="423"/>
      <c r="CW57" s="423"/>
      <c r="CX57" s="412"/>
      <c r="CY57" s="412"/>
      <c r="CZ57" s="413"/>
      <c r="DA57" s="414"/>
      <c r="DB57" s="415"/>
      <c r="DC57" s="416"/>
      <c r="DD57" s="417"/>
      <c r="DE57" s="418"/>
      <c r="DF57" s="417"/>
      <c r="DG57" s="418"/>
      <c r="DH57" s="417"/>
      <c r="DI57" s="417"/>
      <c r="DJ57" s="417"/>
      <c r="DK57" s="418"/>
      <c r="DL57" s="419"/>
      <c r="DM57" s="419"/>
      <c r="DN57" s="420"/>
      <c r="DO57" s="421"/>
      <c r="DP57" s="415"/>
      <c r="DQ57" s="416"/>
      <c r="DR57" s="417"/>
      <c r="DS57" s="372"/>
      <c r="DT57" s="417"/>
      <c r="DU57" s="372"/>
      <c r="DV57" s="417"/>
      <c r="DW57" s="417"/>
      <c r="DX57" s="417"/>
      <c r="DY57" s="372"/>
      <c r="DZ57" s="372"/>
      <c r="EA57" s="372"/>
      <c r="EB57" s="420"/>
      <c r="EC57" s="227"/>
      <c r="EE57"/>
      <c r="EF57"/>
      <c r="EG57"/>
      <c r="EH57"/>
      <c r="EJ57" s="423"/>
      <c r="EK57" s="423"/>
      <c r="EL57" s="412"/>
      <c r="EM57" s="412"/>
      <c r="EN57" s="413"/>
      <c r="EO57" s="414"/>
      <c r="EP57" s="415"/>
      <c r="EQ57" s="416"/>
      <c r="ER57" s="417"/>
      <c r="ES57" s="418"/>
      <c r="ET57" s="417"/>
      <c r="EU57" s="418"/>
      <c r="EV57" s="417"/>
      <c r="EW57" s="417"/>
      <c r="EX57" s="417"/>
      <c r="EY57" s="418"/>
      <c r="EZ57" s="419"/>
      <c r="FA57" s="419"/>
      <c r="FB57" s="420"/>
      <c r="FC57" s="421"/>
      <c r="FD57" s="415"/>
      <c r="FE57" s="416"/>
      <c r="FF57" s="417"/>
      <c r="FG57" s="372"/>
      <c r="FH57" s="417"/>
      <c r="FI57" s="372"/>
      <c r="FJ57" s="417"/>
      <c r="FK57" s="417"/>
      <c r="FL57" s="417"/>
      <c r="FM57" s="372"/>
      <c r="FN57" s="372"/>
      <c r="FO57" s="372"/>
      <c r="FP57" s="420"/>
      <c r="FQ57" s="227"/>
      <c r="FS57"/>
      <c r="FT57"/>
      <c r="FU57"/>
      <c r="FV57"/>
      <c r="FX57" s="423"/>
      <c r="FY57" s="423"/>
      <c r="FZ57" s="412"/>
      <c r="GA57" s="412"/>
      <c r="GB57" s="413"/>
      <c r="GC57" s="414"/>
      <c r="GD57" s="415"/>
      <c r="GE57" s="416"/>
      <c r="GF57" s="417"/>
      <c r="GG57" s="418"/>
      <c r="GH57" s="417"/>
      <c r="GI57" s="418"/>
      <c r="GJ57" s="417"/>
      <c r="GK57" s="417"/>
      <c r="GL57" s="417"/>
      <c r="GM57" s="418"/>
      <c r="GN57" s="419"/>
      <c r="GO57" s="419"/>
      <c r="GP57" s="420"/>
      <c r="GQ57" s="421"/>
      <c r="GR57" s="415"/>
      <c r="GS57" s="416"/>
      <c r="GT57" s="417"/>
      <c r="GU57" s="372"/>
      <c r="GV57" s="417"/>
      <c r="GW57" s="372"/>
      <c r="GX57" s="417"/>
      <c r="GY57" s="417"/>
      <c r="GZ57" s="417"/>
      <c r="HA57" s="372"/>
      <c r="HB57" s="372"/>
      <c r="HC57" s="372"/>
      <c r="HD57" s="420"/>
      <c r="HE57" s="227"/>
      <c r="HG57"/>
      <c r="HH57"/>
      <c r="HI57"/>
      <c r="HJ57"/>
      <c r="HL57" s="423"/>
      <c r="HM57" s="423"/>
      <c r="HN57" s="412"/>
      <c r="HO57" s="412"/>
      <c r="HP57" s="413"/>
      <c r="HQ57" s="414"/>
      <c r="HR57" s="415"/>
      <c r="HS57" s="416"/>
      <c r="HT57" s="417"/>
      <c r="HU57" s="418"/>
      <c r="HV57" s="417"/>
      <c r="HW57" s="418"/>
      <c r="HX57" s="417"/>
      <c r="HY57" s="417"/>
      <c r="HZ57" s="417"/>
      <c r="IA57" s="418"/>
      <c r="IB57" s="419"/>
      <c r="IC57" s="419"/>
    </row>
    <row r="58" spans="1:37" s="422" customFormat="1" ht="15" customHeight="1">
      <c r="A58" s="412" t="s">
        <v>233</v>
      </c>
      <c r="B58" s="272" t="s">
        <v>707</v>
      </c>
      <c r="C58" s="413">
        <v>107327</v>
      </c>
      <c r="D58" s="414">
        <v>10</v>
      </c>
      <c r="E58" s="415">
        <f t="shared" si="9"/>
        <v>47972</v>
      </c>
      <c r="F58" s="416">
        <f t="shared" si="10"/>
        <v>42133</v>
      </c>
      <c r="G58" s="417">
        <v>45225</v>
      </c>
      <c r="H58" s="418">
        <v>36481</v>
      </c>
      <c r="I58" s="417">
        <v>755</v>
      </c>
      <c r="J58" s="418">
        <v>2135</v>
      </c>
      <c r="K58" s="417">
        <v>912</v>
      </c>
      <c r="L58" s="417">
        <v>1080</v>
      </c>
      <c r="M58" s="417"/>
      <c r="N58" s="418">
        <v>2619</v>
      </c>
      <c r="O58" s="419">
        <v>898</v>
      </c>
      <c r="P58" s="419"/>
      <c r="Q58" s="420"/>
      <c r="R58" s="421"/>
      <c r="S58" s="415">
        <f t="shared" si="5"/>
        <v>0</v>
      </c>
      <c r="T58" s="416">
        <f t="shared" si="6"/>
        <v>0</v>
      </c>
      <c r="U58" s="417"/>
      <c r="V58" s="372"/>
      <c r="W58" s="417"/>
      <c r="X58" s="372"/>
      <c r="Y58" s="417"/>
      <c r="Z58" s="417"/>
      <c r="AA58" s="417"/>
      <c r="AB58" s="372"/>
      <c r="AC58" s="372"/>
      <c r="AD58" s="372"/>
      <c r="AE58" s="420"/>
      <c r="AF58" s="227"/>
      <c r="AH58"/>
      <c r="AI58"/>
      <c r="AJ58"/>
      <c r="AK58"/>
    </row>
    <row r="59" spans="1:37" s="422" customFormat="1" ht="15" customHeight="1">
      <c r="A59" s="412" t="s">
        <v>233</v>
      </c>
      <c r="B59" s="424" t="s">
        <v>708</v>
      </c>
      <c r="C59" s="413">
        <v>420538</v>
      </c>
      <c r="D59" s="414">
        <v>10</v>
      </c>
      <c r="E59" s="415">
        <f t="shared" si="9"/>
        <v>26809</v>
      </c>
      <c r="F59" s="416">
        <f t="shared" si="10"/>
        <v>26173</v>
      </c>
      <c r="G59" s="417">
        <v>24856</v>
      </c>
      <c r="H59" s="418">
        <v>23104</v>
      </c>
      <c r="I59" s="417">
        <v>904</v>
      </c>
      <c r="J59" s="418">
        <v>987</v>
      </c>
      <c r="K59" s="417">
        <v>1009</v>
      </c>
      <c r="L59" s="417">
        <v>40</v>
      </c>
      <c r="M59" s="417"/>
      <c r="N59" s="418">
        <v>1938</v>
      </c>
      <c r="O59" s="419">
        <v>144</v>
      </c>
      <c r="P59" s="419"/>
      <c r="Q59" s="420"/>
      <c r="R59" s="421"/>
      <c r="S59" s="415">
        <f t="shared" si="5"/>
        <v>0</v>
      </c>
      <c r="T59" s="416">
        <f t="shared" si="6"/>
        <v>0</v>
      </c>
      <c r="U59" s="417"/>
      <c r="V59" s="372"/>
      <c r="W59" s="417"/>
      <c r="X59" s="372"/>
      <c r="Y59" s="417"/>
      <c r="Z59" s="417"/>
      <c r="AA59" s="417"/>
      <c r="AB59" s="372"/>
      <c r="AC59" s="372"/>
      <c r="AD59" s="372"/>
      <c r="AE59" s="420"/>
      <c r="AF59" s="227"/>
      <c r="AH59"/>
      <c r="AI59"/>
      <c r="AJ59"/>
      <c r="AK59"/>
    </row>
    <row r="60" spans="1:37" s="422" customFormat="1" ht="15" customHeight="1">
      <c r="A60" s="412" t="s">
        <v>233</v>
      </c>
      <c r="B60" s="424" t="s">
        <v>709</v>
      </c>
      <c r="C60" s="413">
        <v>440402</v>
      </c>
      <c r="D60" s="414">
        <v>10</v>
      </c>
      <c r="E60" s="415">
        <f t="shared" si="9"/>
        <v>22868</v>
      </c>
      <c r="F60" s="416">
        <f t="shared" si="10"/>
        <v>27127</v>
      </c>
      <c r="G60" s="417">
        <v>19163</v>
      </c>
      <c r="H60" s="418">
        <v>19116</v>
      </c>
      <c r="I60" s="417">
        <v>1788</v>
      </c>
      <c r="J60" s="418">
        <v>4601</v>
      </c>
      <c r="K60" s="417">
        <v>1890</v>
      </c>
      <c r="L60" s="417">
        <v>27</v>
      </c>
      <c r="M60" s="417"/>
      <c r="N60" s="418">
        <v>3410</v>
      </c>
      <c r="O60" s="419"/>
      <c r="P60" s="419"/>
      <c r="Q60" s="420"/>
      <c r="R60" s="421"/>
      <c r="S60" s="415">
        <f t="shared" si="5"/>
        <v>0</v>
      </c>
      <c r="T60" s="416">
        <f t="shared" si="6"/>
        <v>0</v>
      </c>
      <c r="U60" s="417"/>
      <c r="V60" s="372"/>
      <c r="W60" s="417"/>
      <c r="X60" s="372"/>
      <c r="Y60" s="417"/>
      <c r="Z60" s="417"/>
      <c r="AA60" s="417"/>
      <c r="AB60" s="372"/>
      <c r="AC60" s="372"/>
      <c r="AD60" s="372"/>
      <c r="AE60" s="420"/>
      <c r="AF60" s="227"/>
      <c r="AH60"/>
      <c r="AI60"/>
      <c r="AJ60"/>
      <c r="AK60"/>
    </row>
    <row r="61" spans="1:37" s="422" customFormat="1" ht="15" customHeight="1">
      <c r="A61" s="412" t="s">
        <v>233</v>
      </c>
      <c r="B61" s="424" t="s">
        <v>710</v>
      </c>
      <c r="C61" s="413">
        <v>106625</v>
      </c>
      <c r="D61" s="414">
        <v>10</v>
      </c>
      <c r="E61" s="415">
        <f t="shared" si="9"/>
        <v>43794</v>
      </c>
      <c r="F61" s="416">
        <f t="shared" si="10"/>
        <v>47063</v>
      </c>
      <c r="G61" s="417">
        <v>35269</v>
      </c>
      <c r="H61" s="418">
        <v>31123</v>
      </c>
      <c r="I61" s="417">
        <v>5822</v>
      </c>
      <c r="J61" s="418">
        <v>11170</v>
      </c>
      <c r="K61" s="417">
        <v>2310</v>
      </c>
      <c r="L61" s="417"/>
      <c r="M61" s="417">
        <v>393</v>
      </c>
      <c r="N61" s="418">
        <v>4449</v>
      </c>
      <c r="O61" s="419">
        <v>321</v>
      </c>
      <c r="P61" s="419"/>
      <c r="Q61" s="420"/>
      <c r="R61" s="421"/>
      <c r="S61" s="415">
        <f t="shared" si="5"/>
        <v>0</v>
      </c>
      <c r="T61" s="416">
        <f t="shared" si="6"/>
        <v>0</v>
      </c>
      <c r="U61" s="417"/>
      <c r="V61" s="372"/>
      <c r="W61" s="417"/>
      <c r="X61" s="372"/>
      <c r="Y61" s="417"/>
      <c r="Z61" s="417"/>
      <c r="AA61" s="417"/>
      <c r="AB61" s="372"/>
      <c r="AC61" s="372"/>
      <c r="AD61" s="372"/>
      <c r="AE61" s="420"/>
      <c r="AF61" s="227"/>
      <c r="AH61"/>
      <c r="AI61"/>
      <c r="AJ61"/>
      <c r="AK61"/>
    </row>
    <row r="62" spans="1:37" s="422" customFormat="1" ht="15" customHeight="1">
      <c r="A62" s="412" t="s">
        <v>233</v>
      </c>
      <c r="B62" s="424" t="s">
        <v>711</v>
      </c>
      <c r="C62" s="413">
        <v>106795</v>
      </c>
      <c r="D62" s="414">
        <v>10</v>
      </c>
      <c r="E62" s="415">
        <f t="shared" si="9"/>
        <v>21741</v>
      </c>
      <c r="F62" s="416">
        <f t="shared" si="10"/>
        <v>21583</v>
      </c>
      <c r="G62" s="417">
        <v>8035</v>
      </c>
      <c r="H62" s="418">
        <v>6986</v>
      </c>
      <c r="I62" s="417">
        <v>5164</v>
      </c>
      <c r="J62" s="418">
        <v>3197</v>
      </c>
      <c r="K62" s="417">
        <v>7181</v>
      </c>
      <c r="L62" s="417">
        <v>1361</v>
      </c>
      <c r="M62" s="417"/>
      <c r="N62" s="418">
        <v>8902</v>
      </c>
      <c r="O62" s="419">
        <v>2438</v>
      </c>
      <c r="P62" s="419">
        <v>60</v>
      </c>
      <c r="Q62" s="420"/>
      <c r="R62" s="421"/>
      <c r="S62" s="415">
        <f t="shared" si="5"/>
        <v>0</v>
      </c>
      <c r="T62" s="416">
        <f t="shared" si="6"/>
        <v>0</v>
      </c>
      <c r="U62" s="417"/>
      <c r="V62" s="372"/>
      <c r="W62" s="417"/>
      <c r="X62" s="372"/>
      <c r="Y62" s="417"/>
      <c r="Z62" s="417"/>
      <c r="AA62" s="417"/>
      <c r="AB62" s="372"/>
      <c r="AC62" s="372"/>
      <c r="AD62" s="372"/>
      <c r="AE62" s="420"/>
      <c r="AF62" s="227"/>
      <c r="AH62"/>
      <c r="AI62"/>
      <c r="AJ62"/>
      <c r="AK62"/>
    </row>
    <row r="63" spans="1:37" s="422" customFormat="1" ht="15" customHeight="1">
      <c r="A63" s="412" t="s">
        <v>233</v>
      </c>
      <c r="B63" s="424" t="s">
        <v>712</v>
      </c>
      <c r="C63" s="413">
        <v>106883</v>
      </c>
      <c r="D63" s="414">
        <v>10</v>
      </c>
      <c r="E63" s="415">
        <f t="shared" si="9"/>
        <v>31856</v>
      </c>
      <c r="F63" s="416">
        <f t="shared" si="10"/>
        <v>31676</v>
      </c>
      <c r="G63" s="417">
        <v>27899</v>
      </c>
      <c r="H63" s="418">
        <v>26438</v>
      </c>
      <c r="I63" s="417">
        <v>3108</v>
      </c>
      <c r="J63" s="418">
        <v>3708</v>
      </c>
      <c r="K63" s="417">
        <v>849</v>
      </c>
      <c r="L63" s="417"/>
      <c r="M63" s="417"/>
      <c r="N63" s="418">
        <v>1509</v>
      </c>
      <c r="O63" s="419">
        <v>9</v>
      </c>
      <c r="P63" s="419">
        <v>12</v>
      </c>
      <c r="Q63" s="420"/>
      <c r="R63" s="421"/>
      <c r="S63" s="415">
        <f t="shared" si="5"/>
        <v>0</v>
      </c>
      <c r="T63" s="416">
        <f t="shared" si="6"/>
        <v>0</v>
      </c>
      <c r="U63" s="417"/>
      <c r="V63" s="372"/>
      <c r="W63" s="417"/>
      <c r="X63" s="372"/>
      <c r="Y63" s="417"/>
      <c r="Z63" s="417"/>
      <c r="AA63" s="417"/>
      <c r="AB63" s="372"/>
      <c r="AC63" s="372"/>
      <c r="AD63" s="372"/>
      <c r="AE63" s="420"/>
      <c r="AF63" s="227"/>
      <c r="AH63"/>
      <c r="AI63"/>
      <c r="AJ63"/>
      <c r="AK63"/>
    </row>
    <row r="64" spans="1:37" s="422" customFormat="1" ht="15" customHeight="1">
      <c r="A64" s="412" t="s">
        <v>233</v>
      </c>
      <c r="B64" s="424" t="s">
        <v>713</v>
      </c>
      <c r="C64" s="413">
        <v>107318</v>
      </c>
      <c r="D64" s="414">
        <v>10</v>
      </c>
      <c r="E64" s="415">
        <f t="shared" si="9"/>
        <v>20994</v>
      </c>
      <c r="F64" s="416">
        <f t="shared" si="10"/>
        <v>25020</v>
      </c>
      <c r="G64" s="417">
        <v>19765</v>
      </c>
      <c r="H64" s="418">
        <v>22617</v>
      </c>
      <c r="I64" s="417">
        <v>351</v>
      </c>
      <c r="J64" s="418">
        <v>1098</v>
      </c>
      <c r="K64" s="417">
        <v>737</v>
      </c>
      <c r="L64" s="417"/>
      <c r="M64" s="417">
        <v>141</v>
      </c>
      <c r="N64" s="418">
        <v>1305</v>
      </c>
      <c r="O64" s="419"/>
      <c r="P64" s="419"/>
      <c r="Q64" s="420"/>
      <c r="R64" s="421"/>
      <c r="S64" s="415">
        <f t="shared" si="5"/>
        <v>0</v>
      </c>
      <c r="T64" s="416">
        <f t="shared" si="6"/>
        <v>0</v>
      </c>
      <c r="U64" s="417"/>
      <c r="V64" s="372"/>
      <c r="W64" s="417"/>
      <c r="X64" s="372"/>
      <c r="Y64" s="417"/>
      <c r="Z64" s="417"/>
      <c r="AA64" s="417"/>
      <c r="AB64" s="372"/>
      <c r="AC64" s="372"/>
      <c r="AD64" s="372"/>
      <c r="AE64" s="420"/>
      <c r="AF64" s="227"/>
      <c r="AH64"/>
      <c r="AI64"/>
      <c r="AJ64"/>
      <c r="AK64"/>
    </row>
    <row r="65" spans="1:37" s="422" customFormat="1" ht="15" customHeight="1">
      <c r="A65" s="412" t="s">
        <v>233</v>
      </c>
      <c r="B65" s="272" t="s">
        <v>714</v>
      </c>
      <c r="C65" s="413">
        <v>106980</v>
      </c>
      <c r="D65" s="414">
        <v>10</v>
      </c>
      <c r="E65" s="415">
        <f t="shared" si="9"/>
        <v>56458</v>
      </c>
      <c r="F65" s="416">
        <f t="shared" si="10"/>
        <v>56753</v>
      </c>
      <c r="G65" s="417">
        <v>50342</v>
      </c>
      <c r="H65" s="418">
        <v>52159</v>
      </c>
      <c r="I65" s="417">
        <v>5069</v>
      </c>
      <c r="J65" s="418">
        <v>4104</v>
      </c>
      <c r="K65" s="417"/>
      <c r="L65" s="417"/>
      <c r="M65" s="417">
        <v>1047</v>
      </c>
      <c r="N65" s="418">
        <v>0</v>
      </c>
      <c r="O65" s="419"/>
      <c r="P65" s="419">
        <v>490</v>
      </c>
      <c r="Q65" s="420"/>
      <c r="R65" s="421"/>
      <c r="S65" s="415">
        <f t="shared" si="5"/>
        <v>0</v>
      </c>
      <c r="T65" s="416">
        <f t="shared" si="6"/>
        <v>0</v>
      </c>
      <c r="U65" s="417"/>
      <c r="V65" s="372"/>
      <c r="W65" s="417"/>
      <c r="X65" s="372"/>
      <c r="Y65" s="417"/>
      <c r="Z65" s="417"/>
      <c r="AA65" s="417"/>
      <c r="AB65" s="372"/>
      <c r="AC65" s="372"/>
      <c r="AD65" s="372"/>
      <c r="AE65" s="420"/>
      <c r="AF65" s="227"/>
      <c r="AH65"/>
      <c r="AI65"/>
      <c r="AJ65"/>
      <c r="AK65"/>
    </row>
    <row r="66" spans="1:37" s="422" customFormat="1" ht="15" customHeight="1">
      <c r="A66" s="412" t="s">
        <v>233</v>
      </c>
      <c r="B66" s="424" t="s">
        <v>715</v>
      </c>
      <c r="C66" s="413">
        <v>107460</v>
      </c>
      <c r="D66" s="414">
        <v>10</v>
      </c>
      <c r="E66" s="415">
        <f t="shared" si="9"/>
        <v>47864</v>
      </c>
      <c r="F66" s="416">
        <f t="shared" si="10"/>
        <v>49206</v>
      </c>
      <c r="G66" s="417">
        <v>44585</v>
      </c>
      <c r="H66" s="418">
        <v>44256</v>
      </c>
      <c r="I66" s="417">
        <v>1281</v>
      </c>
      <c r="J66" s="418">
        <v>1315</v>
      </c>
      <c r="K66" s="417"/>
      <c r="L66" s="417">
        <v>1998</v>
      </c>
      <c r="M66" s="417"/>
      <c r="N66" s="418">
        <v>2540</v>
      </c>
      <c r="O66" s="419">
        <v>1095</v>
      </c>
      <c r="P66" s="419"/>
      <c r="Q66" s="420"/>
      <c r="R66" s="421"/>
      <c r="S66" s="415">
        <f t="shared" si="5"/>
        <v>0</v>
      </c>
      <c r="T66" s="416">
        <f t="shared" si="6"/>
        <v>0</v>
      </c>
      <c r="U66" s="417"/>
      <c r="V66" s="372"/>
      <c r="W66" s="417"/>
      <c r="X66" s="372"/>
      <c r="Y66" s="417"/>
      <c r="Z66" s="417"/>
      <c r="AA66" s="417"/>
      <c r="AB66" s="372"/>
      <c r="AC66" s="372"/>
      <c r="AD66" s="372"/>
      <c r="AE66" s="420"/>
      <c r="AF66" s="227"/>
      <c r="AH66"/>
      <c r="AI66"/>
      <c r="AJ66"/>
      <c r="AK66"/>
    </row>
    <row r="67" spans="1:37" s="422" customFormat="1" ht="15" customHeight="1">
      <c r="A67" s="412" t="s">
        <v>233</v>
      </c>
      <c r="B67" s="424" t="s">
        <v>716</v>
      </c>
      <c r="C67" s="413">
        <v>107521</v>
      </c>
      <c r="D67" s="414">
        <v>10</v>
      </c>
      <c r="E67" s="415">
        <f t="shared" si="9"/>
        <v>23310</v>
      </c>
      <c r="F67" s="416">
        <f t="shared" si="10"/>
        <v>24183</v>
      </c>
      <c r="G67" s="417">
        <v>18401</v>
      </c>
      <c r="H67" s="418">
        <v>17978</v>
      </c>
      <c r="I67" s="417">
        <v>3146</v>
      </c>
      <c r="J67" s="418">
        <v>2697</v>
      </c>
      <c r="K67" s="417">
        <v>1763</v>
      </c>
      <c r="L67" s="417"/>
      <c r="M67" s="417"/>
      <c r="N67" s="418">
        <v>3508</v>
      </c>
      <c r="O67" s="419"/>
      <c r="P67" s="419"/>
      <c r="Q67" s="420"/>
      <c r="R67" s="421"/>
      <c r="S67" s="415">
        <f t="shared" si="5"/>
        <v>0</v>
      </c>
      <c r="T67" s="416">
        <f t="shared" si="6"/>
        <v>0</v>
      </c>
      <c r="U67" s="417"/>
      <c r="V67" s="372"/>
      <c r="W67" s="417"/>
      <c r="X67" s="372"/>
      <c r="Y67" s="417"/>
      <c r="Z67" s="417"/>
      <c r="AA67" s="417"/>
      <c r="AB67" s="372"/>
      <c r="AC67" s="372"/>
      <c r="AD67" s="372"/>
      <c r="AE67" s="420"/>
      <c r="AF67" s="227"/>
      <c r="AH67"/>
      <c r="AI67"/>
      <c r="AJ67"/>
      <c r="AK67"/>
    </row>
    <row r="68" spans="1:37" s="422" customFormat="1" ht="15" customHeight="1">
      <c r="A68" s="412" t="s">
        <v>233</v>
      </c>
      <c r="B68" s="424" t="s">
        <v>717</v>
      </c>
      <c r="C68" s="413">
        <v>107549</v>
      </c>
      <c r="D68" s="414">
        <v>10</v>
      </c>
      <c r="E68" s="415">
        <f t="shared" si="9"/>
        <v>21007</v>
      </c>
      <c r="F68" s="416">
        <f t="shared" si="10"/>
        <v>21721</v>
      </c>
      <c r="G68" s="417">
        <v>13902</v>
      </c>
      <c r="H68" s="418">
        <v>12504</v>
      </c>
      <c r="I68" s="417">
        <v>2270</v>
      </c>
      <c r="J68" s="418">
        <v>2046</v>
      </c>
      <c r="K68" s="417">
        <v>1047</v>
      </c>
      <c r="L68" s="417">
        <v>2633</v>
      </c>
      <c r="M68" s="417">
        <v>1155</v>
      </c>
      <c r="N68" s="418">
        <v>3106</v>
      </c>
      <c r="O68" s="419">
        <v>3477</v>
      </c>
      <c r="P68" s="419">
        <v>588</v>
      </c>
      <c r="Q68" s="420"/>
      <c r="R68" s="421"/>
      <c r="S68" s="415">
        <f t="shared" si="5"/>
        <v>0</v>
      </c>
      <c r="T68" s="416">
        <f t="shared" si="6"/>
        <v>0</v>
      </c>
      <c r="U68" s="417"/>
      <c r="V68" s="372"/>
      <c r="W68" s="417"/>
      <c r="X68" s="372"/>
      <c r="Y68" s="417"/>
      <c r="Z68" s="417"/>
      <c r="AA68" s="417"/>
      <c r="AB68" s="372"/>
      <c r="AC68" s="372"/>
      <c r="AD68" s="372"/>
      <c r="AE68" s="420"/>
      <c r="AF68" s="227"/>
      <c r="AH68"/>
      <c r="AI68"/>
      <c r="AJ68"/>
      <c r="AK68"/>
    </row>
    <row r="69" spans="1:37" s="422" customFormat="1" ht="15" customHeight="1">
      <c r="A69" s="412" t="s">
        <v>233</v>
      </c>
      <c r="B69" s="424" t="s">
        <v>718</v>
      </c>
      <c r="C69" s="413">
        <v>107619</v>
      </c>
      <c r="D69" s="414">
        <v>10</v>
      </c>
      <c r="E69" s="415">
        <f t="shared" si="9"/>
        <v>46205</v>
      </c>
      <c r="F69" s="416">
        <f t="shared" si="10"/>
        <v>44366</v>
      </c>
      <c r="G69" s="417">
        <v>39781</v>
      </c>
      <c r="H69" s="418">
        <v>37101</v>
      </c>
      <c r="I69" s="417">
        <v>3687</v>
      </c>
      <c r="J69" s="418">
        <v>3428</v>
      </c>
      <c r="K69" s="417"/>
      <c r="L69" s="417">
        <v>1633</v>
      </c>
      <c r="M69" s="417">
        <v>1104</v>
      </c>
      <c r="N69" s="418">
        <v>2492</v>
      </c>
      <c r="O69" s="419">
        <v>1345</v>
      </c>
      <c r="P69" s="419"/>
      <c r="Q69" s="420"/>
      <c r="R69" s="421"/>
      <c r="S69" s="415">
        <f t="shared" si="5"/>
        <v>0</v>
      </c>
      <c r="T69" s="416">
        <f t="shared" si="6"/>
        <v>0</v>
      </c>
      <c r="U69" s="417"/>
      <c r="V69" s="372"/>
      <c r="W69" s="417"/>
      <c r="X69" s="372"/>
      <c r="Y69" s="417"/>
      <c r="Z69" s="417"/>
      <c r="AA69" s="417"/>
      <c r="AB69" s="372"/>
      <c r="AC69" s="372"/>
      <c r="AD69" s="372"/>
      <c r="AE69" s="420"/>
      <c r="AF69" s="227"/>
      <c r="AH69"/>
      <c r="AI69"/>
      <c r="AJ69"/>
      <c r="AK69"/>
    </row>
    <row r="70" spans="1:37" s="422" customFormat="1" ht="15" customHeight="1">
      <c r="A70" s="412" t="s">
        <v>233</v>
      </c>
      <c r="B70" s="424" t="s">
        <v>719</v>
      </c>
      <c r="C70" s="413">
        <v>107743</v>
      </c>
      <c r="D70" s="414">
        <v>10</v>
      </c>
      <c r="E70" s="415">
        <f t="shared" si="9"/>
        <v>20523</v>
      </c>
      <c r="F70" s="416">
        <f t="shared" si="10"/>
        <v>15265</v>
      </c>
      <c r="G70" s="417">
        <v>15930</v>
      </c>
      <c r="H70" s="418">
        <v>11904</v>
      </c>
      <c r="I70" s="417">
        <v>3395</v>
      </c>
      <c r="J70" s="418">
        <v>2695</v>
      </c>
      <c r="K70" s="417">
        <v>394</v>
      </c>
      <c r="L70" s="417"/>
      <c r="M70" s="417">
        <v>804</v>
      </c>
      <c r="N70" s="418">
        <v>108</v>
      </c>
      <c r="O70" s="419"/>
      <c r="P70" s="419">
        <v>558</v>
      </c>
      <c r="Q70" s="420"/>
      <c r="R70" s="421"/>
      <c r="S70" s="415">
        <f t="shared" si="5"/>
        <v>0</v>
      </c>
      <c r="T70" s="416">
        <f t="shared" si="6"/>
        <v>0</v>
      </c>
      <c r="U70" s="417"/>
      <c r="V70" s="372"/>
      <c r="W70" s="417"/>
      <c r="X70" s="372"/>
      <c r="Y70" s="417"/>
      <c r="Z70" s="417"/>
      <c r="AA70" s="417"/>
      <c r="AB70" s="372"/>
      <c r="AC70" s="372"/>
      <c r="AD70" s="372"/>
      <c r="AE70" s="420"/>
      <c r="AF70" s="227"/>
      <c r="AH70"/>
      <c r="AI70"/>
      <c r="AJ70"/>
      <c r="AK70"/>
    </row>
    <row r="71" spans="1:37" s="422" customFormat="1" ht="15" customHeight="1">
      <c r="A71" s="412" t="s">
        <v>233</v>
      </c>
      <c r="B71" s="424" t="s">
        <v>720</v>
      </c>
      <c r="C71" s="413">
        <v>107974</v>
      </c>
      <c r="D71" s="414">
        <v>10</v>
      </c>
      <c r="E71" s="415">
        <f t="shared" si="9"/>
        <v>25764</v>
      </c>
      <c r="F71" s="416">
        <f t="shared" si="10"/>
        <v>30830</v>
      </c>
      <c r="G71" s="417">
        <v>25404</v>
      </c>
      <c r="H71" s="418">
        <v>27208</v>
      </c>
      <c r="I71" s="417"/>
      <c r="J71" s="418">
        <v>869</v>
      </c>
      <c r="K71" s="417">
        <v>330</v>
      </c>
      <c r="L71" s="417"/>
      <c r="M71" s="417">
        <v>30</v>
      </c>
      <c r="N71" s="418">
        <v>2738</v>
      </c>
      <c r="O71" s="419"/>
      <c r="P71" s="419">
        <v>15</v>
      </c>
      <c r="Q71" s="420"/>
      <c r="R71" s="421"/>
      <c r="S71" s="415">
        <f t="shared" si="5"/>
        <v>0</v>
      </c>
      <c r="T71" s="416">
        <f t="shared" si="6"/>
        <v>0</v>
      </c>
      <c r="U71" s="417"/>
      <c r="V71" s="372"/>
      <c r="W71" s="417"/>
      <c r="X71" s="372"/>
      <c r="Y71" s="417"/>
      <c r="Z71" s="417"/>
      <c r="AA71" s="417"/>
      <c r="AB71" s="372"/>
      <c r="AC71" s="372"/>
      <c r="AD71" s="372"/>
      <c r="AE71" s="420"/>
      <c r="AF71" s="227"/>
      <c r="AH71"/>
      <c r="AI71"/>
      <c r="AJ71"/>
      <c r="AK71"/>
    </row>
    <row r="72" spans="1:37" s="422" customFormat="1" ht="15" customHeight="1">
      <c r="A72" s="412" t="s">
        <v>233</v>
      </c>
      <c r="B72" s="424" t="s">
        <v>721</v>
      </c>
      <c r="C72" s="413">
        <v>107637</v>
      </c>
      <c r="D72" s="414">
        <v>10</v>
      </c>
      <c r="E72" s="415">
        <f t="shared" si="9"/>
        <v>52137</v>
      </c>
      <c r="F72" s="416">
        <f t="shared" si="10"/>
        <v>47818</v>
      </c>
      <c r="G72" s="417">
        <v>43433</v>
      </c>
      <c r="H72" s="418">
        <v>38657</v>
      </c>
      <c r="I72" s="417">
        <v>3934</v>
      </c>
      <c r="J72" s="418">
        <v>4603</v>
      </c>
      <c r="K72" s="417"/>
      <c r="L72" s="417"/>
      <c r="M72" s="417">
        <v>4770</v>
      </c>
      <c r="N72" s="418">
        <v>3469</v>
      </c>
      <c r="O72" s="419"/>
      <c r="P72" s="419">
        <v>1089</v>
      </c>
      <c r="Q72" s="420"/>
      <c r="R72" s="421"/>
      <c r="S72" s="415">
        <f t="shared" si="5"/>
        <v>0</v>
      </c>
      <c r="T72" s="416">
        <f t="shared" si="6"/>
        <v>0</v>
      </c>
      <c r="U72" s="417"/>
      <c r="V72" s="372"/>
      <c r="W72" s="417"/>
      <c r="X72" s="372"/>
      <c r="Y72" s="417"/>
      <c r="Z72" s="417"/>
      <c r="AA72" s="417"/>
      <c r="AB72" s="372"/>
      <c r="AC72" s="372"/>
      <c r="AD72" s="372"/>
      <c r="AE72" s="420"/>
      <c r="AF72" s="227"/>
      <c r="AH72"/>
      <c r="AI72"/>
      <c r="AJ72"/>
      <c r="AK72"/>
    </row>
    <row r="73" spans="1:37" s="422" customFormat="1" ht="15" customHeight="1">
      <c r="A73" s="412" t="s">
        <v>233</v>
      </c>
      <c r="B73" s="424" t="s">
        <v>722</v>
      </c>
      <c r="C73" s="413">
        <v>107992</v>
      </c>
      <c r="D73" s="414">
        <v>10</v>
      </c>
      <c r="E73" s="415">
        <f t="shared" si="9"/>
        <v>25018</v>
      </c>
      <c r="F73" s="416">
        <f t="shared" si="10"/>
        <v>32175</v>
      </c>
      <c r="G73" s="417">
        <v>15647</v>
      </c>
      <c r="H73" s="418">
        <v>11852</v>
      </c>
      <c r="I73" s="417">
        <v>3504</v>
      </c>
      <c r="J73" s="418">
        <v>10958</v>
      </c>
      <c r="K73" s="417"/>
      <c r="L73" s="417"/>
      <c r="M73" s="417">
        <v>5867</v>
      </c>
      <c r="N73" s="418">
        <v>0</v>
      </c>
      <c r="O73" s="419"/>
      <c r="P73" s="419">
        <v>9365</v>
      </c>
      <c r="Q73" s="420"/>
      <c r="R73" s="421"/>
      <c r="S73" s="415">
        <f t="shared" si="5"/>
        <v>0</v>
      </c>
      <c r="T73" s="416">
        <f t="shared" si="6"/>
        <v>0</v>
      </c>
      <c r="U73" s="417"/>
      <c r="V73" s="372"/>
      <c r="W73" s="417"/>
      <c r="X73" s="372"/>
      <c r="Y73" s="417"/>
      <c r="Z73" s="417"/>
      <c r="AA73" s="417"/>
      <c r="AB73" s="372"/>
      <c r="AC73" s="372"/>
      <c r="AD73" s="372"/>
      <c r="AE73" s="420"/>
      <c r="AF73" s="227"/>
      <c r="AH73"/>
      <c r="AI73"/>
      <c r="AJ73"/>
      <c r="AK73"/>
    </row>
    <row r="74" spans="1:37" s="422" customFormat="1" ht="15" customHeight="1">
      <c r="A74" s="412" t="s">
        <v>233</v>
      </c>
      <c r="B74" s="424" t="s">
        <v>723</v>
      </c>
      <c r="C74" s="413">
        <v>106999</v>
      </c>
      <c r="D74" s="414">
        <v>10</v>
      </c>
      <c r="E74" s="415">
        <f t="shared" si="9"/>
        <v>29847</v>
      </c>
      <c r="F74" s="416">
        <f t="shared" si="10"/>
        <v>30879</v>
      </c>
      <c r="G74" s="417">
        <v>28446</v>
      </c>
      <c r="H74" s="418">
        <v>28736</v>
      </c>
      <c r="I74" s="417">
        <v>1401</v>
      </c>
      <c r="J74" s="418">
        <v>666</v>
      </c>
      <c r="K74" s="417"/>
      <c r="L74" s="417"/>
      <c r="M74" s="417"/>
      <c r="N74" s="418">
        <v>1477</v>
      </c>
      <c r="O74" s="419"/>
      <c r="P74" s="419"/>
      <c r="Q74" s="420"/>
      <c r="R74" s="421"/>
      <c r="S74" s="415">
        <f t="shared" si="5"/>
        <v>0</v>
      </c>
      <c r="T74" s="416">
        <f t="shared" si="6"/>
        <v>0</v>
      </c>
      <c r="U74" s="417"/>
      <c r="V74" s="372"/>
      <c r="W74" s="417"/>
      <c r="X74" s="372"/>
      <c r="Y74" s="417"/>
      <c r="Z74" s="417"/>
      <c r="AA74" s="417"/>
      <c r="AB74" s="372"/>
      <c r="AC74" s="372"/>
      <c r="AD74" s="372"/>
      <c r="AE74" s="420"/>
      <c r="AF74" s="227"/>
      <c r="AH74"/>
      <c r="AI74"/>
      <c r="AJ74"/>
      <c r="AK74"/>
    </row>
    <row r="75" spans="1:37" s="422" customFormat="1" ht="15" customHeight="1">
      <c r="A75" s="412" t="s">
        <v>233</v>
      </c>
      <c r="B75" s="424" t="s">
        <v>724</v>
      </c>
      <c r="C75" s="413">
        <v>107725</v>
      </c>
      <c r="D75" s="414">
        <v>10</v>
      </c>
      <c r="E75" s="415">
        <f t="shared" si="9"/>
        <v>26367</v>
      </c>
      <c r="F75" s="416">
        <f t="shared" si="10"/>
        <v>25704</v>
      </c>
      <c r="G75" s="417">
        <v>25111</v>
      </c>
      <c r="H75" s="418">
        <v>23358</v>
      </c>
      <c r="I75" s="417">
        <v>368</v>
      </c>
      <c r="J75" s="418">
        <v>6</v>
      </c>
      <c r="K75" s="417">
        <v>888</v>
      </c>
      <c r="L75" s="417"/>
      <c r="M75" s="417"/>
      <c r="N75" s="418">
        <v>2187</v>
      </c>
      <c r="O75" s="419">
        <v>153</v>
      </c>
      <c r="P75" s="419"/>
      <c r="Q75" s="420"/>
      <c r="R75" s="421"/>
      <c r="S75" s="415">
        <f t="shared" si="5"/>
        <v>0</v>
      </c>
      <c r="T75" s="416">
        <f t="shared" si="6"/>
        <v>0</v>
      </c>
      <c r="U75" s="417"/>
      <c r="V75" s="372"/>
      <c r="W75" s="417"/>
      <c r="X75" s="372"/>
      <c r="Y75" s="417"/>
      <c r="Z75" s="417"/>
      <c r="AA75" s="417"/>
      <c r="AB75" s="372"/>
      <c r="AC75" s="372"/>
      <c r="AD75" s="372"/>
      <c r="AE75" s="420"/>
      <c r="AF75" s="227"/>
      <c r="AH75"/>
      <c r="AI75"/>
      <c r="AJ75"/>
      <c r="AK75"/>
    </row>
    <row r="76" spans="1:37" s="422" customFormat="1" ht="15" customHeight="1">
      <c r="A76" s="426" t="s">
        <v>233</v>
      </c>
      <c r="B76" s="427" t="s">
        <v>725</v>
      </c>
      <c r="C76" s="428">
        <v>107585</v>
      </c>
      <c r="D76" s="429">
        <v>10</v>
      </c>
      <c r="E76" s="430">
        <f t="shared" si="9"/>
        <v>35685</v>
      </c>
      <c r="F76" s="431">
        <f t="shared" si="10"/>
        <v>38799</v>
      </c>
      <c r="G76" s="432">
        <v>35607</v>
      </c>
      <c r="H76" s="418">
        <v>38544</v>
      </c>
      <c r="I76" s="432"/>
      <c r="J76" s="433">
        <v>0</v>
      </c>
      <c r="K76" s="432">
        <v>78</v>
      </c>
      <c r="L76" s="432"/>
      <c r="M76" s="432"/>
      <c r="N76" s="418">
        <v>255</v>
      </c>
      <c r="O76" s="434"/>
      <c r="P76" s="434"/>
      <c r="Q76" s="435"/>
      <c r="R76" s="421"/>
      <c r="S76" s="430">
        <f t="shared" si="5"/>
        <v>0</v>
      </c>
      <c r="T76" s="431">
        <f t="shared" si="6"/>
        <v>0</v>
      </c>
      <c r="U76" s="432"/>
      <c r="V76" s="436"/>
      <c r="W76" s="432"/>
      <c r="X76" s="436"/>
      <c r="Y76" s="432"/>
      <c r="Z76" s="432"/>
      <c r="AA76" s="432"/>
      <c r="AB76" s="436"/>
      <c r="AC76" s="436"/>
      <c r="AD76" s="436"/>
      <c r="AE76" s="435"/>
      <c r="AF76" s="437"/>
      <c r="AH76"/>
      <c r="AI76"/>
      <c r="AJ76"/>
      <c r="AK76"/>
    </row>
    <row r="77" spans="1:32" s="299" customFormat="1" ht="14.25" customHeight="1">
      <c r="A77" s="131" t="s">
        <v>234</v>
      </c>
      <c r="B77" s="132" t="s">
        <v>521</v>
      </c>
      <c r="C77" s="120">
        <v>130943</v>
      </c>
      <c r="D77" s="228">
        <v>1</v>
      </c>
      <c r="E77" s="278">
        <f t="shared" si="9"/>
        <v>505664</v>
      </c>
      <c r="F77" s="267">
        <f t="shared" si="10"/>
        <v>505410</v>
      </c>
      <c r="G77" s="298">
        <v>495425</v>
      </c>
      <c r="H77" s="252">
        <v>491271</v>
      </c>
      <c r="I77" s="298"/>
      <c r="J77" s="252"/>
      <c r="K77" s="298">
        <v>7706</v>
      </c>
      <c r="L77" s="298">
        <v>978</v>
      </c>
      <c r="M77" s="298">
        <v>1555</v>
      </c>
      <c r="N77" s="252"/>
      <c r="O77" s="252">
        <v>1808</v>
      </c>
      <c r="P77" s="252"/>
      <c r="Q77" s="300"/>
      <c r="R77" s="227">
        <v>12331</v>
      </c>
      <c r="S77" s="297">
        <f t="shared" si="5"/>
        <v>58920</v>
      </c>
      <c r="T77" s="267">
        <f t="shared" si="6"/>
        <v>58402</v>
      </c>
      <c r="U77" s="298">
        <v>56859</v>
      </c>
      <c r="V77" s="252">
        <v>55870</v>
      </c>
      <c r="W77" s="298"/>
      <c r="X77" s="252"/>
      <c r="Y77" s="298">
        <v>971</v>
      </c>
      <c r="Z77" s="298">
        <v>188</v>
      </c>
      <c r="AA77" s="298">
        <v>458</v>
      </c>
      <c r="AB77" s="252">
        <v>780</v>
      </c>
      <c r="AC77" s="252">
        <v>489</v>
      </c>
      <c r="AD77" s="252"/>
      <c r="AE77" s="300">
        <v>444</v>
      </c>
      <c r="AF77" s="295">
        <v>1263</v>
      </c>
    </row>
    <row r="78" spans="1:32" s="299" customFormat="1" ht="15" customHeight="1">
      <c r="A78" s="131" t="s">
        <v>234</v>
      </c>
      <c r="B78" s="132" t="s">
        <v>522</v>
      </c>
      <c r="C78" s="120">
        <v>130934</v>
      </c>
      <c r="D78" s="228">
        <v>4</v>
      </c>
      <c r="E78" s="278">
        <f t="shared" si="9"/>
        <v>0</v>
      </c>
      <c r="F78" s="267">
        <f t="shared" si="10"/>
        <v>0</v>
      </c>
      <c r="G78" s="298"/>
      <c r="H78" s="252"/>
      <c r="I78" s="298"/>
      <c r="J78" s="252"/>
      <c r="K78" s="298"/>
      <c r="L78" s="298"/>
      <c r="M78" s="298"/>
      <c r="N78" s="252"/>
      <c r="O78" s="252"/>
      <c r="P78" s="252"/>
      <c r="Q78" s="300"/>
      <c r="R78" s="227"/>
      <c r="S78" s="297">
        <f t="shared" si="5"/>
        <v>0</v>
      </c>
      <c r="T78" s="267">
        <f t="shared" si="6"/>
        <v>0</v>
      </c>
      <c r="U78" s="298"/>
      <c r="V78" s="252"/>
      <c r="W78" s="298"/>
      <c r="X78" s="252"/>
      <c r="Y78" s="298"/>
      <c r="Z78" s="298"/>
      <c r="AA78" s="298"/>
      <c r="AB78" s="252"/>
      <c r="AC78" s="252"/>
      <c r="AD78" s="252"/>
      <c r="AE78" s="300"/>
      <c r="AF78" s="295"/>
    </row>
    <row r="79" spans="1:32" s="299" customFormat="1" ht="15" customHeight="1">
      <c r="A79" s="131" t="s">
        <v>234</v>
      </c>
      <c r="B79" s="374" t="s">
        <v>523</v>
      </c>
      <c r="C79" s="120">
        <v>130891</v>
      </c>
      <c r="D79" s="228">
        <v>9</v>
      </c>
      <c r="E79" s="278">
        <f t="shared" si="9"/>
        <v>75629</v>
      </c>
      <c r="F79" s="267">
        <f t="shared" si="10"/>
        <v>76377</v>
      </c>
      <c r="G79" s="298">
        <v>68860</v>
      </c>
      <c r="H79" s="252">
        <v>69989</v>
      </c>
      <c r="I79" s="298"/>
      <c r="J79" s="252"/>
      <c r="K79" s="298">
        <v>5408</v>
      </c>
      <c r="L79" s="298">
        <v>242</v>
      </c>
      <c r="M79" s="298">
        <v>1119</v>
      </c>
      <c r="N79" s="252">
        <v>4822</v>
      </c>
      <c r="O79" s="252">
        <v>358</v>
      </c>
      <c r="P79" s="252">
        <v>1208</v>
      </c>
      <c r="Q79" s="300"/>
      <c r="R79" s="227"/>
      <c r="S79" s="297">
        <f t="shared" si="5"/>
        <v>0</v>
      </c>
      <c r="T79" s="267">
        <f t="shared" si="6"/>
        <v>0</v>
      </c>
      <c r="U79" s="298"/>
      <c r="V79" s="252"/>
      <c r="W79" s="298"/>
      <c r="X79" s="252"/>
      <c r="Y79" s="298"/>
      <c r="Z79" s="298"/>
      <c r="AA79" s="298"/>
      <c r="AB79" s="252"/>
      <c r="AC79" s="252"/>
      <c r="AD79" s="252"/>
      <c r="AE79" s="300"/>
      <c r="AF79" s="295"/>
    </row>
    <row r="80" spans="1:32" s="299" customFormat="1" ht="15" customHeight="1">
      <c r="A80" s="131" t="s">
        <v>234</v>
      </c>
      <c r="B80" s="132" t="s">
        <v>524</v>
      </c>
      <c r="C80" s="120">
        <v>130916</v>
      </c>
      <c r="D80" s="228">
        <v>9</v>
      </c>
      <c r="E80" s="278">
        <f t="shared" si="9"/>
        <v>157440</v>
      </c>
      <c r="F80" s="267">
        <f t="shared" si="10"/>
        <v>148102</v>
      </c>
      <c r="G80" s="298">
        <v>143523</v>
      </c>
      <c r="H80" s="252">
        <v>134864</v>
      </c>
      <c r="I80" s="298"/>
      <c r="J80" s="252"/>
      <c r="K80" s="298">
        <v>2975</v>
      </c>
      <c r="L80" s="298">
        <v>218</v>
      </c>
      <c r="M80" s="298">
        <v>10724</v>
      </c>
      <c r="N80" s="252">
        <v>3608</v>
      </c>
      <c r="O80" s="252">
        <v>203</v>
      </c>
      <c r="P80" s="252">
        <v>9427</v>
      </c>
      <c r="Q80" s="300"/>
      <c r="R80" s="227"/>
      <c r="S80" s="297">
        <f t="shared" si="5"/>
        <v>0</v>
      </c>
      <c r="T80" s="267">
        <f t="shared" si="6"/>
        <v>0</v>
      </c>
      <c r="U80" s="298"/>
      <c r="V80" s="252"/>
      <c r="W80" s="298"/>
      <c r="X80" s="252"/>
      <c r="Y80" s="298"/>
      <c r="Z80" s="298"/>
      <c r="AA80" s="298"/>
      <c r="AB80" s="252"/>
      <c r="AC80" s="252"/>
      <c r="AD80" s="252"/>
      <c r="AE80" s="300"/>
      <c r="AF80" s="295"/>
    </row>
    <row r="81" spans="1:32" s="299" customFormat="1" ht="15" customHeight="1">
      <c r="A81" s="131" t="s">
        <v>234</v>
      </c>
      <c r="B81" s="132" t="s">
        <v>525</v>
      </c>
      <c r="C81" s="120">
        <v>130907</v>
      </c>
      <c r="D81" s="274">
        <v>10</v>
      </c>
      <c r="E81" s="278">
        <f t="shared" si="9"/>
        <v>51324</v>
      </c>
      <c r="F81" s="267">
        <f t="shared" si="10"/>
        <v>50180</v>
      </c>
      <c r="G81" s="298">
        <v>45286</v>
      </c>
      <c r="H81" s="252">
        <v>44122</v>
      </c>
      <c r="I81" s="298"/>
      <c r="J81" s="252"/>
      <c r="K81" s="298">
        <v>4024</v>
      </c>
      <c r="L81" s="298">
        <v>129</v>
      </c>
      <c r="M81" s="298">
        <v>1885</v>
      </c>
      <c r="N81" s="252">
        <v>4239</v>
      </c>
      <c r="O81" s="252">
        <v>149</v>
      </c>
      <c r="P81" s="252">
        <v>1670</v>
      </c>
      <c r="Q81" s="300"/>
      <c r="R81" s="227"/>
      <c r="S81" s="297">
        <f t="shared" si="5"/>
        <v>0</v>
      </c>
      <c r="T81" s="267">
        <f t="shared" si="6"/>
        <v>0</v>
      </c>
      <c r="U81" s="298"/>
      <c r="V81" s="252"/>
      <c r="W81" s="298"/>
      <c r="X81" s="252"/>
      <c r="Y81" s="298"/>
      <c r="Z81" s="298"/>
      <c r="AA81" s="298"/>
      <c r="AB81" s="252"/>
      <c r="AC81" s="252"/>
      <c r="AD81" s="252"/>
      <c r="AE81" s="300"/>
      <c r="AF81" s="295"/>
    </row>
    <row r="82" spans="1:32" s="299" customFormat="1" ht="15" customHeight="1">
      <c r="A82" s="134" t="s">
        <v>235</v>
      </c>
      <c r="B82" s="134" t="s">
        <v>236</v>
      </c>
      <c r="C82" s="21">
        <v>134097</v>
      </c>
      <c r="D82" s="229">
        <v>1</v>
      </c>
      <c r="E82" s="278">
        <f t="shared" si="9"/>
        <v>838973</v>
      </c>
      <c r="F82" s="267">
        <f t="shared" si="10"/>
        <v>863991</v>
      </c>
      <c r="G82" s="298">
        <v>785010</v>
      </c>
      <c r="H82" s="252">
        <v>810552</v>
      </c>
      <c r="I82" s="298">
        <v>38708</v>
      </c>
      <c r="J82" s="252">
        <v>40153</v>
      </c>
      <c r="K82" s="298">
        <v>15255</v>
      </c>
      <c r="L82" s="298"/>
      <c r="M82" s="298"/>
      <c r="N82" s="252">
        <f>3885+9185</f>
        <v>13070</v>
      </c>
      <c r="O82" s="252"/>
      <c r="P82" s="252">
        <v>216</v>
      </c>
      <c r="Q82" s="298"/>
      <c r="R82" s="252"/>
      <c r="S82" s="297">
        <f t="shared" si="5"/>
        <v>159515</v>
      </c>
      <c r="T82" s="267">
        <f t="shared" si="6"/>
        <v>161023</v>
      </c>
      <c r="U82" s="298">
        <v>135245</v>
      </c>
      <c r="V82" s="252">
        <v>138381</v>
      </c>
      <c r="W82" s="298">
        <v>12461</v>
      </c>
      <c r="X82" s="252">
        <v>9912</v>
      </c>
      <c r="Y82" s="298">
        <v>11809</v>
      </c>
      <c r="Z82" s="298"/>
      <c r="AA82" s="298"/>
      <c r="AB82" s="252">
        <f>3511+9021</f>
        <v>12532</v>
      </c>
      <c r="AC82" s="252">
        <f>141+57</f>
        <v>198</v>
      </c>
      <c r="AD82" s="252"/>
      <c r="AE82" s="300"/>
      <c r="AF82" s="257"/>
    </row>
    <row r="83" spans="1:32" s="299" customFormat="1" ht="15" customHeight="1">
      <c r="A83" s="134" t="s">
        <v>235</v>
      </c>
      <c r="B83" s="134" t="s">
        <v>237</v>
      </c>
      <c r="C83" s="21">
        <v>134130</v>
      </c>
      <c r="D83" s="229">
        <v>1</v>
      </c>
      <c r="E83" s="278">
        <f t="shared" si="9"/>
        <v>978043</v>
      </c>
      <c r="F83" s="267">
        <f t="shared" si="10"/>
        <v>996200</v>
      </c>
      <c r="G83" s="298">
        <v>713770</v>
      </c>
      <c r="H83" s="252">
        <v>738488</v>
      </c>
      <c r="I83" s="298">
        <v>4531</v>
      </c>
      <c r="J83" s="252">
        <v>4916</v>
      </c>
      <c r="K83" s="298">
        <v>55582</v>
      </c>
      <c r="L83" s="298">
        <v>44</v>
      </c>
      <c r="M83" s="298">
        <v>197892</v>
      </c>
      <c r="N83" s="252">
        <f>42344+69</f>
        <v>42413</v>
      </c>
      <c r="O83" s="252">
        <v>168</v>
      </c>
      <c r="P83" s="252">
        <f>201067+981</f>
        <v>202048</v>
      </c>
      <c r="Q83" s="298">
        <v>6224</v>
      </c>
      <c r="R83" s="252">
        <v>8167</v>
      </c>
      <c r="S83" s="297">
        <f t="shared" si="5"/>
        <v>268504</v>
      </c>
      <c r="T83" s="267">
        <f t="shared" si="6"/>
        <v>280348</v>
      </c>
      <c r="U83" s="298">
        <v>216616</v>
      </c>
      <c r="V83" s="252">
        <v>225774</v>
      </c>
      <c r="W83" s="298">
        <v>10091</v>
      </c>
      <c r="X83" s="252">
        <v>17754</v>
      </c>
      <c r="Y83" s="298">
        <v>11510</v>
      </c>
      <c r="Z83" s="298">
        <v>1975</v>
      </c>
      <c r="AA83" s="298">
        <v>28237</v>
      </c>
      <c r="AB83" s="252">
        <f>10304+1944</f>
        <v>12248</v>
      </c>
      <c r="AC83" s="252">
        <v>1470</v>
      </c>
      <c r="AD83" s="252">
        <f>22328+750</f>
        <v>23078</v>
      </c>
      <c r="AE83" s="300">
        <v>75</v>
      </c>
      <c r="AF83" s="257">
        <v>24</v>
      </c>
    </row>
    <row r="84" spans="1:32" s="299" customFormat="1" ht="15" customHeight="1">
      <c r="A84" s="134" t="s">
        <v>235</v>
      </c>
      <c r="B84" s="134" t="s">
        <v>238</v>
      </c>
      <c r="C84" s="21">
        <v>137351</v>
      </c>
      <c r="D84" s="229">
        <v>1</v>
      </c>
      <c r="E84" s="278">
        <f t="shared" si="9"/>
        <v>835645</v>
      </c>
      <c r="F84" s="267">
        <f t="shared" si="10"/>
        <v>882814</v>
      </c>
      <c r="G84" s="298">
        <v>630632</v>
      </c>
      <c r="H84" s="252">
        <v>637692</v>
      </c>
      <c r="I84" s="298">
        <v>126820</v>
      </c>
      <c r="J84" s="252">
        <v>131446</v>
      </c>
      <c r="K84" s="298">
        <v>38482</v>
      </c>
      <c r="L84" s="298">
        <v>924</v>
      </c>
      <c r="M84" s="298">
        <v>38787</v>
      </c>
      <c r="N84" s="252">
        <f>11115+59066</f>
        <v>70181</v>
      </c>
      <c r="O84" s="252">
        <f>222+303</f>
        <v>525</v>
      </c>
      <c r="P84" s="252">
        <f>29970+13000</f>
        <v>42970</v>
      </c>
      <c r="Q84" s="298"/>
      <c r="R84" s="252"/>
      <c r="S84" s="297">
        <f t="shared" si="5"/>
        <v>145030</v>
      </c>
      <c r="T84" s="267">
        <f t="shared" si="6"/>
        <v>146051</v>
      </c>
      <c r="U84" s="298">
        <v>89782</v>
      </c>
      <c r="V84" s="252">
        <v>88516</v>
      </c>
      <c r="W84" s="298">
        <v>38527</v>
      </c>
      <c r="X84" s="252">
        <v>38048</v>
      </c>
      <c r="Y84" s="298">
        <v>14980</v>
      </c>
      <c r="Z84" s="298">
        <v>165</v>
      </c>
      <c r="AA84" s="298">
        <v>1576</v>
      </c>
      <c r="AB84" s="252">
        <f>321+18643</f>
        <v>18964</v>
      </c>
      <c r="AC84" s="252">
        <v>3</v>
      </c>
      <c r="AD84" s="252">
        <f>333+187</f>
        <v>520</v>
      </c>
      <c r="AE84" s="300"/>
      <c r="AF84" s="257"/>
    </row>
    <row r="85" spans="1:32" s="299" customFormat="1" ht="15" customHeight="1">
      <c r="A85" s="134" t="s">
        <v>235</v>
      </c>
      <c r="B85" s="134" t="s">
        <v>239</v>
      </c>
      <c r="C85" s="21">
        <v>133669</v>
      </c>
      <c r="D85" s="229">
        <v>2</v>
      </c>
      <c r="E85" s="278">
        <f t="shared" si="9"/>
        <v>486197</v>
      </c>
      <c r="F85" s="267">
        <f t="shared" si="10"/>
        <v>501164</v>
      </c>
      <c r="G85" s="298">
        <v>337543</v>
      </c>
      <c r="H85" s="252">
        <v>339700</v>
      </c>
      <c r="I85" s="298">
        <v>123020</v>
      </c>
      <c r="J85" s="252">
        <v>125999</v>
      </c>
      <c r="K85" s="298">
        <v>23431</v>
      </c>
      <c r="L85" s="298">
        <v>1460</v>
      </c>
      <c r="M85" s="298">
        <v>743</v>
      </c>
      <c r="N85" s="252">
        <f>20928+12749</f>
        <v>33677</v>
      </c>
      <c r="O85" s="252">
        <f>962+363</f>
        <v>1325</v>
      </c>
      <c r="P85" s="252">
        <f>421+42</f>
        <v>463</v>
      </c>
      <c r="Q85" s="298"/>
      <c r="R85" s="252"/>
      <c r="S85" s="297">
        <f t="shared" si="5"/>
        <v>66176</v>
      </c>
      <c r="T85" s="267">
        <f t="shared" si="6"/>
        <v>68105</v>
      </c>
      <c r="U85" s="298">
        <v>30622</v>
      </c>
      <c r="V85" s="252">
        <v>31279</v>
      </c>
      <c r="W85" s="298">
        <v>19775</v>
      </c>
      <c r="X85" s="252">
        <v>17706</v>
      </c>
      <c r="Y85" s="298">
        <v>13484</v>
      </c>
      <c r="Z85" s="298">
        <v>621</v>
      </c>
      <c r="AA85" s="298">
        <v>1674</v>
      </c>
      <c r="AB85" s="252">
        <f>8854+7842</f>
        <v>16696</v>
      </c>
      <c r="AC85" s="252">
        <f>549+393</f>
        <v>942</v>
      </c>
      <c r="AD85" s="252">
        <f>1455+27</f>
        <v>1482</v>
      </c>
      <c r="AE85" s="300"/>
      <c r="AF85" s="257"/>
    </row>
    <row r="86" spans="1:32" s="299" customFormat="1" ht="15" customHeight="1">
      <c r="A86" s="134" t="s">
        <v>235</v>
      </c>
      <c r="B86" s="134" t="s">
        <v>240</v>
      </c>
      <c r="C86" s="21">
        <v>133951</v>
      </c>
      <c r="D86" s="155">
        <v>2</v>
      </c>
      <c r="E86" s="233">
        <f t="shared" si="9"/>
        <v>729849</v>
      </c>
      <c r="F86" s="151">
        <f t="shared" si="10"/>
        <v>770778</v>
      </c>
      <c r="G86" s="302">
        <v>506299</v>
      </c>
      <c r="H86" s="146">
        <v>528531</v>
      </c>
      <c r="I86" s="302">
        <v>140379</v>
      </c>
      <c r="J86" s="146">
        <v>135095</v>
      </c>
      <c r="K86" s="302">
        <v>67628</v>
      </c>
      <c r="L86" s="302"/>
      <c r="M86" s="302">
        <v>15543</v>
      </c>
      <c r="N86" s="146">
        <f>56519+49033</f>
        <v>105552</v>
      </c>
      <c r="O86" s="146">
        <f>326+84</f>
        <v>410</v>
      </c>
      <c r="P86" s="146">
        <v>1190</v>
      </c>
      <c r="Q86" s="302"/>
      <c r="R86" s="146"/>
      <c r="S86" s="303">
        <f t="shared" si="5"/>
        <v>100744</v>
      </c>
      <c r="T86" s="151">
        <f t="shared" si="6"/>
        <v>109040</v>
      </c>
      <c r="U86" s="302">
        <v>70361</v>
      </c>
      <c r="V86" s="146">
        <v>82942</v>
      </c>
      <c r="W86" s="298">
        <v>20495</v>
      </c>
      <c r="X86" s="252">
        <v>17651</v>
      </c>
      <c r="Y86" s="298">
        <v>7297</v>
      </c>
      <c r="Z86" s="298">
        <v>481</v>
      </c>
      <c r="AA86" s="298">
        <v>2110</v>
      </c>
      <c r="AB86" s="252">
        <f>3528+4373</f>
        <v>7901</v>
      </c>
      <c r="AC86" s="252">
        <v>59</v>
      </c>
      <c r="AD86" s="252">
        <v>487</v>
      </c>
      <c r="AE86" s="300"/>
      <c r="AF86" s="172"/>
    </row>
    <row r="87" spans="1:32" s="299" customFormat="1" ht="15" customHeight="1">
      <c r="A87" s="134" t="s">
        <v>235</v>
      </c>
      <c r="B87" s="375" t="s">
        <v>241</v>
      </c>
      <c r="C87" s="21">
        <v>132903</v>
      </c>
      <c r="D87" s="155">
        <v>2</v>
      </c>
      <c r="E87" s="233">
        <f t="shared" si="9"/>
        <v>938180.5</v>
      </c>
      <c r="F87" s="151">
        <f t="shared" si="10"/>
        <v>988339</v>
      </c>
      <c r="G87" s="302">
        <v>760359.5</v>
      </c>
      <c r="H87" s="146">
        <v>766352</v>
      </c>
      <c r="I87" s="302">
        <v>73893</v>
      </c>
      <c r="J87" s="146">
        <v>87971</v>
      </c>
      <c r="K87" s="302">
        <v>96205</v>
      </c>
      <c r="L87" s="302">
        <v>4639</v>
      </c>
      <c r="M87" s="302">
        <v>3084</v>
      </c>
      <c r="N87" s="146">
        <f>32360+96288</f>
        <v>128648</v>
      </c>
      <c r="O87" s="146">
        <v>5368</v>
      </c>
      <c r="P87" s="146"/>
      <c r="Q87" s="302"/>
      <c r="R87" s="146"/>
      <c r="S87" s="303">
        <f t="shared" si="5"/>
        <v>117775</v>
      </c>
      <c r="T87" s="151">
        <f t="shared" si="6"/>
        <v>114070</v>
      </c>
      <c r="U87" s="302">
        <v>78424</v>
      </c>
      <c r="V87" s="146">
        <v>78005</v>
      </c>
      <c r="W87" s="298">
        <v>12207</v>
      </c>
      <c r="X87" s="252">
        <v>10213</v>
      </c>
      <c r="Y87" s="298">
        <v>22983</v>
      </c>
      <c r="Z87" s="298">
        <v>54</v>
      </c>
      <c r="AA87" s="298">
        <v>4107</v>
      </c>
      <c r="AB87" s="252">
        <f>9398+16454</f>
        <v>25852</v>
      </c>
      <c r="AC87" s="252"/>
      <c r="AD87" s="252"/>
      <c r="AE87" s="300"/>
      <c r="AF87" s="172"/>
    </row>
    <row r="88" spans="1:32" s="299" customFormat="1" ht="15" customHeight="1">
      <c r="A88" s="134" t="s">
        <v>235</v>
      </c>
      <c r="B88" s="134" t="s">
        <v>242</v>
      </c>
      <c r="C88" s="21">
        <v>133650</v>
      </c>
      <c r="D88" s="155">
        <v>3</v>
      </c>
      <c r="E88" s="233">
        <f t="shared" si="9"/>
        <v>307533</v>
      </c>
      <c r="F88" s="151">
        <f t="shared" si="10"/>
        <v>302893</v>
      </c>
      <c r="G88" s="302">
        <v>299538</v>
      </c>
      <c r="H88" s="146">
        <v>296055</v>
      </c>
      <c r="I88" s="302">
        <v>7995</v>
      </c>
      <c r="J88" s="146">
        <v>6838</v>
      </c>
      <c r="K88" s="302"/>
      <c r="L88" s="302"/>
      <c r="M88" s="302"/>
      <c r="N88" s="146"/>
      <c r="O88" s="146"/>
      <c r="P88" s="146"/>
      <c r="Q88" s="302"/>
      <c r="R88" s="146"/>
      <c r="S88" s="303">
        <f t="shared" si="5"/>
        <v>35112</v>
      </c>
      <c r="T88" s="151">
        <f t="shared" si="6"/>
        <v>36910</v>
      </c>
      <c r="U88" s="302">
        <v>26748</v>
      </c>
      <c r="V88" s="146">
        <v>28162</v>
      </c>
      <c r="W88" s="298">
        <v>8364</v>
      </c>
      <c r="X88" s="252">
        <v>8748</v>
      </c>
      <c r="Y88" s="298"/>
      <c r="Z88" s="298"/>
      <c r="AA88" s="298"/>
      <c r="AB88" s="252"/>
      <c r="AC88" s="252"/>
      <c r="AD88" s="252"/>
      <c r="AE88" s="300"/>
      <c r="AF88" s="172"/>
    </row>
    <row r="89" spans="1:32" s="299" customFormat="1" ht="15" customHeight="1">
      <c r="A89" s="134" t="s">
        <v>235</v>
      </c>
      <c r="B89" s="134" t="s">
        <v>243</v>
      </c>
      <c r="C89" s="21">
        <v>136172</v>
      </c>
      <c r="D89" s="155">
        <v>3</v>
      </c>
      <c r="E89" s="233">
        <f t="shared" si="9"/>
        <v>319259</v>
      </c>
      <c r="F89" s="151">
        <f t="shared" si="10"/>
        <v>339608</v>
      </c>
      <c r="G89" s="302">
        <v>301165</v>
      </c>
      <c r="H89" s="146">
        <v>324035</v>
      </c>
      <c r="I89" s="302">
        <v>3739</v>
      </c>
      <c r="J89" s="146">
        <v>4089</v>
      </c>
      <c r="K89" s="302">
        <v>10132</v>
      </c>
      <c r="L89" s="302" t="s">
        <v>14</v>
      </c>
      <c r="M89" s="302">
        <v>4223</v>
      </c>
      <c r="N89" s="146">
        <f>3092+7109</f>
        <v>10201</v>
      </c>
      <c r="O89" s="146"/>
      <c r="P89" s="146">
        <f>1210+73</f>
        <v>1283</v>
      </c>
      <c r="Q89" s="302"/>
      <c r="R89" s="146"/>
      <c r="S89" s="303">
        <f t="shared" si="5"/>
        <v>30053</v>
      </c>
      <c r="T89" s="151">
        <f t="shared" si="6"/>
        <v>28543</v>
      </c>
      <c r="U89" s="302">
        <v>24669</v>
      </c>
      <c r="V89" s="146">
        <v>24396</v>
      </c>
      <c r="W89" s="298">
        <v>2859</v>
      </c>
      <c r="X89" s="252">
        <v>2544</v>
      </c>
      <c r="Y89" s="298">
        <v>2297</v>
      </c>
      <c r="Z89" s="298"/>
      <c r="AA89" s="298">
        <v>228</v>
      </c>
      <c r="AB89" s="252">
        <f>814+570</f>
        <v>1384</v>
      </c>
      <c r="AC89" s="252">
        <v>78</v>
      </c>
      <c r="AD89" s="252">
        <f>84+57</f>
        <v>141</v>
      </c>
      <c r="AE89" s="300"/>
      <c r="AF89" s="172"/>
    </row>
    <row r="90" spans="1:32" s="299" customFormat="1" ht="15" customHeight="1">
      <c r="A90" s="134" t="s">
        <v>235</v>
      </c>
      <c r="B90" s="134" t="s">
        <v>244</v>
      </c>
      <c r="C90" s="21">
        <v>138354</v>
      </c>
      <c r="D90" s="155">
        <v>3</v>
      </c>
      <c r="E90" s="233">
        <f t="shared" si="9"/>
        <v>201888.5</v>
      </c>
      <c r="F90" s="151">
        <f t="shared" si="10"/>
        <v>204640</v>
      </c>
      <c r="G90" s="302">
        <v>185974.5</v>
      </c>
      <c r="H90" s="146">
        <v>177501</v>
      </c>
      <c r="I90" s="302">
        <v>14573</v>
      </c>
      <c r="J90" s="146">
        <v>15069</v>
      </c>
      <c r="K90" s="302">
        <v>1215</v>
      </c>
      <c r="L90" s="302"/>
      <c r="M90" s="302">
        <v>126</v>
      </c>
      <c r="N90" s="146">
        <f>12022+48</f>
        <v>12070</v>
      </c>
      <c r="O90" s="146"/>
      <c r="P90" s="146"/>
      <c r="Q90" s="302"/>
      <c r="R90" s="146"/>
      <c r="S90" s="303">
        <f t="shared" si="5"/>
        <v>19526.5</v>
      </c>
      <c r="T90" s="151">
        <f t="shared" si="6"/>
        <v>19890</v>
      </c>
      <c r="U90" s="302">
        <v>17112.5</v>
      </c>
      <c r="V90" s="146">
        <v>13775</v>
      </c>
      <c r="W90" s="298">
        <v>2414</v>
      </c>
      <c r="X90" s="252">
        <v>2607</v>
      </c>
      <c r="Y90" s="298"/>
      <c r="Z90" s="298"/>
      <c r="AA90" s="298"/>
      <c r="AB90" s="252">
        <f>3331+177</f>
        <v>3508</v>
      </c>
      <c r="AC90" s="252"/>
      <c r="AD90" s="252"/>
      <c r="AE90" s="300"/>
      <c r="AF90" s="172"/>
    </row>
    <row r="91" spans="1:32" s="299" customFormat="1" ht="15" customHeight="1">
      <c r="A91" s="134" t="s">
        <v>235</v>
      </c>
      <c r="B91" s="134" t="s">
        <v>245</v>
      </c>
      <c r="C91" s="21">
        <v>433660</v>
      </c>
      <c r="D91" s="275">
        <v>5</v>
      </c>
      <c r="E91" s="324">
        <f t="shared" si="9"/>
        <v>122029</v>
      </c>
      <c r="F91" s="151">
        <f t="shared" si="10"/>
        <v>142576</v>
      </c>
      <c r="G91" s="302">
        <v>103234</v>
      </c>
      <c r="H91" s="146">
        <v>117653</v>
      </c>
      <c r="I91" s="302">
        <v>3038</v>
      </c>
      <c r="J91" s="146">
        <v>5754</v>
      </c>
      <c r="K91" s="302">
        <v>15730</v>
      </c>
      <c r="L91" s="302">
        <v>27</v>
      </c>
      <c r="M91" s="302" t="s">
        <v>14</v>
      </c>
      <c r="N91" s="146">
        <v>18722</v>
      </c>
      <c r="O91" s="282">
        <v>33</v>
      </c>
      <c r="P91" s="282">
        <f>411+3</f>
        <v>414</v>
      </c>
      <c r="Q91" s="302"/>
      <c r="R91" s="146"/>
      <c r="S91" s="303">
        <f t="shared" si="5"/>
        <v>14837</v>
      </c>
      <c r="T91" s="151">
        <f t="shared" si="6"/>
        <v>15068</v>
      </c>
      <c r="U91" s="302">
        <v>10204</v>
      </c>
      <c r="V91" s="146">
        <v>8482</v>
      </c>
      <c r="W91" s="298">
        <v>739</v>
      </c>
      <c r="X91" s="252">
        <v>2128</v>
      </c>
      <c r="Y91" s="298">
        <v>3894</v>
      </c>
      <c r="Z91" s="298"/>
      <c r="AA91" s="298"/>
      <c r="AB91" s="252">
        <v>4458</v>
      </c>
      <c r="AC91" s="252"/>
      <c r="AD91" s="252"/>
      <c r="AE91" s="300"/>
      <c r="AF91" s="282"/>
    </row>
    <row r="92" spans="1:32" s="304" customFormat="1" ht="15" customHeight="1">
      <c r="A92" s="134" t="s">
        <v>235</v>
      </c>
      <c r="B92" s="134" t="s">
        <v>246</v>
      </c>
      <c r="C92" s="21">
        <v>262129</v>
      </c>
      <c r="D92" s="229">
        <v>6</v>
      </c>
      <c r="E92" s="278">
        <f t="shared" si="9"/>
        <v>23536</v>
      </c>
      <c r="F92" s="151">
        <f t="shared" si="10"/>
        <v>25296</v>
      </c>
      <c r="G92" s="302">
        <v>23536</v>
      </c>
      <c r="H92" s="146">
        <v>25296</v>
      </c>
      <c r="I92" s="302"/>
      <c r="J92" s="146"/>
      <c r="K92" s="302"/>
      <c r="L92" s="302"/>
      <c r="M92" s="302"/>
      <c r="N92" s="146"/>
      <c r="O92" s="151"/>
      <c r="P92" s="331"/>
      <c r="Q92" s="298"/>
      <c r="R92" s="252"/>
      <c r="S92" s="297">
        <f t="shared" si="5"/>
        <v>0</v>
      </c>
      <c r="T92" s="267">
        <f t="shared" si="6"/>
        <v>0</v>
      </c>
      <c r="U92" s="298"/>
      <c r="V92" s="252"/>
      <c r="W92" s="298"/>
      <c r="X92" s="252"/>
      <c r="Y92" s="298"/>
      <c r="Z92" s="298"/>
      <c r="AA92" s="298"/>
      <c r="AB92" s="252"/>
      <c r="AC92" s="252"/>
      <c r="AD92" s="252"/>
      <c r="AE92" s="300"/>
      <c r="AF92" s="257"/>
    </row>
    <row r="93" spans="1:32" s="299" customFormat="1" ht="15" customHeight="1">
      <c r="A93" s="133" t="s">
        <v>235</v>
      </c>
      <c r="B93" s="376" t="s">
        <v>269</v>
      </c>
      <c r="C93" s="22">
        <v>133021</v>
      </c>
      <c r="D93" s="230">
        <v>7</v>
      </c>
      <c r="E93" s="278">
        <f aca="true" t="shared" si="11" ref="E93:E120">SUM(G93,I93,K93,L93,M93,Q93)</f>
        <v>42447</v>
      </c>
      <c r="F93" s="151">
        <v>42059</v>
      </c>
      <c r="G93" s="302">
        <v>38833</v>
      </c>
      <c r="H93" s="146">
        <v>38864</v>
      </c>
      <c r="I93" s="302">
        <v>2099</v>
      </c>
      <c r="J93" s="146">
        <v>2109</v>
      </c>
      <c r="K93" s="302">
        <v>576</v>
      </c>
      <c r="L93" s="302"/>
      <c r="M93" s="302"/>
      <c r="N93" s="146">
        <v>321</v>
      </c>
      <c r="O93" s="151">
        <v>0</v>
      </c>
      <c r="P93" s="290">
        <v>0</v>
      </c>
      <c r="Q93" s="306">
        <v>939</v>
      </c>
      <c r="R93" s="283">
        <v>765</v>
      </c>
      <c r="S93" s="297">
        <f aca="true" t="shared" si="12" ref="S93:S120">SUM(U93,W93,Y93,Z93,AA93,AE93)</f>
        <v>0</v>
      </c>
      <c r="T93" s="267">
        <f aca="true" t="shared" si="13" ref="T93:T120">SUM(V93,X93,AB93,AC93,AD93,AF93)</f>
        <v>0</v>
      </c>
      <c r="U93" s="298"/>
      <c r="V93" s="252"/>
      <c r="W93" s="298"/>
      <c r="X93" s="252"/>
      <c r="Y93" s="298"/>
      <c r="Z93" s="298"/>
      <c r="AA93" s="298"/>
      <c r="AB93" s="252"/>
      <c r="AC93" s="252"/>
      <c r="AD93" s="252"/>
      <c r="AE93" s="298"/>
      <c r="AF93" s="257"/>
    </row>
    <row r="94" spans="1:32" s="299" customFormat="1" ht="15" customHeight="1">
      <c r="A94" s="133" t="s">
        <v>235</v>
      </c>
      <c r="B94" s="376" t="s">
        <v>6</v>
      </c>
      <c r="C94" s="22">
        <v>135717</v>
      </c>
      <c r="D94" s="230">
        <v>7</v>
      </c>
      <c r="E94" s="278">
        <f t="shared" si="11"/>
        <v>1361809</v>
      </c>
      <c r="F94" s="267">
        <v>1299191</v>
      </c>
      <c r="G94" s="306">
        <v>1293471</v>
      </c>
      <c r="H94" s="283">
        <v>1226177</v>
      </c>
      <c r="I94" s="306">
        <v>27854</v>
      </c>
      <c r="J94" s="283">
        <v>23511</v>
      </c>
      <c r="K94" s="306">
        <v>25187</v>
      </c>
      <c r="L94" s="306"/>
      <c r="M94" s="306"/>
      <c r="N94" s="283">
        <v>37636</v>
      </c>
      <c r="O94" s="283">
        <v>0</v>
      </c>
      <c r="P94" s="290">
        <v>0</v>
      </c>
      <c r="Q94" s="306">
        <v>15297</v>
      </c>
      <c r="R94" s="283">
        <v>11867</v>
      </c>
      <c r="S94" s="297">
        <f t="shared" si="12"/>
        <v>0</v>
      </c>
      <c r="T94" s="267">
        <f t="shared" si="13"/>
        <v>0</v>
      </c>
      <c r="U94" s="298"/>
      <c r="V94" s="252"/>
      <c r="W94" s="298"/>
      <c r="X94" s="252"/>
      <c r="Y94" s="298"/>
      <c r="Z94" s="298"/>
      <c r="AA94" s="298"/>
      <c r="AB94" s="252"/>
      <c r="AC94" s="252"/>
      <c r="AD94" s="252"/>
      <c r="AE94" s="298"/>
      <c r="AF94" s="257"/>
    </row>
    <row r="95" spans="1:32" s="299" customFormat="1" ht="15" customHeight="1">
      <c r="A95" s="133" t="s">
        <v>235</v>
      </c>
      <c r="B95" s="376" t="s">
        <v>259</v>
      </c>
      <c r="C95" s="22">
        <v>137078</v>
      </c>
      <c r="D95" s="230">
        <v>7</v>
      </c>
      <c r="E95" s="278">
        <f t="shared" si="11"/>
        <v>474161</v>
      </c>
      <c r="F95" s="267">
        <v>479204</v>
      </c>
      <c r="G95" s="306">
        <v>363101</v>
      </c>
      <c r="H95" s="283">
        <v>346212</v>
      </c>
      <c r="I95" s="306">
        <v>10984</v>
      </c>
      <c r="J95" s="283">
        <v>8449</v>
      </c>
      <c r="K95" s="306">
        <v>87828</v>
      </c>
      <c r="L95" s="306"/>
      <c r="M95" s="306">
        <v>9848</v>
      </c>
      <c r="N95" s="283">
        <v>105192</v>
      </c>
      <c r="O95" s="283">
        <v>228</v>
      </c>
      <c r="P95" s="290">
        <v>13429</v>
      </c>
      <c r="Q95" s="306">
        <v>2400</v>
      </c>
      <c r="R95" s="283">
        <v>5694</v>
      </c>
      <c r="S95" s="297">
        <f t="shared" si="12"/>
        <v>0</v>
      </c>
      <c r="T95" s="267">
        <f t="shared" si="13"/>
        <v>0</v>
      </c>
      <c r="U95" s="298"/>
      <c r="V95" s="252"/>
      <c r="W95" s="298"/>
      <c r="X95" s="252"/>
      <c r="Y95" s="298"/>
      <c r="Z95" s="298"/>
      <c r="AA95" s="298"/>
      <c r="AB95" s="252"/>
      <c r="AC95" s="252"/>
      <c r="AD95" s="252"/>
      <c r="AE95" s="298"/>
      <c r="AF95" s="257"/>
    </row>
    <row r="96" spans="1:32" s="299" customFormat="1" ht="15" customHeight="1">
      <c r="A96" s="133" t="s">
        <v>235</v>
      </c>
      <c r="B96" s="133" t="s">
        <v>247</v>
      </c>
      <c r="C96" s="22">
        <v>132693</v>
      </c>
      <c r="D96" s="156">
        <v>8</v>
      </c>
      <c r="E96" s="233">
        <f t="shared" si="11"/>
        <v>266510</v>
      </c>
      <c r="F96" s="151">
        <v>260807</v>
      </c>
      <c r="G96" s="305">
        <v>215161</v>
      </c>
      <c r="H96" s="169">
        <v>203471</v>
      </c>
      <c r="I96" s="305">
        <v>10375</v>
      </c>
      <c r="J96" s="169">
        <v>10389</v>
      </c>
      <c r="K96" s="305">
        <v>35495</v>
      </c>
      <c r="L96" s="305"/>
      <c r="M96" s="305">
        <v>5479</v>
      </c>
      <c r="N96" s="169">
        <v>41511</v>
      </c>
      <c r="O96" s="169">
        <v>0</v>
      </c>
      <c r="P96" s="452">
        <v>5436</v>
      </c>
      <c r="Q96" s="305">
        <v>0</v>
      </c>
      <c r="R96" s="169">
        <v>0</v>
      </c>
      <c r="S96" s="303">
        <f t="shared" si="12"/>
        <v>0</v>
      </c>
      <c r="T96" s="151">
        <f t="shared" si="13"/>
        <v>0</v>
      </c>
      <c r="U96" s="302"/>
      <c r="V96" s="146"/>
      <c r="W96" s="302"/>
      <c r="X96" s="146"/>
      <c r="Y96" s="302"/>
      <c r="Z96" s="302"/>
      <c r="AA96" s="302"/>
      <c r="AB96" s="146"/>
      <c r="AC96" s="146"/>
      <c r="AD96" s="146"/>
      <c r="AE96" s="302"/>
      <c r="AF96" s="172"/>
    </row>
    <row r="97" spans="1:32" s="299" customFormat="1" ht="15" customHeight="1">
      <c r="A97" s="133" t="s">
        <v>235</v>
      </c>
      <c r="B97" s="133" t="s">
        <v>248</v>
      </c>
      <c r="C97" s="22">
        <v>132709</v>
      </c>
      <c r="D97" s="156">
        <v>8</v>
      </c>
      <c r="E97" s="233">
        <f t="shared" si="11"/>
        <v>664073</v>
      </c>
      <c r="F97" s="151">
        <v>654409</v>
      </c>
      <c r="G97" s="305">
        <v>547992</v>
      </c>
      <c r="H97" s="169">
        <v>579360</v>
      </c>
      <c r="I97" s="305">
        <v>42408</v>
      </c>
      <c r="J97" s="169">
        <v>38256</v>
      </c>
      <c r="K97" s="305">
        <v>16397</v>
      </c>
      <c r="L97" s="305">
        <v>780</v>
      </c>
      <c r="M97" s="305">
        <v>52976</v>
      </c>
      <c r="N97" s="169">
        <v>20921</v>
      </c>
      <c r="O97" s="169">
        <v>968</v>
      </c>
      <c r="P97" s="452">
        <v>13644</v>
      </c>
      <c r="Q97" s="305">
        <v>3520</v>
      </c>
      <c r="R97" s="169">
        <v>1260</v>
      </c>
      <c r="S97" s="303">
        <f t="shared" si="12"/>
        <v>0</v>
      </c>
      <c r="T97" s="151">
        <f t="shared" si="13"/>
        <v>0</v>
      </c>
      <c r="U97" s="302"/>
      <c r="V97" s="146"/>
      <c r="W97" s="302"/>
      <c r="X97" s="146"/>
      <c r="Y97" s="302"/>
      <c r="Z97" s="302"/>
      <c r="AA97" s="302"/>
      <c r="AB97" s="146"/>
      <c r="AC97" s="146"/>
      <c r="AD97" s="146"/>
      <c r="AE97" s="302"/>
      <c r="AF97" s="172"/>
    </row>
    <row r="98" spans="1:32" s="299" customFormat="1" ht="15" customHeight="1">
      <c r="A98" s="133" t="s">
        <v>235</v>
      </c>
      <c r="B98" s="133" t="s">
        <v>249</v>
      </c>
      <c r="C98" s="22">
        <v>133386</v>
      </c>
      <c r="D98" s="156">
        <v>8</v>
      </c>
      <c r="E98" s="233">
        <f t="shared" si="11"/>
        <v>230187</v>
      </c>
      <c r="F98" s="151">
        <v>225709</v>
      </c>
      <c r="G98" s="305">
        <v>209416</v>
      </c>
      <c r="H98" s="169">
        <v>205548</v>
      </c>
      <c r="I98" s="305"/>
      <c r="J98" s="169">
        <v>0</v>
      </c>
      <c r="K98" s="305">
        <v>11339</v>
      </c>
      <c r="L98" s="305">
        <v>3480</v>
      </c>
      <c r="M98" s="305">
        <v>5952</v>
      </c>
      <c r="N98" s="169">
        <v>10544</v>
      </c>
      <c r="O98" s="169">
        <v>3380</v>
      </c>
      <c r="P98" s="289">
        <v>6237</v>
      </c>
      <c r="Q98" s="305">
        <v>0</v>
      </c>
      <c r="R98" s="169">
        <v>0</v>
      </c>
      <c r="S98" s="303">
        <f t="shared" si="12"/>
        <v>0</v>
      </c>
      <c r="T98" s="151">
        <f t="shared" si="13"/>
        <v>0</v>
      </c>
      <c r="U98" s="302"/>
      <c r="V98" s="146"/>
      <c r="W98" s="302"/>
      <c r="X98" s="146"/>
      <c r="Y98" s="302"/>
      <c r="Z98" s="302"/>
      <c r="AA98" s="302"/>
      <c r="AB98" s="146"/>
      <c r="AC98" s="146"/>
      <c r="AD98" s="146"/>
      <c r="AE98" s="302"/>
      <c r="AF98" s="172"/>
    </row>
    <row r="99" spans="1:32" s="299" customFormat="1" ht="15" customHeight="1">
      <c r="A99" s="133" t="s">
        <v>235</v>
      </c>
      <c r="B99" s="133" t="s">
        <v>250</v>
      </c>
      <c r="C99" s="22">
        <v>133508</v>
      </c>
      <c r="D99" s="156">
        <v>8</v>
      </c>
      <c r="E99" s="233">
        <f t="shared" si="11"/>
        <v>218075</v>
      </c>
      <c r="F99" s="151">
        <v>204765</v>
      </c>
      <c r="G99" s="305">
        <v>185688</v>
      </c>
      <c r="H99" s="169">
        <v>173759</v>
      </c>
      <c r="I99" s="305">
        <v>13564</v>
      </c>
      <c r="J99" s="169">
        <v>13164</v>
      </c>
      <c r="K99" s="305">
        <v>3513</v>
      </c>
      <c r="L99" s="305">
        <v>1662</v>
      </c>
      <c r="M99" s="305">
        <v>13648</v>
      </c>
      <c r="N99" s="169">
        <v>4451</v>
      </c>
      <c r="O99" s="169">
        <v>891</v>
      </c>
      <c r="P99" s="289">
        <v>12233</v>
      </c>
      <c r="Q99" s="305">
        <v>0</v>
      </c>
      <c r="R99" s="169">
        <v>267</v>
      </c>
      <c r="S99" s="303">
        <f t="shared" si="12"/>
        <v>0</v>
      </c>
      <c r="T99" s="151">
        <f t="shared" si="13"/>
        <v>0</v>
      </c>
      <c r="U99" s="302"/>
      <c r="V99" s="146"/>
      <c r="W99" s="302"/>
      <c r="X99" s="146"/>
      <c r="Y99" s="302"/>
      <c r="Z99" s="302"/>
      <c r="AA99" s="302"/>
      <c r="AB99" s="146"/>
      <c r="AC99" s="146"/>
      <c r="AD99" s="146"/>
      <c r="AE99" s="302"/>
      <c r="AF99" s="172"/>
    </row>
    <row r="100" spans="1:32" s="299" customFormat="1" ht="15" customHeight="1">
      <c r="A100" s="133" t="s">
        <v>235</v>
      </c>
      <c r="B100" s="133" t="s">
        <v>251</v>
      </c>
      <c r="C100" s="22">
        <v>133702</v>
      </c>
      <c r="D100" s="156">
        <v>8</v>
      </c>
      <c r="E100" s="233">
        <f t="shared" si="11"/>
        <v>455263</v>
      </c>
      <c r="F100" s="151">
        <v>461890</v>
      </c>
      <c r="G100" s="305">
        <v>339081</v>
      </c>
      <c r="H100" s="169">
        <v>335793</v>
      </c>
      <c r="I100" s="305">
        <v>17740</v>
      </c>
      <c r="J100" s="169">
        <v>17011</v>
      </c>
      <c r="K100" s="305">
        <v>80577</v>
      </c>
      <c r="L100" s="305"/>
      <c r="M100" s="305">
        <v>17865</v>
      </c>
      <c r="N100" s="169">
        <v>97812</v>
      </c>
      <c r="O100" s="169">
        <v>0</v>
      </c>
      <c r="P100" s="289">
        <v>11274</v>
      </c>
      <c r="Q100" s="305">
        <v>0</v>
      </c>
      <c r="R100" s="169">
        <v>0</v>
      </c>
      <c r="S100" s="303">
        <f t="shared" si="12"/>
        <v>0</v>
      </c>
      <c r="T100" s="151">
        <f t="shared" si="13"/>
        <v>0</v>
      </c>
      <c r="U100" s="302"/>
      <c r="V100" s="146"/>
      <c r="W100" s="302"/>
      <c r="X100" s="146"/>
      <c r="Y100" s="302"/>
      <c r="Z100" s="302"/>
      <c r="AA100" s="302"/>
      <c r="AB100" s="146"/>
      <c r="AC100" s="146"/>
      <c r="AD100" s="146"/>
      <c r="AE100" s="302"/>
      <c r="AF100" s="172"/>
    </row>
    <row r="101" spans="1:32" s="299" customFormat="1" ht="15" customHeight="1">
      <c r="A101" s="133" t="s">
        <v>235</v>
      </c>
      <c r="B101" s="133" t="s">
        <v>252</v>
      </c>
      <c r="C101" s="22">
        <v>134495</v>
      </c>
      <c r="D101" s="156">
        <v>8</v>
      </c>
      <c r="E101" s="233">
        <f t="shared" si="11"/>
        <v>436162</v>
      </c>
      <c r="F101" s="151">
        <v>428512</v>
      </c>
      <c r="G101" s="305">
        <v>395193</v>
      </c>
      <c r="H101" s="169">
        <v>389585</v>
      </c>
      <c r="I101" s="305">
        <v>17304</v>
      </c>
      <c r="J101" s="169">
        <v>12692</v>
      </c>
      <c r="K101" s="305">
        <v>12236</v>
      </c>
      <c r="L101" s="305"/>
      <c r="M101" s="305">
        <v>11201</v>
      </c>
      <c r="N101" s="169">
        <v>17156</v>
      </c>
      <c r="O101" s="169">
        <v>0</v>
      </c>
      <c r="P101" s="289">
        <v>8872</v>
      </c>
      <c r="Q101" s="305">
        <v>228</v>
      </c>
      <c r="R101" s="169">
        <v>207</v>
      </c>
      <c r="S101" s="303">
        <f t="shared" si="12"/>
        <v>0</v>
      </c>
      <c r="T101" s="151">
        <f t="shared" si="13"/>
        <v>0</v>
      </c>
      <c r="U101" s="302"/>
      <c r="V101" s="146"/>
      <c r="W101" s="302"/>
      <c r="X101" s="146"/>
      <c r="Y101" s="302"/>
      <c r="Z101" s="302"/>
      <c r="AA101" s="302"/>
      <c r="AB101" s="146"/>
      <c r="AC101" s="146"/>
      <c r="AD101" s="146"/>
      <c r="AE101" s="302"/>
      <c r="AF101" s="172"/>
    </row>
    <row r="102" spans="1:32" s="299" customFormat="1" ht="15" customHeight="1">
      <c r="A102" s="133" t="s">
        <v>235</v>
      </c>
      <c r="B102" s="133" t="s">
        <v>253</v>
      </c>
      <c r="C102" s="22">
        <v>134608</v>
      </c>
      <c r="D102" s="156">
        <v>8</v>
      </c>
      <c r="E102" s="233">
        <f t="shared" si="11"/>
        <v>209853</v>
      </c>
      <c r="F102" s="151">
        <v>212617</v>
      </c>
      <c r="G102" s="305">
        <v>168626</v>
      </c>
      <c r="H102" s="169">
        <v>166732</v>
      </c>
      <c r="I102" s="305">
        <v>14234</v>
      </c>
      <c r="J102" s="169">
        <v>13955</v>
      </c>
      <c r="K102" s="305">
        <v>21012</v>
      </c>
      <c r="L102" s="305">
        <v>5744</v>
      </c>
      <c r="M102" s="305">
        <v>237</v>
      </c>
      <c r="N102" s="169">
        <v>25626</v>
      </c>
      <c r="O102" s="169">
        <v>5904</v>
      </c>
      <c r="P102" s="289">
        <v>402</v>
      </c>
      <c r="Q102" s="305">
        <v>0</v>
      </c>
      <c r="R102" s="169">
        <v>0</v>
      </c>
      <c r="S102" s="303">
        <f t="shared" si="12"/>
        <v>0</v>
      </c>
      <c r="T102" s="151">
        <f t="shared" si="13"/>
        <v>0</v>
      </c>
      <c r="U102" s="302"/>
      <c r="V102" s="146"/>
      <c r="W102" s="302"/>
      <c r="X102" s="146"/>
      <c r="Y102" s="302"/>
      <c r="Z102" s="302"/>
      <c r="AA102" s="302"/>
      <c r="AB102" s="146"/>
      <c r="AC102" s="146"/>
      <c r="AD102" s="146"/>
      <c r="AE102" s="302"/>
      <c r="AF102" s="172"/>
    </row>
    <row r="103" spans="1:32" s="299" customFormat="1" ht="15" customHeight="1">
      <c r="A103" s="133" t="s">
        <v>235</v>
      </c>
      <c r="B103" s="133" t="s">
        <v>254</v>
      </c>
      <c r="C103" s="22">
        <v>135391</v>
      </c>
      <c r="D103" s="156">
        <v>8</v>
      </c>
      <c r="E103" s="233">
        <f t="shared" si="11"/>
        <v>192410</v>
      </c>
      <c r="F103" s="151">
        <v>197737</v>
      </c>
      <c r="G103" s="305">
        <v>170409</v>
      </c>
      <c r="H103" s="169">
        <v>174292</v>
      </c>
      <c r="I103" s="305">
        <v>6668</v>
      </c>
      <c r="J103" s="169">
        <v>7815</v>
      </c>
      <c r="K103" s="305">
        <v>9803</v>
      </c>
      <c r="L103" s="305">
        <v>1186</v>
      </c>
      <c r="M103" s="305">
        <v>4344</v>
      </c>
      <c r="N103" s="169">
        <v>10565</v>
      </c>
      <c r="O103" s="169">
        <v>1177</v>
      </c>
      <c r="P103" s="289">
        <v>3888</v>
      </c>
      <c r="Q103" s="305">
        <v>0</v>
      </c>
      <c r="R103" s="169">
        <v>0</v>
      </c>
      <c r="S103" s="303">
        <f t="shared" si="12"/>
        <v>0</v>
      </c>
      <c r="T103" s="151">
        <f t="shared" si="13"/>
        <v>0</v>
      </c>
      <c r="U103" s="302"/>
      <c r="V103" s="146"/>
      <c r="W103" s="302"/>
      <c r="X103" s="146"/>
      <c r="Y103" s="302"/>
      <c r="Z103" s="302"/>
      <c r="AA103" s="302"/>
      <c r="AB103" s="146"/>
      <c r="AC103" s="146"/>
      <c r="AD103" s="146"/>
      <c r="AE103" s="302"/>
      <c r="AF103" s="172"/>
    </row>
    <row r="104" spans="1:32" s="299" customFormat="1" ht="15" customHeight="1">
      <c r="A104" s="133" t="s">
        <v>235</v>
      </c>
      <c r="B104" s="133" t="s">
        <v>255</v>
      </c>
      <c r="C104" s="22">
        <v>136358</v>
      </c>
      <c r="D104" s="156">
        <v>8</v>
      </c>
      <c r="E104" s="233">
        <f t="shared" si="11"/>
        <v>398865</v>
      </c>
      <c r="F104" s="151">
        <v>400287</v>
      </c>
      <c r="G104" s="305">
        <v>357038</v>
      </c>
      <c r="H104" s="169">
        <v>356335</v>
      </c>
      <c r="I104" s="305">
        <v>15304</v>
      </c>
      <c r="J104" s="169">
        <v>13882</v>
      </c>
      <c r="K104" s="305">
        <v>15295</v>
      </c>
      <c r="L104" s="305">
        <v>711</v>
      </c>
      <c r="M104" s="305">
        <v>6499</v>
      </c>
      <c r="N104" s="169">
        <v>19829</v>
      </c>
      <c r="O104" s="169">
        <v>627</v>
      </c>
      <c r="P104" s="289">
        <v>3936</v>
      </c>
      <c r="Q104" s="305">
        <v>4018</v>
      </c>
      <c r="R104" s="169">
        <v>5678</v>
      </c>
      <c r="S104" s="303">
        <f t="shared" si="12"/>
        <v>0</v>
      </c>
      <c r="T104" s="151">
        <f t="shared" si="13"/>
        <v>0</v>
      </c>
      <c r="U104" s="302"/>
      <c r="V104" s="146"/>
      <c r="W104" s="302"/>
      <c r="X104" s="146"/>
      <c r="Y104" s="302"/>
      <c r="Z104" s="302"/>
      <c r="AA104" s="302"/>
      <c r="AB104" s="146"/>
      <c r="AC104" s="146"/>
      <c r="AD104" s="146"/>
      <c r="AE104" s="302"/>
      <c r="AF104" s="172"/>
    </row>
    <row r="105" spans="1:32" s="299" customFormat="1" ht="15" customHeight="1">
      <c r="A105" s="133" t="s">
        <v>235</v>
      </c>
      <c r="B105" s="133" t="s">
        <v>256</v>
      </c>
      <c r="C105" s="22">
        <v>136473</v>
      </c>
      <c r="D105" s="156">
        <v>8</v>
      </c>
      <c r="E105" s="233">
        <f t="shared" si="11"/>
        <v>215884</v>
      </c>
      <c r="F105" s="151">
        <v>201447</v>
      </c>
      <c r="G105" s="305">
        <v>188824</v>
      </c>
      <c r="H105" s="169">
        <v>174759</v>
      </c>
      <c r="I105" s="305">
        <v>14650</v>
      </c>
      <c r="J105" s="169">
        <v>14035</v>
      </c>
      <c r="K105" s="305">
        <v>8873</v>
      </c>
      <c r="L105" s="305"/>
      <c r="M105" s="305">
        <v>3537</v>
      </c>
      <c r="N105" s="169">
        <v>11015</v>
      </c>
      <c r="O105" s="169">
        <v>0</v>
      </c>
      <c r="P105" s="289">
        <v>1638</v>
      </c>
      <c r="Q105" s="305">
        <v>0</v>
      </c>
      <c r="R105" s="169">
        <v>0</v>
      </c>
      <c r="S105" s="303">
        <f t="shared" si="12"/>
        <v>0</v>
      </c>
      <c r="T105" s="151">
        <f t="shared" si="13"/>
        <v>0</v>
      </c>
      <c r="U105" s="302"/>
      <c r="V105" s="146"/>
      <c r="W105" s="302"/>
      <c r="X105" s="146"/>
      <c r="Y105" s="302"/>
      <c r="Z105" s="302"/>
      <c r="AA105" s="302"/>
      <c r="AB105" s="146"/>
      <c r="AC105" s="146"/>
      <c r="AD105" s="146"/>
      <c r="AE105" s="302"/>
      <c r="AF105" s="172"/>
    </row>
    <row r="106" spans="1:32" s="299" customFormat="1" ht="15" customHeight="1">
      <c r="A106" s="133" t="s">
        <v>235</v>
      </c>
      <c r="B106" s="133" t="s">
        <v>257</v>
      </c>
      <c r="C106" s="22">
        <v>137096</v>
      </c>
      <c r="D106" s="156">
        <v>8</v>
      </c>
      <c r="E106" s="233">
        <f t="shared" si="11"/>
        <v>317730</v>
      </c>
      <c r="F106" s="151">
        <v>314274</v>
      </c>
      <c r="G106" s="305">
        <v>295583</v>
      </c>
      <c r="H106" s="169">
        <v>288051</v>
      </c>
      <c r="I106" s="305">
        <v>3555</v>
      </c>
      <c r="J106" s="169">
        <v>5899</v>
      </c>
      <c r="K106" s="305">
        <v>15840</v>
      </c>
      <c r="L106" s="305">
        <v>417</v>
      </c>
      <c r="M106" s="305">
        <v>2335</v>
      </c>
      <c r="N106" s="169">
        <v>17860</v>
      </c>
      <c r="O106" s="169">
        <v>0</v>
      </c>
      <c r="P106" s="289">
        <v>2464</v>
      </c>
      <c r="Q106" s="305">
        <v>0</v>
      </c>
      <c r="R106" s="169">
        <v>0</v>
      </c>
      <c r="S106" s="303">
        <f t="shared" si="12"/>
        <v>0</v>
      </c>
      <c r="T106" s="151">
        <f t="shared" si="13"/>
        <v>0</v>
      </c>
      <c r="U106" s="302"/>
      <c r="V106" s="146"/>
      <c r="W106" s="302"/>
      <c r="X106" s="146"/>
      <c r="Y106" s="302"/>
      <c r="Z106" s="302"/>
      <c r="AA106" s="302"/>
      <c r="AB106" s="146"/>
      <c r="AC106" s="146"/>
      <c r="AD106" s="146"/>
      <c r="AE106" s="302"/>
      <c r="AF106" s="172"/>
    </row>
    <row r="107" spans="1:32" s="299" customFormat="1" ht="15" customHeight="1">
      <c r="A107" s="133" t="s">
        <v>235</v>
      </c>
      <c r="B107" s="133" t="s">
        <v>258</v>
      </c>
      <c r="C107" s="22">
        <v>137209</v>
      </c>
      <c r="D107" s="156">
        <v>8</v>
      </c>
      <c r="E107" s="233">
        <f t="shared" si="11"/>
        <v>244228</v>
      </c>
      <c r="F107" s="151">
        <v>229834</v>
      </c>
      <c r="G107" s="305">
        <v>218600</v>
      </c>
      <c r="H107" s="169">
        <v>203378</v>
      </c>
      <c r="I107" s="305">
        <v>2007</v>
      </c>
      <c r="J107" s="169">
        <v>2460</v>
      </c>
      <c r="K107" s="305">
        <v>17195</v>
      </c>
      <c r="L107" s="305">
        <v>42</v>
      </c>
      <c r="M107" s="305">
        <v>6384</v>
      </c>
      <c r="N107" s="169">
        <v>19025</v>
      </c>
      <c r="O107" s="169">
        <v>0</v>
      </c>
      <c r="P107" s="289">
        <v>4971</v>
      </c>
      <c r="Q107" s="305">
        <v>0</v>
      </c>
      <c r="R107" s="169">
        <v>0</v>
      </c>
      <c r="S107" s="303">
        <f t="shared" si="12"/>
        <v>0</v>
      </c>
      <c r="T107" s="151">
        <f t="shared" si="13"/>
        <v>0</v>
      </c>
      <c r="U107" s="302"/>
      <c r="V107" s="146"/>
      <c r="W107" s="302"/>
      <c r="X107" s="146"/>
      <c r="Y107" s="302"/>
      <c r="Z107" s="302"/>
      <c r="AA107" s="302"/>
      <c r="AB107" s="146"/>
      <c r="AC107" s="146"/>
      <c r="AD107" s="146"/>
      <c r="AE107" s="302"/>
      <c r="AF107" s="172"/>
    </row>
    <row r="108" spans="1:32" s="299" customFormat="1" ht="15" customHeight="1">
      <c r="A108" s="133" t="s">
        <v>235</v>
      </c>
      <c r="B108" s="133" t="s">
        <v>260</v>
      </c>
      <c r="C108" s="22">
        <v>137759</v>
      </c>
      <c r="D108" s="156">
        <v>8</v>
      </c>
      <c r="E108" s="233">
        <f t="shared" si="11"/>
        <v>277600</v>
      </c>
      <c r="F108" s="151">
        <v>290397</v>
      </c>
      <c r="G108" s="305">
        <v>250605</v>
      </c>
      <c r="H108" s="169">
        <v>262748</v>
      </c>
      <c r="I108" s="305">
        <v>8298</v>
      </c>
      <c r="J108" s="169">
        <v>7629</v>
      </c>
      <c r="K108" s="305">
        <v>16574</v>
      </c>
      <c r="L108" s="305"/>
      <c r="M108" s="305">
        <v>2123</v>
      </c>
      <c r="N108" s="169">
        <v>18267</v>
      </c>
      <c r="O108" s="169">
        <v>0</v>
      </c>
      <c r="P108" s="289">
        <v>1753</v>
      </c>
      <c r="Q108" s="305">
        <v>0</v>
      </c>
      <c r="R108" s="169">
        <v>0</v>
      </c>
      <c r="S108" s="303">
        <f t="shared" si="12"/>
        <v>0</v>
      </c>
      <c r="T108" s="151">
        <f t="shared" si="13"/>
        <v>0</v>
      </c>
      <c r="U108" s="302"/>
      <c r="V108" s="146"/>
      <c r="W108" s="302"/>
      <c r="X108" s="146"/>
      <c r="Y108" s="302"/>
      <c r="Z108" s="302"/>
      <c r="AA108" s="302"/>
      <c r="AB108" s="146"/>
      <c r="AC108" s="146"/>
      <c r="AD108" s="146"/>
      <c r="AE108" s="302"/>
      <c r="AF108" s="172"/>
    </row>
    <row r="109" spans="1:32" s="299" customFormat="1" ht="15" customHeight="1">
      <c r="A109" s="133" t="s">
        <v>235</v>
      </c>
      <c r="B109" s="133" t="s">
        <v>261</v>
      </c>
      <c r="C109" s="22">
        <v>138187</v>
      </c>
      <c r="D109" s="156">
        <v>8</v>
      </c>
      <c r="E109" s="233">
        <f t="shared" si="11"/>
        <v>621878</v>
      </c>
      <c r="F109" s="151">
        <v>603082</v>
      </c>
      <c r="G109" s="305">
        <v>580306</v>
      </c>
      <c r="H109" s="169">
        <v>554805</v>
      </c>
      <c r="I109" s="305"/>
      <c r="J109" s="169">
        <v>33</v>
      </c>
      <c r="K109" s="305">
        <v>24812</v>
      </c>
      <c r="L109" s="305"/>
      <c r="M109" s="305">
        <v>16760</v>
      </c>
      <c r="N109" s="169">
        <v>33552</v>
      </c>
      <c r="O109" s="169">
        <v>0</v>
      </c>
      <c r="P109" s="289">
        <v>14692</v>
      </c>
      <c r="Q109" s="305">
        <v>0</v>
      </c>
      <c r="R109" s="169">
        <v>0</v>
      </c>
      <c r="S109" s="303">
        <f t="shared" si="12"/>
        <v>0</v>
      </c>
      <c r="T109" s="151">
        <f t="shared" si="13"/>
        <v>0</v>
      </c>
      <c r="U109" s="302"/>
      <c r="V109" s="146"/>
      <c r="W109" s="302"/>
      <c r="X109" s="146"/>
      <c r="Y109" s="302"/>
      <c r="Z109" s="302"/>
      <c r="AA109" s="302"/>
      <c r="AB109" s="146"/>
      <c r="AC109" s="146"/>
      <c r="AD109" s="146"/>
      <c r="AE109" s="302"/>
      <c r="AF109" s="172"/>
    </row>
    <row r="110" spans="1:32" s="299" customFormat="1" ht="15" customHeight="1">
      <c r="A110" s="133" t="s">
        <v>235</v>
      </c>
      <c r="B110" s="133" t="s">
        <v>262</v>
      </c>
      <c r="C110" s="22">
        <v>132851</v>
      </c>
      <c r="D110" s="156">
        <v>9</v>
      </c>
      <c r="E110" s="233">
        <f t="shared" si="11"/>
        <v>115202</v>
      </c>
      <c r="F110" s="151">
        <v>114266</v>
      </c>
      <c r="G110" s="305">
        <v>105029</v>
      </c>
      <c r="H110" s="169">
        <v>101816</v>
      </c>
      <c r="I110" s="305"/>
      <c r="J110" s="169">
        <v>0</v>
      </c>
      <c r="K110" s="305">
        <v>7640</v>
      </c>
      <c r="L110" s="305">
        <v>168</v>
      </c>
      <c r="M110" s="305">
        <v>2365</v>
      </c>
      <c r="N110" s="169">
        <v>10040</v>
      </c>
      <c r="O110" s="169">
        <v>140</v>
      </c>
      <c r="P110" s="289">
        <v>2270</v>
      </c>
      <c r="Q110" s="305">
        <v>0</v>
      </c>
      <c r="R110" s="169">
        <v>0</v>
      </c>
      <c r="S110" s="303">
        <f t="shared" si="12"/>
        <v>0</v>
      </c>
      <c r="T110" s="151">
        <f t="shared" si="13"/>
        <v>0</v>
      </c>
      <c r="U110" s="302"/>
      <c r="V110" s="146"/>
      <c r="W110" s="302"/>
      <c r="X110" s="146"/>
      <c r="Y110" s="302"/>
      <c r="Z110" s="302"/>
      <c r="AA110" s="302"/>
      <c r="AB110" s="146"/>
      <c r="AC110" s="146"/>
      <c r="AD110" s="146"/>
      <c r="AE110" s="302"/>
      <c r="AF110" s="172"/>
    </row>
    <row r="111" spans="1:32" s="299" customFormat="1" ht="15" customHeight="1">
      <c r="A111" s="133" t="s">
        <v>235</v>
      </c>
      <c r="B111" s="133" t="s">
        <v>263</v>
      </c>
      <c r="C111" s="22">
        <v>134343</v>
      </c>
      <c r="D111" s="156">
        <v>9</v>
      </c>
      <c r="E111" s="233">
        <f t="shared" si="11"/>
        <v>123954</v>
      </c>
      <c r="F111" s="151">
        <v>121208</v>
      </c>
      <c r="G111" s="305">
        <v>93988</v>
      </c>
      <c r="H111" s="169">
        <v>93036</v>
      </c>
      <c r="I111" s="305">
        <v>12190</v>
      </c>
      <c r="J111" s="169">
        <v>10924</v>
      </c>
      <c r="K111" s="305">
        <v>6786</v>
      </c>
      <c r="L111" s="305">
        <v>2085</v>
      </c>
      <c r="M111" s="305">
        <v>8704</v>
      </c>
      <c r="N111" s="169">
        <v>7925</v>
      </c>
      <c r="O111" s="169">
        <v>1591</v>
      </c>
      <c r="P111" s="289">
        <v>7728</v>
      </c>
      <c r="Q111" s="305">
        <v>201</v>
      </c>
      <c r="R111" s="169">
        <v>4</v>
      </c>
      <c r="S111" s="303">
        <f t="shared" si="12"/>
        <v>0</v>
      </c>
      <c r="T111" s="151">
        <f t="shared" si="13"/>
        <v>0</v>
      </c>
      <c r="U111" s="302"/>
      <c r="V111" s="146"/>
      <c r="W111" s="302"/>
      <c r="X111" s="146"/>
      <c r="Y111" s="302"/>
      <c r="Z111" s="302"/>
      <c r="AA111" s="302"/>
      <c r="AB111" s="146"/>
      <c r="AC111" s="146"/>
      <c r="AD111" s="146"/>
      <c r="AE111" s="302"/>
      <c r="AF111" s="172"/>
    </row>
    <row r="112" spans="1:32" s="299" customFormat="1" ht="15" customHeight="1">
      <c r="A112" s="133" t="s">
        <v>235</v>
      </c>
      <c r="B112" s="133" t="s">
        <v>271</v>
      </c>
      <c r="C112" s="22">
        <v>135160</v>
      </c>
      <c r="D112" s="156">
        <v>9</v>
      </c>
      <c r="E112" s="233">
        <f t="shared" si="11"/>
        <v>52371</v>
      </c>
      <c r="F112" s="151">
        <v>51350</v>
      </c>
      <c r="G112" s="305">
        <v>36718</v>
      </c>
      <c r="H112" s="169">
        <v>33315</v>
      </c>
      <c r="I112" s="305">
        <v>3151</v>
      </c>
      <c r="J112" s="169">
        <v>3288</v>
      </c>
      <c r="K112" s="305">
        <v>10475</v>
      </c>
      <c r="L112" s="305">
        <v>1302</v>
      </c>
      <c r="M112" s="305">
        <v>725</v>
      </c>
      <c r="N112" s="169">
        <v>12893</v>
      </c>
      <c r="O112" s="169">
        <v>1422</v>
      </c>
      <c r="P112" s="289">
        <v>432</v>
      </c>
      <c r="Q112" s="305">
        <v>0</v>
      </c>
      <c r="R112" s="169">
        <v>0</v>
      </c>
      <c r="S112" s="303">
        <f t="shared" si="12"/>
        <v>0</v>
      </c>
      <c r="T112" s="151">
        <f t="shared" si="13"/>
        <v>0</v>
      </c>
      <c r="U112" s="302"/>
      <c r="V112" s="146"/>
      <c r="W112" s="302"/>
      <c r="X112" s="146"/>
      <c r="Y112" s="302"/>
      <c r="Z112" s="302"/>
      <c r="AA112" s="302"/>
      <c r="AB112" s="146"/>
      <c r="AC112" s="146"/>
      <c r="AD112" s="146"/>
      <c r="AE112" s="302"/>
      <c r="AF112" s="172"/>
    </row>
    <row r="113" spans="1:32" s="299" customFormat="1" ht="15" customHeight="1">
      <c r="A113" s="133" t="s">
        <v>235</v>
      </c>
      <c r="B113" s="133" t="s">
        <v>272</v>
      </c>
      <c r="C113" s="22">
        <v>135188</v>
      </c>
      <c r="D113" s="156">
        <v>9</v>
      </c>
      <c r="E113" s="233">
        <f t="shared" si="11"/>
        <v>66325</v>
      </c>
      <c r="F113" s="151">
        <v>67413</v>
      </c>
      <c r="G113" s="305">
        <v>61457</v>
      </c>
      <c r="H113" s="169">
        <v>65109</v>
      </c>
      <c r="I113" s="305">
        <v>1654</v>
      </c>
      <c r="J113" s="169">
        <v>927</v>
      </c>
      <c r="K113" s="305">
        <v>1954</v>
      </c>
      <c r="L113" s="305"/>
      <c r="M113" s="305">
        <v>1260</v>
      </c>
      <c r="N113" s="169">
        <v>858</v>
      </c>
      <c r="O113" s="169">
        <v>0</v>
      </c>
      <c r="P113" s="289">
        <v>519</v>
      </c>
      <c r="Q113" s="305">
        <v>0</v>
      </c>
      <c r="R113" s="169">
        <v>0</v>
      </c>
      <c r="S113" s="303">
        <f t="shared" si="12"/>
        <v>0</v>
      </c>
      <c r="T113" s="151">
        <f t="shared" si="13"/>
        <v>0</v>
      </c>
      <c r="U113" s="302"/>
      <c r="V113" s="146"/>
      <c r="W113" s="302"/>
      <c r="X113" s="146"/>
      <c r="Y113" s="302"/>
      <c r="Z113" s="302"/>
      <c r="AA113" s="302"/>
      <c r="AB113" s="146"/>
      <c r="AC113" s="146"/>
      <c r="AD113" s="146"/>
      <c r="AE113" s="302"/>
      <c r="AF113" s="172"/>
    </row>
    <row r="114" spans="1:32" s="299" customFormat="1" ht="15" customHeight="1">
      <c r="A114" s="133" t="s">
        <v>235</v>
      </c>
      <c r="B114" s="133" t="s">
        <v>264</v>
      </c>
      <c r="C114" s="22">
        <v>136233</v>
      </c>
      <c r="D114" s="156">
        <v>9</v>
      </c>
      <c r="E114" s="233">
        <f t="shared" si="11"/>
        <v>138646</v>
      </c>
      <c r="F114" s="151">
        <v>133218</v>
      </c>
      <c r="G114" s="305">
        <v>101392</v>
      </c>
      <c r="H114" s="169">
        <v>91979</v>
      </c>
      <c r="I114" s="305">
        <v>18337</v>
      </c>
      <c r="J114" s="169">
        <v>19320</v>
      </c>
      <c r="K114" s="305">
        <v>7123</v>
      </c>
      <c r="L114" s="305"/>
      <c r="M114" s="305"/>
      <c r="N114" s="169">
        <v>11290</v>
      </c>
      <c r="O114" s="169">
        <v>0</v>
      </c>
      <c r="P114" s="332">
        <v>0</v>
      </c>
      <c r="Q114" s="305">
        <v>11794</v>
      </c>
      <c r="R114" s="169">
        <v>10629</v>
      </c>
      <c r="S114" s="303">
        <f t="shared" si="12"/>
        <v>0</v>
      </c>
      <c r="T114" s="151">
        <f t="shared" si="13"/>
        <v>0</v>
      </c>
      <c r="U114" s="302"/>
      <c r="V114" s="146"/>
      <c r="W114" s="302"/>
      <c r="X114" s="146"/>
      <c r="Y114" s="302"/>
      <c r="Z114" s="302"/>
      <c r="AA114" s="302"/>
      <c r="AB114" s="146"/>
      <c r="AC114" s="146"/>
      <c r="AD114" s="146"/>
      <c r="AE114" s="302"/>
      <c r="AF114" s="172"/>
    </row>
    <row r="115" spans="1:32" s="299" customFormat="1" ht="15" customHeight="1">
      <c r="A115" s="133" t="s">
        <v>235</v>
      </c>
      <c r="B115" s="376" t="s">
        <v>265</v>
      </c>
      <c r="C115" s="22">
        <v>136400</v>
      </c>
      <c r="D115" s="156">
        <v>9</v>
      </c>
      <c r="E115" s="233">
        <f t="shared" si="11"/>
        <v>129314</v>
      </c>
      <c r="F115" s="151">
        <v>130472</v>
      </c>
      <c r="G115" s="305">
        <v>107458</v>
      </c>
      <c r="H115" s="169">
        <v>104838</v>
      </c>
      <c r="I115" s="305">
        <v>105</v>
      </c>
      <c r="J115" s="169">
        <v>105</v>
      </c>
      <c r="K115" s="305">
        <v>3058</v>
      </c>
      <c r="L115" s="305">
        <v>630</v>
      </c>
      <c r="M115" s="305">
        <v>18063</v>
      </c>
      <c r="N115" s="169">
        <v>4838</v>
      </c>
      <c r="O115" s="169">
        <v>603</v>
      </c>
      <c r="P115" s="332">
        <v>20088</v>
      </c>
      <c r="Q115" s="305">
        <v>0</v>
      </c>
      <c r="R115" s="169">
        <v>0</v>
      </c>
      <c r="S115" s="303">
        <f t="shared" si="12"/>
        <v>0</v>
      </c>
      <c r="T115" s="151">
        <f t="shared" si="13"/>
        <v>0</v>
      </c>
      <c r="U115" s="302"/>
      <c r="V115" s="146"/>
      <c r="W115" s="302"/>
      <c r="X115" s="146"/>
      <c r="Y115" s="302"/>
      <c r="Z115" s="302"/>
      <c r="AA115" s="302"/>
      <c r="AB115" s="146"/>
      <c r="AC115" s="146"/>
      <c r="AD115" s="146"/>
      <c r="AE115" s="302"/>
      <c r="AF115" s="172"/>
    </row>
    <row r="116" spans="1:32" s="299" customFormat="1" ht="15" customHeight="1">
      <c r="A116" s="133" t="s">
        <v>235</v>
      </c>
      <c r="B116" s="133" t="s">
        <v>266</v>
      </c>
      <c r="C116" s="22">
        <v>136516</v>
      </c>
      <c r="D116" s="156">
        <v>9</v>
      </c>
      <c r="E116" s="233">
        <f t="shared" si="11"/>
        <v>128631</v>
      </c>
      <c r="F116" s="151">
        <v>126719</v>
      </c>
      <c r="G116" s="305">
        <v>122035</v>
      </c>
      <c r="H116" s="169">
        <v>120500</v>
      </c>
      <c r="I116" s="305">
        <v>541</v>
      </c>
      <c r="J116" s="169">
        <v>263</v>
      </c>
      <c r="K116" s="305">
        <v>5158</v>
      </c>
      <c r="L116" s="305"/>
      <c r="M116" s="305">
        <v>897</v>
      </c>
      <c r="N116" s="169">
        <v>5068</v>
      </c>
      <c r="O116" s="169">
        <v>0</v>
      </c>
      <c r="P116" s="332">
        <v>888</v>
      </c>
      <c r="Q116" s="305">
        <v>0</v>
      </c>
      <c r="R116" s="169">
        <v>0</v>
      </c>
      <c r="S116" s="303">
        <f t="shared" si="12"/>
        <v>0</v>
      </c>
      <c r="T116" s="151">
        <f t="shared" si="13"/>
        <v>0</v>
      </c>
      <c r="U116" s="302"/>
      <c r="V116" s="146"/>
      <c r="W116" s="302"/>
      <c r="X116" s="146"/>
      <c r="Y116" s="302"/>
      <c r="Z116" s="302"/>
      <c r="AA116" s="302"/>
      <c r="AB116" s="146"/>
      <c r="AC116" s="146"/>
      <c r="AD116" s="146"/>
      <c r="AE116" s="302"/>
      <c r="AF116" s="172"/>
    </row>
    <row r="117" spans="1:32" s="299" customFormat="1" ht="15" customHeight="1">
      <c r="A117" s="133" t="s">
        <v>235</v>
      </c>
      <c r="B117" s="133" t="s">
        <v>267</v>
      </c>
      <c r="C117" s="22">
        <v>137315</v>
      </c>
      <c r="D117" s="156">
        <v>9</v>
      </c>
      <c r="E117" s="233">
        <f t="shared" si="11"/>
        <v>39214</v>
      </c>
      <c r="F117" s="151">
        <v>35117</v>
      </c>
      <c r="G117" s="305">
        <v>26735</v>
      </c>
      <c r="H117" s="169">
        <v>25376</v>
      </c>
      <c r="I117" s="305">
        <v>8688</v>
      </c>
      <c r="J117" s="169">
        <v>7987</v>
      </c>
      <c r="K117" s="305">
        <v>107</v>
      </c>
      <c r="L117" s="305">
        <v>1066</v>
      </c>
      <c r="M117" s="305">
        <v>2618</v>
      </c>
      <c r="N117" s="169">
        <v>233</v>
      </c>
      <c r="O117" s="169">
        <v>531</v>
      </c>
      <c r="P117" s="332">
        <v>990</v>
      </c>
      <c r="Q117" s="305">
        <v>0</v>
      </c>
      <c r="R117" s="169">
        <v>0</v>
      </c>
      <c r="S117" s="303">
        <f t="shared" si="12"/>
        <v>0</v>
      </c>
      <c r="T117" s="151">
        <f t="shared" si="13"/>
        <v>0</v>
      </c>
      <c r="U117" s="302"/>
      <c r="V117" s="146"/>
      <c r="W117" s="302"/>
      <c r="X117" s="146"/>
      <c r="Y117" s="302"/>
      <c r="Z117" s="302"/>
      <c r="AA117" s="302"/>
      <c r="AB117" s="146"/>
      <c r="AC117" s="146"/>
      <c r="AD117" s="146"/>
      <c r="AE117" s="302"/>
      <c r="AF117" s="172"/>
    </row>
    <row r="118" spans="1:32" s="299" customFormat="1" ht="15" customHeight="1">
      <c r="A118" s="133" t="s">
        <v>235</v>
      </c>
      <c r="B118" s="133" t="s">
        <v>268</v>
      </c>
      <c r="C118" s="22">
        <v>137281</v>
      </c>
      <c r="D118" s="156">
        <v>9</v>
      </c>
      <c r="E118" s="233">
        <f t="shared" si="11"/>
        <v>91081</v>
      </c>
      <c r="F118" s="151">
        <v>89390</v>
      </c>
      <c r="G118" s="305">
        <v>74516</v>
      </c>
      <c r="H118" s="169">
        <v>70056</v>
      </c>
      <c r="I118" s="305">
        <v>9775</v>
      </c>
      <c r="J118" s="169">
        <v>9304</v>
      </c>
      <c r="K118" s="305">
        <v>5041</v>
      </c>
      <c r="L118" s="305"/>
      <c r="M118" s="305">
        <v>1749</v>
      </c>
      <c r="N118" s="169">
        <v>8521</v>
      </c>
      <c r="O118" s="169">
        <v>0</v>
      </c>
      <c r="P118" s="332">
        <v>1509</v>
      </c>
      <c r="Q118" s="305">
        <v>0</v>
      </c>
      <c r="R118" s="169">
        <v>0</v>
      </c>
      <c r="S118" s="303">
        <f t="shared" si="12"/>
        <v>0</v>
      </c>
      <c r="T118" s="151">
        <f t="shared" si="13"/>
        <v>0</v>
      </c>
      <c r="U118" s="302"/>
      <c r="V118" s="146"/>
      <c r="W118" s="302"/>
      <c r="X118" s="146"/>
      <c r="Y118" s="302"/>
      <c r="Z118" s="302"/>
      <c r="AA118" s="302"/>
      <c r="AB118" s="146"/>
      <c r="AC118" s="146"/>
      <c r="AD118" s="146"/>
      <c r="AE118" s="302"/>
      <c r="AF118" s="172"/>
    </row>
    <row r="119" spans="1:32" s="299" customFormat="1" ht="15" customHeight="1">
      <c r="A119" s="133" t="s">
        <v>235</v>
      </c>
      <c r="B119" s="133" t="s">
        <v>270</v>
      </c>
      <c r="C119" s="22">
        <v>133960</v>
      </c>
      <c r="D119" s="156">
        <v>10</v>
      </c>
      <c r="E119" s="233">
        <f t="shared" si="11"/>
        <v>23710</v>
      </c>
      <c r="F119" s="151">
        <v>21671</v>
      </c>
      <c r="G119" s="305">
        <v>18767</v>
      </c>
      <c r="H119" s="169">
        <v>16927</v>
      </c>
      <c r="I119" s="305">
        <v>1944</v>
      </c>
      <c r="J119" s="169">
        <v>1983</v>
      </c>
      <c r="K119" s="305">
        <v>98</v>
      </c>
      <c r="L119" s="305">
        <v>1215</v>
      </c>
      <c r="M119" s="305">
        <v>1299</v>
      </c>
      <c r="N119" s="169">
        <v>115</v>
      </c>
      <c r="O119" s="169">
        <v>1227</v>
      </c>
      <c r="P119" s="332">
        <v>1254</v>
      </c>
      <c r="Q119" s="305">
        <v>387</v>
      </c>
      <c r="R119" s="169">
        <v>165</v>
      </c>
      <c r="S119" s="303">
        <f t="shared" si="12"/>
        <v>0</v>
      </c>
      <c r="T119" s="151">
        <f t="shared" si="13"/>
        <v>0</v>
      </c>
      <c r="U119" s="302"/>
      <c r="V119" s="146"/>
      <c r="W119" s="302"/>
      <c r="X119" s="146"/>
      <c r="Y119" s="302"/>
      <c r="Z119" s="302"/>
      <c r="AA119" s="302"/>
      <c r="AB119" s="146"/>
      <c r="AC119" s="146"/>
      <c r="AD119" s="146"/>
      <c r="AE119" s="302"/>
      <c r="AF119" s="172"/>
    </row>
    <row r="120" spans="1:32" s="299" customFormat="1" ht="15" customHeight="1">
      <c r="A120" s="400" t="s">
        <v>235</v>
      </c>
      <c r="B120" s="400" t="s">
        <v>273</v>
      </c>
      <c r="C120" s="401">
        <v>136145</v>
      </c>
      <c r="D120" s="402">
        <v>10</v>
      </c>
      <c r="E120" s="403">
        <f t="shared" si="11"/>
        <v>22280</v>
      </c>
      <c r="F120" s="404">
        <v>24023</v>
      </c>
      <c r="G120" s="405">
        <v>16895</v>
      </c>
      <c r="H120" s="406">
        <v>18560</v>
      </c>
      <c r="I120" s="405">
        <v>3480</v>
      </c>
      <c r="J120" s="406">
        <v>4028</v>
      </c>
      <c r="K120" s="405">
        <v>1716</v>
      </c>
      <c r="L120" s="405">
        <v>114</v>
      </c>
      <c r="M120" s="405"/>
      <c r="N120" s="406">
        <v>1393</v>
      </c>
      <c r="O120" s="406">
        <v>0</v>
      </c>
      <c r="P120" s="407">
        <v>42</v>
      </c>
      <c r="Q120" s="405">
        <v>75</v>
      </c>
      <c r="R120" s="406">
        <v>0</v>
      </c>
      <c r="S120" s="408">
        <f t="shared" si="12"/>
        <v>0</v>
      </c>
      <c r="T120" s="404">
        <f t="shared" si="13"/>
        <v>0</v>
      </c>
      <c r="U120" s="409"/>
      <c r="V120" s="410"/>
      <c r="W120" s="409"/>
      <c r="X120" s="410"/>
      <c r="Y120" s="409"/>
      <c r="Z120" s="409"/>
      <c r="AA120" s="409"/>
      <c r="AB120" s="410"/>
      <c r="AC120" s="410"/>
      <c r="AD120" s="410"/>
      <c r="AE120" s="409"/>
      <c r="AF120" s="411"/>
    </row>
    <row r="121" spans="1:32" s="299" customFormat="1" ht="15" customHeight="1">
      <c r="A121" s="135" t="s">
        <v>274</v>
      </c>
      <c r="B121" s="135" t="s">
        <v>275</v>
      </c>
      <c r="C121" s="23">
        <v>139940</v>
      </c>
      <c r="D121" s="157">
        <v>1</v>
      </c>
      <c r="E121" s="233">
        <f t="shared" si="9"/>
        <v>535428</v>
      </c>
      <c r="F121" s="151">
        <f aca="true" t="shared" si="14" ref="F121:F184">SUM(H121,J121,N121,O121,P121,R121)</f>
        <v>519415.54</v>
      </c>
      <c r="G121" s="302">
        <v>531646</v>
      </c>
      <c r="H121" s="146">
        <v>514948</v>
      </c>
      <c r="I121" s="302">
        <v>3347</v>
      </c>
      <c r="J121" s="146">
        <v>3998</v>
      </c>
      <c r="K121" s="302">
        <v>418</v>
      </c>
      <c r="L121" s="302"/>
      <c r="M121" s="302">
        <v>17</v>
      </c>
      <c r="N121" s="146">
        <v>463</v>
      </c>
      <c r="O121" s="146">
        <v>0.54</v>
      </c>
      <c r="P121" s="282">
        <v>6</v>
      </c>
      <c r="Q121" s="302">
        <v>0</v>
      </c>
      <c r="R121" s="146">
        <v>0</v>
      </c>
      <c r="S121" s="303">
        <f aca="true" t="shared" si="15" ref="S121:S174">SUM(U121,W121,Y121,Z121,AA121,AE121)</f>
        <v>167498</v>
      </c>
      <c r="T121" s="151">
        <f aca="true" t="shared" si="16" ref="T121:T174">SUM(V121,X121,AB121,AC121,AD121,AF121)</f>
        <v>168193</v>
      </c>
      <c r="U121" s="302">
        <v>164032</v>
      </c>
      <c r="V121" s="146">
        <v>162203.5</v>
      </c>
      <c r="W121" s="302">
        <v>3047</v>
      </c>
      <c r="X121" s="146">
        <v>5283</v>
      </c>
      <c r="Y121" s="302">
        <v>382</v>
      </c>
      <c r="Z121" s="302">
        <v>25</v>
      </c>
      <c r="AA121" s="302">
        <v>12</v>
      </c>
      <c r="AB121" s="146">
        <v>706.5</v>
      </c>
      <c r="AC121" s="146">
        <v>0</v>
      </c>
      <c r="AD121" s="146">
        <v>0</v>
      </c>
      <c r="AE121" s="302"/>
      <c r="AF121" s="172">
        <v>0</v>
      </c>
    </row>
    <row r="122" spans="1:32" s="299" customFormat="1" ht="15" customHeight="1">
      <c r="A122" s="135" t="s">
        <v>274</v>
      </c>
      <c r="B122" s="135" t="s">
        <v>276</v>
      </c>
      <c r="C122" s="23">
        <v>139959</v>
      </c>
      <c r="D122" s="157">
        <v>1</v>
      </c>
      <c r="E122" s="233">
        <f t="shared" si="9"/>
        <v>721973</v>
      </c>
      <c r="F122" s="151">
        <f t="shared" si="14"/>
        <v>718139</v>
      </c>
      <c r="G122" s="302">
        <v>703386</v>
      </c>
      <c r="H122" s="146">
        <v>695375</v>
      </c>
      <c r="I122" s="302">
        <v>16949</v>
      </c>
      <c r="J122" s="146">
        <v>20763</v>
      </c>
      <c r="K122" s="302">
        <v>1638</v>
      </c>
      <c r="L122" s="302"/>
      <c r="M122" s="302"/>
      <c r="N122" s="146">
        <v>2001</v>
      </c>
      <c r="O122" s="146">
        <v>0</v>
      </c>
      <c r="P122" s="282">
        <v>0</v>
      </c>
      <c r="Q122" s="302">
        <v>0</v>
      </c>
      <c r="R122" s="146">
        <v>0</v>
      </c>
      <c r="S122" s="303">
        <f t="shared" si="15"/>
        <v>224187</v>
      </c>
      <c r="T122" s="151">
        <f t="shared" si="16"/>
        <v>223877.2</v>
      </c>
      <c r="U122" s="302">
        <v>201172</v>
      </c>
      <c r="V122" s="146">
        <v>198935.7</v>
      </c>
      <c r="W122" s="302">
        <v>11102</v>
      </c>
      <c r="X122" s="146">
        <v>12240.5</v>
      </c>
      <c r="Y122" s="302">
        <v>11333</v>
      </c>
      <c r="Z122" s="302">
        <v>391</v>
      </c>
      <c r="AA122" s="302">
        <v>189</v>
      </c>
      <c r="AB122" s="146">
        <v>12242.55</v>
      </c>
      <c r="AC122" s="146">
        <v>196</v>
      </c>
      <c r="AD122" s="146">
        <v>262.45</v>
      </c>
      <c r="AE122" s="302"/>
      <c r="AF122" s="172">
        <v>0</v>
      </c>
    </row>
    <row r="123" spans="1:32" s="299" customFormat="1" ht="15" customHeight="1">
      <c r="A123" s="135" t="s">
        <v>274</v>
      </c>
      <c r="B123" s="135" t="s">
        <v>277</v>
      </c>
      <c r="C123" s="23">
        <v>139755</v>
      </c>
      <c r="D123" s="157">
        <v>2</v>
      </c>
      <c r="E123" s="233">
        <f t="shared" si="9"/>
        <v>344402</v>
      </c>
      <c r="F123" s="151">
        <f t="shared" si="14"/>
        <v>356262</v>
      </c>
      <c r="G123" s="302">
        <v>332847</v>
      </c>
      <c r="H123" s="146">
        <v>344549</v>
      </c>
      <c r="I123" s="302">
        <v>8519</v>
      </c>
      <c r="J123" s="146">
        <v>8767</v>
      </c>
      <c r="K123" s="302">
        <v>403</v>
      </c>
      <c r="L123" s="302">
        <f>561+1565</f>
        <v>2126</v>
      </c>
      <c r="M123" s="302">
        <v>507</v>
      </c>
      <c r="N123" s="146">
        <v>666</v>
      </c>
      <c r="O123" s="146">
        <f>272+1462</f>
        <v>1734</v>
      </c>
      <c r="P123" s="282">
        <v>546</v>
      </c>
      <c r="Q123" s="302">
        <v>0</v>
      </c>
      <c r="R123" s="146">
        <v>0</v>
      </c>
      <c r="S123" s="303">
        <f t="shared" si="15"/>
        <v>189510</v>
      </c>
      <c r="T123" s="151">
        <f t="shared" si="16"/>
        <v>185879.8</v>
      </c>
      <c r="U123" s="302">
        <v>183001</v>
      </c>
      <c r="V123" s="146">
        <v>179875.8</v>
      </c>
      <c r="W123" s="302">
        <v>3294</v>
      </c>
      <c r="X123" s="146">
        <v>3008</v>
      </c>
      <c r="Y123" s="302">
        <v>513</v>
      </c>
      <c r="Z123" s="302">
        <v>132</v>
      </c>
      <c r="AA123" s="302">
        <v>2570</v>
      </c>
      <c r="AB123" s="146">
        <v>120</v>
      </c>
      <c r="AC123" s="146">
        <f>63+134</f>
        <v>197</v>
      </c>
      <c r="AD123" s="146">
        <v>2679</v>
      </c>
      <c r="AE123" s="302"/>
      <c r="AF123" s="172">
        <v>0</v>
      </c>
    </row>
    <row r="124" spans="1:32" s="299" customFormat="1" ht="15" customHeight="1">
      <c r="A124" s="135" t="s">
        <v>274</v>
      </c>
      <c r="B124" s="135" t="s">
        <v>278</v>
      </c>
      <c r="C124" s="23">
        <v>139931</v>
      </c>
      <c r="D124" s="157">
        <v>3</v>
      </c>
      <c r="E124" s="233">
        <f t="shared" si="9"/>
        <v>403819</v>
      </c>
      <c r="F124" s="151">
        <f t="shared" si="14"/>
        <v>417248</v>
      </c>
      <c r="G124" s="302">
        <v>398618</v>
      </c>
      <c r="H124" s="146">
        <v>409024</v>
      </c>
      <c r="I124" s="302">
        <v>1748</v>
      </c>
      <c r="J124" s="146">
        <v>2776</v>
      </c>
      <c r="K124" s="302">
        <v>2415</v>
      </c>
      <c r="L124" s="302">
        <f>51+987</f>
        <v>1038</v>
      </c>
      <c r="M124" s="302"/>
      <c r="N124" s="146">
        <v>4459</v>
      </c>
      <c r="O124" s="146">
        <f>45+944</f>
        <v>989</v>
      </c>
      <c r="P124" s="282">
        <v>0</v>
      </c>
      <c r="Q124" s="302">
        <v>0</v>
      </c>
      <c r="R124" s="146">
        <v>0</v>
      </c>
      <c r="S124" s="303">
        <f t="shared" si="15"/>
        <v>30722</v>
      </c>
      <c r="T124" s="151">
        <f t="shared" si="16"/>
        <v>31653</v>
      </c>
      <c r="U124" s="302">
        <v>17541</v>
      </c>
      <c r="V124" s="146">
        <v>17874</v>
      </c>
      <c r="W124" s="302">
        <v>4221</v>
      </c>
      <c r="X124" s="146">
        <v>4290</v>
      </c>
      <c r="Y124" s="302">
        <v>8465</v>
      </c>
      <c r="Z124" s="302">
        <f>18+477</f>
        <v>495</v>
      </c>
      <c r="AA124" s="302">
        <v>0</v>
      </c>
      <c r="AB124" s="146">
        <v>9197</v>
      </c>
      <c r="AC124" s="146">
        <f>27+265</f>
        <v>292</v>
      </c>
      <c r="AD124" s="146">
        <v>0</v>
      </c>
      <c r="AE124" s="302"/>
      <c r="AF124" s="172">
        <v>0</v>
      </c>
    </row>
    <row r="125" spans="1:32" s="299" customFormat="1" ht="15" customHeight="1">
      <c r="A125" s="135" t="s">
        <v>274</v>
      </c>
      <c r="B125" s="135" t="s">
        <v>526</v>
      </c>
      <c r="C125" s="23">
        <v>141334</v>
      </c>
      <c r="D125" s="157">
        <v>3</v>
      </c>
      <c r="E125" s="233">
        <f t="shared" si="9"/>
        <v>226641</v>
      </c>
      <c r="F125" s="151">
        <f t="shared" si="14"/>
        <v>228824</v>
      </c>
      <c r="G125" s="302">
        <v>209883</v>
      </c>
      <c r="H125" s="146">
        <v>212447</v>
      </c>
      <c r="I125" s="302">
        <v>7745</v>
      </c>
      <c r="J125" s="146">
        <v>6771</v>
      </c>
      <c r="K125" s="302">
        <v>9013</v>
      </c>
      <c r="L125" s="302"/>
      <c r="M125" s="302"/>
      <c r="N125" s="146">
        <v>9606</v>
      </c>
      <c r="O125" s="146">
        <v>0</v>
      </c>
      <c r="P125" s="282">
        <v>0</v>
      </c>
      <c r="Q125" s="302">
        <v>0</v>
      </c>
      <c r="R125" s="146">
        <v>0</v>
      </c>
      <c r="S125" s="303">
        <f t="shared" si="15"/>
        <v>28051</v>
      </c>
      <c r="T125" s="151">
        <f t="shared" si="16"/>
        <v>26266</v>
      </c>
      <c r="U125" s="302">
        <v>19191</v>
      </c>
      <c r="V125" s="146">
        <v>16353</v>
      </c>
      <c r="W125" s="302">
        <v>4192</v>
      </c>
      <c r="X125" s="146">
        <v>3820</v>
      </c>
      <c r="Y125" s="302">
        <v>4609</v>
      </c>
      <c r="Z125" s="302">
        <v>15</v>
      </c>
      <c r="AA125" s="302">
        <v>0</v>
      </c>
      <c r="AB125" s="146">
        <v>6093</v>
      </c>
      <c r="AC125" s="146">
        <v>0</v>
      </c>
      <c r="AD125" s="146">
        <v>0</v>
      </c>
      <c r="AE125" s="302">
        <v>44</v>
      </c>
      <c r="AF125" s="172">
        <v>0</v>
      </c>
    </row>
    <row r="126" spans="1:32" s="299" customFormat="1" ht="15" customHeight="1">
      <c r="A126" s="135" t="s">
        <v>274</v>
      </c>
      <c r="B126" s="135" t="s">
        <v>283</v>
      </c>
      <c r="C126" s="23">
        <v>141264</v>
      </c>
      <c r="D126" s="157">
        <v>3</v>
      </c>
      <c r="E126" s="233">
        <f t="shared" si="9"/>
        <v>248689</v>
      </c>
      <c r="F126" s="151">
        <f t="shared" si="14"/>
        <v>251325.40000000002</v>
      </c>
      <c r="G126" s="302">
        <v>223363</v>
      </c>
      <c r="H126" s="146">
        <v>233069</v>
      </c>
      <c r="I126" s="302">
        <v>11682</v>
      </c>
      <c r="J126" s="146">
        <v>9609</v>
      </c>
      <c r="K126" s="302">
        <v>7660</v>
      </c>
      <c r="L126" s="302">
        <f>42+100</f>
        <v>142</v>
      </c>
      <c r="M126" s="302">
        <v>4998</v>
      </c>
      <c r="N126" s="146">
        <v>6076</v>
      </c>
      <c r="O126" s="146">
        <v>53</v>
      </c>
      <c r="P126" s="282">
        <v>1975.95</v>
      </c>
      <c r="Q126" s="302">
        <v>844</v>
      </c>
      <c r="R126" s="146">
        <v>542.45</v>
      </c>
      <c r="S126" s="303">
        <f t="shared" si="15"/>
        <v>26477</v>
      </c>
      <c r="T126" s="151">
        <f t="shared" si="16"/>
        <v>22263</v>
      </c>
      <c r="U126" s="302">
        <v>12012</v>
      </c>
      <c r="V126" s="146">
        <v>11862</v>
      </c>
      <c r="W126" s="302">
        <v>8113</v>
      </c>
      <c r="X126" s="146">
        <v>3832</v>
      </c>
      <c r="Y126" s="302">
        <v>5045</v>
      </c>
      <c r="Z126" s="302">
        <f>10+23</f>
        <v>33</v>
      </c>
      <c r="AA126" s="302">
        <v>920</v>
      </c>
      <c r="AB126" s="146">
        <v>5928.05</v>
      </c>
      <c r="AC126" s="146">
        <v>5.4</v>
      </c>
      <c r="AD126" s="146">
        <v>377.55</v>
      </c>
      <c r="AE126" s="302">
        <v>354</v>
      </c>
      <c r="AF126" s="172">
        <v>258</v>
      </c>
    </row>
    <row r="127" spans="1:32" s="299" customFormat="1" ht="15" customHeight="1">
      <c r="A127" s="135" t="s">
        <v>274</v>
      </c>
      <c r="B127" s="135" t="s">
        <v>279</v>
      </c>
      <c r="C127" s="23">
        <v>138716</v>
      </c>
      <c r="D127" s="157">
        <v>4</v>
      </c>
      <c r="E127" s="233">
        <f t="shared" si="9"/>
        <v>93002</v>
      </c>
      <c r="F127" s="151">
        <f t="shared" si="14"/>
        <v>91572</v>
      </c>
      <c r="G127" s="302">
        <v>92430</v>
      </c>
      <c r="H127" s="146">
        <v>91277</v>
      </c>
      <c r="I127" s="302">
        <v>554</v>
      </c>
      <c r="J127" s="146">
        <v>277</v>
      </c>
      <c r="K127" s="302"/>
      <c r="L127" s="302">
        <v>18</v>
      </c>
      <c r="M127" s="302"/>
      <c r="N127" s="146">
        <v>18</v>
      </c>
      <c r="O127" s="146">
        <v>0</v>
      </c>
      <c r="P127" s="282">
        <v>0</v>
      </c>
      <c r="Q127" s="302">
        <v>0</v>
      </c>
      <c r="R127" s="146">
        <v>0</v>
      </c>
      <c r="S127" s="303">
        <f t="shared" si="15"/>
        <v>8078</v>
      </c>
      <c r="T127" s="151">
        <f t="shared" si="16"/>
        <v>7467</v>
      </c>
      <c r="U127" s="302">
        <v>7505</v>
      </c>
      <c r="V127" s="146">
        <v>7254</v>
      </c>
      <c r="W127" s="302">
        <v>441</v>
      </c>
      <c r="X127" s="146">
        <v>117</v>
      </c>
      <c r="Y127" s="302">
        <v>0</v>
      </c>
      <c r="Z127" s="302">
        <v>132</v>
      </c>
      <c r="AA127" s="302">
        <v>0</v>
      </c>
      <c r="AB127" s="146">
        <v>0</v>
      </c>
      <c r="AC127" s="146">
        <v>96</v>
      </c>
      <c r="AD127" s="146">
        <v>0</v>
      </c>
      <c r="AE127" s="302"/>
      <c r="AF127" s="172">
        <v>0</v>
      </c>
    </row>
    <row r="128" spans="1:32" s="299" customFormat="1" ht="15" customHeight="1">
      <c r="A128" s="135" t="s">
        <v>274</v>
      </c>
      <c r="B128" s="135" t="s">
        <v>284</v>
      </c>
      <c r="C128" s="23">
        <v>138789</v>
      </c>
      <c r="D128" s="157">
        <v>4</v>
      </c>
      <c r="E128" s="233">
        <f t="shared" si="9"/>
        <v>147821</v>
      </c>
      <c r="F128" s="151">
        <f t="shared" si="14"/>
        <v>147400</v>
      </c>
      <c r="G128" s="302">
        <v>132656</v>
      </c>
      <c r="H128" s="146">
        <v>132566</v>
      </c>
      <c r="I128" s="302">
        <v>10383</v>
      </c>
      <c r="J128" s="146">
        <v>10114</v>
      </c>
      <c r="K128" s="302">
        <v>4473</v>
      </c>
      <c r="L128" s="302">
        <f>57+252</f>
        <v>309</v>
      </c>
      <c r="M128" s="302"/>
      <c r="N128" s="146">
        <v>4481</v>
      </c>
      <c r="O128" s="146">
        <f>130+109</f>
        <v>239</v>
      </c>
      <c r="P128" s="282">
        <v>0</v>
      </c>
      <c r="Q128" s="302">
        <v>0</v>
      </c>
      <c r="R128" s="146">
        <v>0</v>
      </c>
      <c r="S128" s="303">
        <f t="shared" si="15"/>
        <v>15456</v>
      </c>
      <c r="T128" s="151">
        <f t="shared" si="16"/>
        <v>13475</v>
      </c>
      <c r="U128" s="302">
        <v>12321</v>
      </c>
      <c r="V128" s="146">
        <v>10622</v>
      </c>
      <c r="W128" s="302">
        <v>893</v>
      </c>
      <c r="X128" s="146">
        <v>554</v>
      </c>
      <c r="Y128" s="302">
        <v>2078</v>
      </c>
      <c r="Z128" s="302">
        <f>12+152</f>
        <v>164</v>
      </c>
      <c r="AA128" s="302">
        <v>0</v>
      </c>
      <c r="AB128" s="146">
        <v>2045</v>
      </c>
      <c r="AC128" s="146">
        <f>227+27</f>
        <v>254</v>
      </c>
      <c r="AD128" s="146">
        <v>0</v>
      </c>
      <c r="AE128" s="302"/>
      <c r="AF128" s="172">
        <v>0</v>
      </c>
    </row>
    <row r="129" spans="1:32" s="299" customFormat="1" ht="15" customHeight="1">
      <c r="A129" s="135" t="s">
        <v>274</v>
      </c>
      <c r="B129" s="135" t="s">
        <v>280</v>
      </c>
      <c r="C129" s="23">
        <v>139366</v>
      </c>
      <c r="D129" s="157">
        <v>4</v>
      </c>
      <c r="E129" s="233">
        <f t="shared" si="9"/>
        <v>160739</v>
      </c>
      <c r="F129" s="151">
        <f t="shared" si="14"/>
        <v>167988.5</v>
      </c>
      <c r="G129" s="302">
        <v>151206</v>
      </c>
      <c r="H129" s="146">
        <v>155996</v>
      </c>
      <c r="I129" s="302">
        <v>2846</v>
      </c>
      <c r="J129" s="146">
        <v>4018</v>
      </c>
      <c r="K129" s="302">
        <v>6687</v>
      </c>
      <c r="L129" s="302"/>
      <c r="M129" s="302"/>
      <c r="N129" s="146">
        <v>7970</v>
      </c>
      <c r="O129" s="146">
        <v>4.5</v>
      </c>
      <c r="P129" s="282">
        <v>0</v>
      </c>
      <c r="Q129" s="302">
        <v>0</v>
      </c>
      <c r="R129" s="146">
        <v>0</v>
      </c>
      <c r="S129" s="303">
        <f t="shared" si="15"/>
        <v>15901</v>
      </c>
      <c r="T129" s="151">
        <f t="shared" si="16"/>
        <v>14628</v>
      </c>
      <c r="U129" s="302">
        <v>11878</v>
      </c>
      <c r="V129" s="146">
        <v>12257</v>
      </c>
      <c r="W129" s="302">
        <v>1159</v>
      </c>
      <c r="X129" s="146">
        <v>786</v>
      </c>
      <c r="Y129" s="302">
        <v>1898</v>
      </c>
      <c r="Z129" s="302">
        <v>966</v>
      </c>
      <c r="AA129" s="302">
        <v>0</v>
      </c>
      <c r="AB129" s="146">
        <v>1585</v>
      </c>
      <c r="AC129" s="146">
        <v>0</v>
      </c>
      <c r="AD129" s="146">
        <v>0</v>
      </c>
      <c r="AE129" s="302"/>
      <c r="AF129" s="172">
        <v>0</v>
      </c>
    </row>
    <row r="130" spans="1:32" s="299" customFormat="1" ht="15" customHeight="1">
      <c r="A130" s="135" t="s">
        <v>274</v>
      </c>
      <c r="B130" s="135" t="s">
        <v>281</v>
      </c>
      <c r="C130" s="23">
        <v>139861</v>
      </c>
      <c r="D130" s="157">
        <v>4</v>
      </c>
      <c r="E130" s="233">
        <f t="shared" si="9"/>
        <v>127780</v>
      </c>
      <c r="F130" s="151">
        <f t="shared" si="14"/>
        <v>130514</v>
      </c>
      <c r="G130" s="302">
        <v>124497</v>
      </c>
      <c r="H130" s="146">
        <v>128607</v>
      </c>
      <c r="I130" s="302">
        <v>2719</v>
      </c>
      <c r="J130" s="146">
        <v>1826</v>
      </c>
      <c r="K130" s="302">
        <v>486</v>
      </c>
      <c r="L130" s="302">
        <f>39+39</f>
        <v>78</v>
      </c>
      <c r="M130" s="302"/>
      <c r="N130" s="146">
        <v>81</v>
      </c>
      <c r="O130" s="146">
        <v>0</v>
      </c>
      <c r="P130" s="282">
        <v>0</v>
      </c>
      <c r="Q130" s="302">
        <v>0</v>
      </c>
      <c r="R130" s="146">
        <v>0</v>
      </c>
      <c r="S130" s="303">
        <f t="shared" si="15"/>
        <v>18236</v>
      </c>
      <c r="T130" s="151">
        <f t="shared" si="16"/>
        <v>16823</v>
      </c>
      <c r="U130" s="302">
        <v>6965</v>
      </c>
      <c r="V130" s="146">
        <v>5960</v>
      </c>
      <c r="W130" s="302">
        <v>8446</v>
      </c>
      <c r="X130" s="146">
        <v>7464</v>
      </c>
      <c r="Y130" s="302">
        <v>2645</v>
      </c>
      <c r="Z130" s="302">
        <f>6+174</f>
        <v>180</v>
      </c>
      <c r="AA130" s="302">
        <v>0</v>
      </c>
      <c r="AB130" s="146">
        <v>3399</v>
      </c>
      <c r="AC130" s="146">
        <v>0</v>
      </c>
      <c r="AD130" s="146">
        <v>0</v>
      </c>
      <c r="AE130" s="302"/>
      <c r="AF130" s="172">
        <v>0</v>
      </c>
    </row>
    <row r="131" spans="1:32" s="299" customFormat="1" ht="12.75">
      <c r="A131" s="135" t="s">
        <v>274</v>
      </c>
      <c r="B131" s="135" t="s">
        <v>282</v>
      </c>
      <c r="C131" s="23">
        <v>140164</v>
      </c>
      <c r="D131" s="157">
        <v>4</v>
      </c>
      <c r="E131" s="233">
        <f t="shared" si="9"/>
        <v>403462</v>
      </c>
      <c r="F131" s="151">
        <f t="shared" si="14"/>
        <v>420415</v>
      </c>
      <c r="G131" s="302">
        <v>395743</v>
      </c>
      <c r="H131" s="146">
        <v>410377</v>
      </c>
      <c r="I131" s="302">
        <v>18</v>
      </c>
      <c r="J131" s="146">
        <v>3</v>
      </c>
      <c r="K131" s="302">
        <v>7701</v>
      </c>
      <c r="L131" s="302"/>
      <c r="M131" s="302"/>
      <c r="N131" s="146">
        <v>10035</v>
      </c>
      <c r="O131" s="146">
        <v>0</v>
      </c>
      <c r="P131" s="282">
        <v>0</v>
      </c>
      <c r="Q131" s="302">
        <v>0</v>
      </c>
      <c r="R131" s="146">
        <v>0</v>
      </c>
      <c r="S131" s="303">
        <f t="shared" si="15"/>
        <v>31716</v>
      </c>
      <c r="T131" s="151">
        <f t="shared" si="16"/>
        <v>32616</v>
      </c>
      <c r="U131" s="302">
        <v>28712</v>
      </c>
      <c r="V131" s="146">
        <v>27984</v>
      </c>
      <c r="W131" s="302">
        <v>2746</v>
      </c>
      <c r="X131" s="146">
        <v>4273</v>
      </c>
      <c r="Y131" s="302">
        <v>258</v>
      </c>
      <c r="Z131" s="302">
        <v>0</v>
      </c>
      <c r="AA131" s="302">
        <v>0</v>
      </c>
      <c r="AB131" s="146">
        <v>359</v>
      </c>
      <c r="AC131" s="146">
        <v>0</v>
      </c>
      <c r="AD131" s="146">
        <v>0</v>
      </c>
      <c r="AE131" s="302"/>
      <c r="AF131" s="172">
        <v>0</v>
      </c>
    </row>
    <row r="132" spans="1:32" s="299" customFormat="1" ht="15" customHeight="1">
      <c r="A132" s="135" t="s">
        <v>274</v>
      </c>
      <c r="B132" s="135" t="s">
        <v>285</v>
      </c>
      <c r="C132" s="23">
        <v>138983</v>
      </c>
      <c r="D132" s="157">
        <v>5</v>
      </c>
      <c r="E132" s="233">
        <f t="shared" si="9"/>
        <v>143437</v>
      </c>
      <c r="F132" s="151">
        <f t="shared" si="14"/>
        <v>144527.54</v>
      </c>
      <c r="G132" s="302">
        <v>140475</v>
      </c>
      <c r="H132" s="146">
        <v>141377</v>
      </c>
      <c r="I132" s="302">
        <v>760</v>
      </c>
      <c r="J132" s="146">
        <v>1050</v>
      </c>
      <c r="K132" s="302">
        <v>2202</v>
      </c>
      <c r="L132" s="302"/>
      <c r="M132" s="302"/>
      <c r="N132" s="146">
        <v>2100</v>
      </c>
      <c r="O132" s="146">
        <v>0.54</v>
      </c>
      <c r="P132" s="282">
        <v>0</v>
      </c>
      <c r="Q132" s="302">
        <v>0</v>
      </c>
      <c r="R132" s="146">
        <v>0</v>
      </c>
      <c r="S132" s="303">
        <f t="shared" si="15"/>
        <v>9159</v>
      </c>
      <c r="T132" s="151">
        <f t="shared" si="16"/>
        <v>9417</v>
      </c>
      <c r="U132" s="302">
        <v>9132</v>
      </c>
      <c r="V132" s="146">
        <v>9213</v>
      </c>
      <c r="W132" s="302">
        <v>27</v>
      </c>
      <c r="X132" s="146">
        <v>204</v>
      </c>
      <c r="Y132" s="302">
        <v>0</v>
      </c>
      <c r="Z132" s="302">
        <v>0</v>
      </c>
      <c r="AA132" s="302">
        <v>0</v>
      </c>
      <c r="AB132" s="146">
        <v>0</v>
      </c>
      <c r="AC132" s="146">
        <v>0</v>
      </c>
      <c r="AD132" s="146">
        <v>0</v>
      </c>
      <c r="AE132" s="302"/>
      <c r="AF132" s="172">
        <v>0</v>
      </c>
    </row>
    <row r="133" spans="1:32" s="299" customFormat="1" ht="15" customHeight="1">
      <c r="A133" s="135" t="s">
        <v>274</v>
      </c>
      <c r="B133" s="135" t="s">
        <v>286</v>
      </c>
      <c r="C133" s="23">
        <v>139719</v>
      </c>
      <c r="D133" s="157">
        <v>5</v>
      </c>
      <c r="E133" s="233">
        <f t="shared" si="9"/>
        <v>68935</v>
      </c>
      <c r="F133" s="151">
        <f t="shared" si="14"/>
        <v>63671</v>
      </c>
      <c r="G133" s="302">
        <v>68902</v>
      </c>
      <c r="H133" s="146">
        <v>63671</v>
      </c>
      <c r="I133" s="302"/>
      <c r="J133" s="146">
        <v>0</v>
      </c>
      <c r="K133" s="302"/>
      <c r="L133" s="302">
        <f>12+21</f>
        <v>33</v>
      </c>
      <c r="M133" s="302"/>
      <c r="N133" s="146">
        <v>0</v>
      </c>
      <c r="O133" s="146">
        <v>0</v>
      </c>
      <c r="P133" s="282">
        <v>0</v>
      </c>
      <c r="Q133" s="302">
        <v>0</v>
      </c>
      <c r="R133" s="146">
        <v>0</v>
      </c>
      <c r="S133" s="303">
        <f t="shared" si="15"/>
        <v>3941</v>
      </c>
      <c r="T133" s="151">
        <f t="shared" si="16"/>
        <v>4064</v>
      </c>
      <c r="U133" s="302">
        <v>3941</v>
      </c>
      <c r="V133" s="146">
        <v>4064</v>
      </c>
      <c r="W133" s="302">
        <v>0</v>
      </c>
      <c r="X133" s="146">
        <v>0</v>
      </c>
      <c r="Y133" s="302">
        <v>0</v>
      </c>
      <c r="Z133" s="302">
        <v>0</v>
      </c>
      <c r="AA133" s="302">
        <v>0</v>
      </c>
      <c r="AB133" s="146">
        <v>0</v>
      </c>
      <c r="AC133" s="146">
        <v>0</v>
      </c>
      <c r="AD133" s="146">
        <v>0</v>
      </c>
      <c r="AE133" s="302"/>
      <c r="AF133" s="172">
        <v>0</v>
      </c>
    </row>
    <row r="134" spans="1:32" s="299" customFormat="1" ht="15" customHeight="1">
      <c r="A134" s="135" t="s">
        <v>274</v>
      </c>
      <c r="B134" s="135" t="s">
        <v>287</v>
      </c>
      <c r="C134" s="23">
        <v>139764</v>
      </c>
      <c r="D134" s="157">
        <v>5</v>
      </c>
      <c r="E134" s="233">
        <f t="shared" si="9"/>
        <v>57118</v>
      </c>
      <c r="F134" s="151">
        <f t="shared" si="14"/>
        <v>59963</v>
      </c>
      <c r="G134" s="302">
        <v>51327</v>
      </c>
      <c r="H134" s="146">
        <v>49861</v>
      </c>
      <c r="I134" s="302">
        <v>557</v>
      </c>
      <c r="J134" s="146">
        <v>877</v>
      </c>
      <c r="K134" s="302">
        <v>4844</v>
      </c>
      <c r="L134" s="302">
        <f>6+384</f>
        <v>390</v>
      </c>
      <c r="M134" s="302"/>
      <c r="N134" s="146">
        <v>8892</v>
      </c>
      <c r="O134" s="146">
        <v>333</v>
      </c>
      <c r="P134" s="282">
        <v>0</v>
      </c>
      <c r="Q134" s="302">
        <v>0</v>
      </c>
      <c r="R134" s="146">
        <v>0</v>
      </c>
      <c r="S134" s="303">
        <f t="shared" si="15"/>
        <v>3756</v>
      </c>
      <c r="T134" s="151">
        <f t="shared" si="16"/>
        <v>3258</v>
      </c>
      <c r="U134" s="302">
        <v>2301</v>
      </c>
      <c r="V134" s="146">
        <v>1995</v>
      </c>
      <c r="W134" s="302">
        <v>6</v>
      </c>
      <c r="X134" s="146">
        <v>0</v>
      </c>
      <c r="Y134" s="302">
        <v>1449</v>
      </c>
      <c r="Z134" s="302">
        <v>0</v>
      </c>
      <c r="AA134" s="302">
        <v>0</v>
      </c>
      <c r="AB134" s="146">
        <v>1263</v>
      </c>
      <c r="AC134" s="146">
        <v>0</v>
      </c>
      <c r="AD134" s="146">
        <v>0</v>
      </c>
      <c r="AE134" s="302"/>
      <c r="AF134" s="172">
        <v>0</v>
      </c>
    </row>
    <row r="135" spans="1:32" s="299" customFormat="1" ht="12.75">
      <c r="A135" s="135" t="s">
        <v>274</v>
      </c>
      <c r="B135" s="135" t="s">
        <v>288</v>
      </c>
      <c r="C135" s="23">
        <v>140669</v>
      </c>
      <c r="D135" s="157">
        <v>5</v>
      </c>
      <c r="E135" s="233">
        <f aca="true" t="shared" si="17" ref="E135:E198">SUM(G135,I135,K135,L135,M135,Q135)</f>
        <v>115700</v>
      </c>
      <c r="F135" s="151">
        <f t="shared" si="14"/>
        <v>117871.28000000001</v>
      </c>
      <c r="G135" s="302">
        <v>106118</v>
      </c>
      <c r="H135" s="146">
        <v>109130</v>
      </c>
      <c r="I135" s="302">
        <v>6003</v>
      </c>
      <c r="J135" s="146">
        <v>5543</v>
      </c>
      <c r="K135" s="302">
        <v>748</v>
      </c>
      <c r="L135" s="302">
        <f>159+2639</f>
        <v>2798</v>
      </c>
      <c r="M135" s="302">
        <v>33</v>
      </c>
      <c r="N135" s="146">
        <v>1176</v>
      </c>
      <c r="O135" s="146">
        <f>44.88+1833.95</f>
        <v>1878.8300000000002</v>
      </c>
      <c r="P135" s="282">
        <v>110.6</v>
      </c>
      <c r="Q135" s="302">
        <v>0</v>
      </c>
      <c r="R135" s="146">
        <v>32.85</v>
      </c>
      <c r="S135" s="303">
        <f t="shared" si="15"/>
        <v>10226</v>
      </c>
      <c r="T135" s="151">
        <f t="shared" si="16"/>
        <v>10820</v>
      </c>
      <c r="U135" s="302">
        <v>8430</v>
      </c>
      <c r="V135" s="146">
        <v>8609</v>
      </c>
      <c r="W135" s="302">
        <v>1193</v>
      </c>
      <c r="X135" s="146">
        <v>1596</v>
      </c>
      <c r="Y135" s="302">
        <v>530</v>
      </c>
      <c r="Z135" s="302">
        <f>48+24</f>
        <v>72</v>
      </c>
      <c r="AA135" s="302">
        <v>0</v>
      </c>
      <c r="AB135" s="146">
        <v>532.8</v>
      </c>
      <c r="AC135" s="146">
        <f>3+35.4</f>
        <v>38.4</v>
      </c>
      <c r="AD135" s="146">
        <v>31.2</v>
      </c>
      <c r="AE135" s="302">
        <v>1</v>
      </c>
      <c r="AF135" s="172">
        <v>12.6</v>
      </c>
    </row>
    <row r="136" spans="1:32" s="299" customFormat="1" ht="15" customHeight="1">
      <c r="A136" s="135" t="s">
        <v>274</v>
      </c>
      <c r="B136" s="135" t="s">
        <v>289</v>
      </c>
      <c r="C136" s="23">
        <v>140960</v>
      </c>
      <c r="D136" s="157">
        <v>5</v>
      </c>
      <c r="E136" s="233">
        <f t="shared" si="17"/>
        <v>74513</v>
      </c>
      <c r="F136" s="151">
        <f t="shared" si="14"/>
        <v>77678</v>
      </c>
      <c r="G136" s="302">
        <v>74276</v>
      </c>
      <c r="H136" s="146">
        <v>77600</v>
      </c>
      <c r="I136" s="302">
        <v>237</v>
      </c>
      <c r="J136" s="146">
        <v>78</v>
      </c>
      <c r="K136" s="302"/>
      <c r="L136" s="302"/>
      <c r="M136" s="302"/>
      <c r="N136" s="146">
        <v>0</v>
      </c>
      <c r="O136" s="146">
        <v>0</v>
      </c>
      <c r="P136" s="282">
        <v>0</v>
      </c>
      <c r="Q136" s="302">
        <v>0</v>
      </c>
      <c r="R136" s="146">
        <v>0</v>
      </c>
      <c r="S136" s="303">
        <f t="shared" si="15"/>
        <v>3345</v>
      </c>
      <c r="T136" s="151">
        <f t="shared" si="16"/>
        <v>2540</v>
      </c>
      <c r="U136" s="302">
        <v>2493</v>
      </c>
      <c r="V136" s="146">
        <v>1151</v>
      </c>
      <c r="W136" s="302">
        <v>738</v>
      </c>
      <c r="X136" s="146">
        <v>1389</v>
      </c>
      <c r="Y136" s="302">
        <v>0</v>
      </c>
      <c r="Z136" s="302">
        <f>114</f>
        <v>114</v>
      </c>
      <c r="AA136" s="302">
        <v>0</v>
      </c>
      <c r="AB136" s="146">
        <v>0</v>
      </c>
      <c r="AC136" s="146">
        <v>0</v>
      </c>
      <c r="AD136" s="146">
        <v>0</v>
      </c>
      <c r="AE136" s="302"/>
      <c r="AF136" s="172">
        <v>0</v>
      </c>
    </row>
    <row r="137" spans="1:32" s="299" customFormat="1" ht="15" customHeight="1">
      <c r="A137" s="135" t="s">
        <v>274</v>
      </c>
      <c r="B137" s="377" t="s">
        <v>7</v>
      </c>
      <c r="C137" s="23">
        <v>139311</v>
      </c>
      <c r="D137" s="157">
        <v>6</v>
      </c>
      <c r="E137" s="233">
        <f t="shared" si="17"/>
        <v>142234</v>
      </c>
      <c r="F137" s="151">
        <f t="shared" si="14"/>
        <v>146415.35</v>
      </c>
      <c r="G137" s="302">
        <v>124132</v>
      </c>
      <c r="H137" s="146">
        <v>130889</v>
      </c>
      <c r="I137" s="302">
        <v>0</v>
      </c>
      <c r="J137" s="146">
        <v>0</v>
      </c>
      <c r="K137" s="302">
        <v>17287</v>
      </c>
      <c r="L137" s="302"/>
      <c r="M137" s="302">
        <v>90</v>
      </c>
      <c r="N137" s="146">
        <v>14328</v>
      </c>
      <c r="O137" s="146">
        <v>0</v>
      </c>
      <c r="P137" s="282">
        <v>338.85</v>
      </c>
      <c r="Q137" s="302">
        <v>725</v>
      </c>
      <c r="R137" s="146">
        <v>859.5</v>
      </c>
      <c r="S137" s="303">
        <f t="shared" si="15"/>
        <v>0</v>
      </c>
      <c r="T137" s="151">
        <f t="shared" si="16"/>
        <v>0</v>
      </c>
      <c r="U137" s="302">
        <v>0</v>
      </c>
      <c r="V137" s="146">
        <v>0</v>
      </c>
      <c r="W137" s="302">
        <v>0</v>
      </c>
      <c r="X137" s="146">
        <v>0</v>
      </c>
      <c r="Y137" s="302">
        <v>0</v>
      </c>
      <c r="Z137" s="302">
        <v>0</v>
      </c>
      <c r="AA137" s="302">
        <v>0</v>
      </c>
      <c r="AB137" s="146">
        <v>0</v>
      </c>
      <c r="AC137" s="146">
        <v>0</v>
      </c>
      <c r="AD137" s="146">
        <v>0</v>
      </c>
      <c r="AE137" s="302"/>
      <c r="AF137" s="172">
        <v>0</v>
      </c>
    </row>
    <row r="138" spans="1:32" s="299" customFormat="1" ht="15" customHeight="1">
      <c r="A138" s="135" t="s">
        <v>274</v>
      </c>
      <c r="B138" s="135" t="s">
        <v>290</v>
      </c>
      <c r="C138" s="23">
        <v>139463</v>
      </c>
      <c r="D138" s="157">
        <v>7</v>
      </c>
      <c r="E138" s="233">
        <f t="shared" si="17"/>
        <v>83954</v>
      </c>
      <c r="F138" s="151">
        <f t="shared" si="14"/>
        <v>86452</v>
      </c>
      <c r="G138" s="302">
        <v>82381</v>
      </c>
      <c r="H138" s="146">
        <v>84635</v>
      </c>
      <c r="I138" s="302">
        <v>1558</v>
      </c>
      <c r="J138" s="146">
        <v>1817</v>
      </c>
      <c r="K138" s="302">
        <v>15</v>
      </c>
      <c r="L138" s="302"/>
      <c r="M138" s="302"/>
      <c r="N138" s="146">
        <v>0</v>
      </c>
      <c r="O138" s="146">
        <v>0</v>
      </c>
      <c r="P138" s="282">
        <v>0</v>
      </c>
      <c r="Q138" s="302">
        <v>0</v>
      </c>
      <c r="R138" s="146">
        <v>0</v>
      </c>
      <c r="S138" s="303">
        <f t="shared" si="15"/>
        <v>0</v>
      </c>
      <c r="T138" s="151">
        <f t="shared" si="16"/>
        <v>0</v>
      </c>
      <c r="U138" s="302">
        <v>0</v>
      </c>
      <c r="V138" s="146">
        <v>0</v>
      </c>
      <c r="W138" s="302">
        <v>0</v>
      </c>
      <c r="X138" s="146">
        <v>0</v>
      </c>
      <c r="Y138" s="302">
        <v>0</v>
      </c>
      <c r="Z138" s="302">
        <v>0</v>
      </c>
      <c r="AA138" s="302">
        <v>0</v>
      </c>
      <c r="AB138" s="146">
        <v>0</v>
      </c>
      <c r="AC138" s="146">
        <v>0</v>
      </c>
      <c r="AD138" s="146">
        <v>0</v>
      </c>
      <c r="AE138" s="302"/>
      <c r="AF138" s="172">
        <v>0</v>
      </c>
    </row>
    <row r="139" spans="1:32" s="299" customFormat="1" ht="15" customHeight="1">
      <c r="A139" s="135" t="s">
        <v>274</v>
      </c>
      <c r="B139" s="377" t="s">
        <v>291</v>
      </c>
      <c r="C139" s="23">
        <v>140322</v>
      </c>
      <c r="D139" s="157">
        <v>7</v>
      </c>
      <c r="E139" s="233">
        <f t="shared" si="17"/>
        <v>124151</v>
      </c>
      <c r="F139" s="151">
        <f t="shared" si="14"/>
        <v>136118</v>
      </c>
      <c r="G139" s="302">
        <v>88369</v>
      </c>
      <c r="H139" s="146">
        <v>92302</v>
      </c>
      <c r="I139" s="302">
        <v>27609</v>
      </c>
      <c r="J139" s="146">
        <v>30730</v>
      </c>
      <c r="K139" s="302">
        <v>8173</v>
      </c>
      <c r="L139" s="302"/>
      <c r="M139" s="302"/>
      <c r="N139" s="146">
        <v>13086</v>
      </c>
      <c r="O139" s="146">
        <v>0</v>
      </c>
      <c r="P139" s="282">
        <v>0</v>
      </c>
      <c r="Q139" s="302">
        <v>0</v>
      </c>
      <c r="R139" s="146">
        <v>0</v>
      </c>
      <c r="S139" s="303">
        <f t="shared" si="15"/>
        <v>0</v>
      </c>
      <c r="T139" s="151">
        <f t="shared" si="16"/>
        <v>0</v>
      </c>
      <c r="U139" s="302">
        <v>0</v>
      </c>
      <c r="V139" s="146">
        <v>0</v>
      </c>
      <c r="W139" s="302">
        <v>0</v>
      </c>
      <c r="X139" s="146">
        <v>0</v>
      </c>
      <c r="Y139" s="302">
        <v>0</v>
      </c>
      <c r="Z139" s="302">
        <v>0</v>
      </c>
      <c r="AA139" s="302">
        <v>0</v>
      </c>
      <c r="AB139" s="146">
        <v>0</v>
      </c>
      <c r="AC139" s="146">
        <v>0</v>
      </c>
      <c r="AD139" s="146">
        <v>0</v>
      </c>
      <c r="AE139" s="302"/>
      <c r="AF139" s="172">
        <v>0</v>
      </c>
    </row>
    <row r="140" spans="1:32" s="299" customFormat="1" ht="15" customHeight="1">
      <c r="A140" s="135" t="s">
        <v>274</v>
      </c>
      <c r="B140" s="377" t="s">
        <v>292</v>
      </c>
      <c r="C140" s="23">
        <v>244437</v>
      </c>
      <c r="D140" s="157">
        <v>8</v>
      </c>
      <c r="E140" s="233">
        <f t="shared" si="17"/>
        <v>470768</v>
      </c>
      <c r="F140" s="151">
        <f t="shared" si="14"/>
        <v>465171.1</v>
      </c>
      <c r="G140" s="302">
        <v>438193</v>
      </c>
      <c r="H140" s="146">
        <v>427809</v>
      </c>
      <c r="I140" s="302">
        <v>9207</v>
      </c>
      <c r="J140" s="146">
        <v>8441</v>
      </c>
      <c r="K140" s="302">
        <v>17290</v>
      </c>
      <c r="L140" s="302">
        <v>557</v>
      </c>
      <c r="M140" s="302">
        <v>5521</v>
      </c>
      <c r="N140" s="146">
        <v>23446</v>
      </c>
      <c r="O140" s="146">
        <v>166</v>
      </c>
      <c r="P140" s="282">
        <v>5309.1</v>
      </c>
      <c r="Q140" s="302">
        <v>0</v>
      </c>
      <c r="R140" s="146">
        <v>0</v>
      </c>
      <c r="S140" s="303">
        <f t="shared" si="15"/>
        <v>0</v>
      </c>
      <c r="T140" s="151">
        <f t="shared" si="16"/>
        <v>0</v>
      </c>
      <c r="U140" s="302">
        <v>0</v>
      </c>
      <c r="V140" s="146">
        <v>0</v>
      </c>
      <c r="W140" s="302">
        <v>0</v>
      </c>
      <c r="X140" s="146">
        <v>0</v>
      </c>
      <c r="Y140" s="302">
        <v>0</v>
      </c>
      <c r="Z140" s="302">
        <v>0</v>
      </c>
      <c r="AA140" s="302">
        <v>0</v>
      </c>
      <c r="AB140" s="146">
        <v>0</v>
      </c>
      <c r="AC140" s="146">
        <v>0</v>
      </c>
      <c r="AD140" s="146">
        <v>0</v>
      </c>
      <c r="AE140" s="302"/>
      <c r="AF140" s="172">
        <v>0</v>
      </c>
    </row>
    <row r="141" spans="1:32" s="299" customFormat="1" ht="15" customHeight="1">
      <c r="A141" s="135" t="s">
        <v>274</v>
      </c>
      <c r="B141" s="377" t="s">
        <v>293</v>
      </c>
      <c r="C141" s="23">
        <v>138558</v>
      </c>
      <c r="D141" s="157">
        <v>9</v>
      </c>
      <c r="E141" s="233">
        <f t="shared" si="17"/>
        <v>80433</v>
      </c>
      <c r="F141" s="151">
        <f t="shared" si="14"/>
        <v>82094</v>
      </c>
      <c r="G141" s="302">
        <v>72051</v>
      </c>
      <c r="H141" s="146">
        <v>75005</v>
      </c>
      <c r="I141" s="302">
        <v>6085</v>
      </c>
      <c r="J141" s="146">
        <v>4744</v>
      </c>
      <c r="K141" s="302">
        <v>1212</v>
      </c>
      <c r="L141" s="302">
        <v>1085</v>
      </c>
      <c r="M141" s="302"/>
      <c r="N141" s="146">
        <v>1387</v>
      </c>
      <c r="O141" s="146">
        <v>958</v>
      </c>
      <c r="P141" s="282">
        <v>0</v>
      </c>
      <c r="Q141" s="302">
        <v>0</v>
      </c>
      <c r="R141" s="146">
        <v>0</v>
      </c>
      <c r="S141" s="303">
        <f t="shared" si="15"/>
        <v>0</v>
      </c>
      <c r="T141" s="151">
        <f t="shared" si="16"/>
        <v>0</v>
      </c>
      <c r="U141" s="302">
        <v>0</v>
      </c>
      <c r="V141" s="146">
        <v>0</v>
      </c>
      <c r="W141" s="302">
        <v>0</v>
      </c>
      <c r="X141" s="146">
        <v>0</v>
      </c>
      <c r="Y141" s="302">
        <v>0</v>
      </c>
      <c r="Z141" s="302">
        <v>0</v>
      </c>
      <c r="AA141" s="302">
        <v>0</v>
      </c>
      <c r="AB141" s="146">
        <v>0</v>
      </c>
      <c r="AC141" s="146">
        <v>0</v>
      </c>
      <c r="AD141" s="146">
        <v>0</v>
      </c>
      <c r="AE141" s="302"/>
      <c r="AF141" s="172">
        <v>0</v>
      </c>
    </row>
    <row r="142" spans="1:32" s="299" customFormat="1" ht="15" customHeight="1">
      <c r="A142" s="135" t="s">
        <v>274</v>
      </c>
      <c r="B142" s="135" t="s">
        <v>294</v>
      </c>
      <c r="C142" s="23">
        <v>138691</v>
      </c>
      <c r="D142" s="231">
        <v>9</v>
      </c>
      <c r="E142" s="278">
        <f t="shared" si="17"/>
        <v>96276</v>
      </c>
      <c r="F142" s="267">
        <f t="shared" si="14"/>
        <v>105824</v>
      </c>
      <c r="G142" s="298">
        <v>77889</v>
      </c>
      <c r="H142" s="252">
        <v>83620</v>
      </c>
      <c r="I142" s="298">
        <v>6018</v>
      </c>
      <c r="J142" s="252">
        <v>4986</v>
      </c>
      <c r="K142" s="298">
        <v>11565</v>
      </c>
      <c r="L142" s="298">
        <f>33+39</f>
        <v>72</v>
      </c>
      <c r="M142" s="298">
        <v>732</v>
      </c>
      <c r="N142" s="252">
        <v>16350</v>
      </c>
      <c r="O142" s="252">
        <f>9+27</f>
        <v>36</v>
      </c>
      <c r="P142" s="252">
        <v>832</v>
      </c>
      <c r="Q142" s="298">
        <v>0</v>
      </c>
      <c r="R142" s="252">
        <v>0</v>
      </c>
      <c r="S142" s="297">
        <f t="shared" si="15"/>
        <v>0</v>
      </c>
      <c r="T142" s="267">
        <f t="shared" si="16"/>
        <v>0</v>
      </c>
      <c r="U142" s="298">
        <v>0</v>
      </c>
      <c r="V142" s="252">
        <v>0</v>
      </c>
      <c r="W142" s="298">
        <v>0</v>
      </c>
      <c r="X142" s="252">
        <v>0</v>
      </c>
      <c r="Y142" s="298">
        <v>0</v>
      </c>
      <c r="Z142" s="298">
        <v>0</v>
      </c>
      <c r="AA142" s="298">
        <v>0</v>
      </c>
      <c r="AB142" s="252">
        <v>0</v>
      </c>
      <c r="AC142" s="252">
        <v>0</v>
      </c>
      <c r="AD142" s="252">
        <v>0</v>
      </c>
      <c r="AE142" s="298"/>
      <c r="AF142" s="257">
        <v>0</v>
      </c>
    </row>
    <row r="143" spans="1:32" s="299" customFormat="1" ht="15" customHeight="1">
      <c r="A143" s="135" t="s">
        <v>274</v>
      </c>
      <c r="B143" s="135" t="s">
        <v>544</v>
      </c>
      <c r="C143" s="23">
        <v>139773</v>
      </c>
      <c r="D143" s="231">
        <v>9</v>
      </c>
      <c r="E143" s="278">
        <f t="shared" si="17"/>
        <v>130126</v>
      </c>
      <c r="F143" s="267">
        <f t="shared" si="14"/>
        <v>134068.18</v>
      </c>
      <c r="G143" s="298">
        <v>83381</v>
      </c>
      <c r="H143" s="252">
        <v>83549</v>
      </c>
      <c r="I143" s="298">
        <v>46745</v>
      </c>
      <c r="J143" s="252">
        <v>50513</v>
      </c>
      <c r="K143" s="298"/>
      <c r="L143" s="298"/>
      <c r="M143" s="298"/>
      <c r="N143" s="252">
        <v>6</v>
      </c>
      <c r="O143" s="252">
        <v>0.18</v>
      </c>
      <c r="P143" s="252">
        <v>0</v>
      </c>
      <c r="Q143" s="298">
        <v>0</v>
      </c>
      <c r="R143" s="252">
        <v>0</v>
      </c>
      <c r="S143" s="297">
        <f t="shared" si="15"/>
        <v>0</v>
      </c>
      <c r="T143" s="267">
        <f t="shared" si="16"/>
        <v>0</v>
      </c>
      <c r="U143" s="298">
        <v>0</v>
      </c>
      <c r="V143" s="252">
        <v>0</v>
      </c>
      <c r="W143" s="298">
        <v>0</v>
      </c>
      <c r="X143" s="252">
        <v>0</v>
      </c>
      <c r="Y143" s="298">
        <v>0</v>
      </c>
      <c r="Z143" s="298">
        <v>0</v>
      </c>
      <c r="AA143" s="298">
        <v>0</v>
      </c>
      <c r="AB143" s="252">
        <v>0</v>
      </c>
      <c r="AC143" s="252">
        <v>0</v>
      </c>
      <c r="AD143" s="252">
        <v>0</v>
      </c>
      <c r="AE143" s="298"/>
      <c r="AF143" s="257">
        <v>0</v>
      </c>
    </row>
    <row r="144" spans="1:32" s="299" customFormat="1" ht="15" customHeight="1">
      <c r="A144" s="135" t="s">
        <v>274</v>
      </c>
      <c r="B144" s="377" t="s">
        <v>666</v>
      </c>
      <c r="C144" s="23">
        <v>139700</v>
      </c>
      <c r="D144" s="231">
        <v>9</v>
      </c>
      <c r="E144" s="278">
        <f t="shared" si="17"/>
        <v>77163</v>
      </c>
      <c r="F144" s="267">
        <f t="shared" si="14"/>
        <v>84093</v>
      </c>
      <c r="G144" s="298">
        <v>41497</v>
      </c>
      <c r="H144" s="252">
        <v>43065</v>
      </c>
      <c r="I144" s="298">
        <v>30796</v>
      </c>
      <c r="J144" s="252">
        <v>36624</v>
      </c>
      <c r="K144" s="298">
        <v>2240</v>
      </c>
      <c r="L144" s="298">
        <f>90+117</f>
        <v>207</v>
      </c>
      <c r="M144" s="298">
        <v>2423</v>
      </c>
      <c r="N144" s="252">
        <v>2593</v>
      </c>
      <c r="O144" s="252">
        <v>0</v>
      </c>
      <c r="P144" s="252">
        <v>1811</v>
      </c>
      <c r="Q144" s="298">
        <v>0</v>
      </c>
      <c r="R144" s="252">
        <v>0</v>
      </c>
      <c r="S144" s="297">
        <f t="shared" si="15"/>
        <v>0</v>
      </c>
      <c r="T144" s="267">
        <f t="shared" si="16"/>
        <v>0</v>
      </c>
      <c r="U144" s="298">
        <v>0</v>
      </c>
      <c r="V144" s="252">
        <v>0</v>
      </c>
      <c r="W144" s="298">
        <v>0</v>
      </c>
      <c r="X144" s="252">
        <v>0</v>
      </c>
      <c r="Y144" s="298">
        <v>0</v>
      </c>
      <c r="Z144" s="298">
        <v>0</v>
      </c>
      <c r="AA144" s="298">
        <v>0</v>
      </c>
      <c r="AB144" s="252">
        <v>0</v>
      </c>
      <c r="AC144" s="252">
        <v>0</v>
      </c>
      <c r="AD144" s="252">
        <v>0</v>
      </c>
      <c r="AE144" s="298"/>
      <c r="AF144" s="257">
        <v>0</v>
      </c>
    </row>
    <row r="145" spans="1:32" s="299" customFormat="1" ht="15" customHeight="1">
      <c r="A145" s="135" t="s">
        <v>274</v>
      </c>
      <c r="B145" s="135" t="s">
        <v>295</v>
      </c>
      <c r="C145" s="23">
        <v>139968</v>
      </c>
      <c r="D145" s="157">
        <v>9</v>
      </c>
      <c r="E145" s="233">
        <f t="shared" si="17"/>
        <v>83524</v>
      </c>
      <c r="F145" s="151">
        <f t="shared" si="14"/>
        <v>82791</v>
      </c>
      <c r="G145" s="302">
        <v>77742</v>
      </c>
      <c r="H145" s="146">
        <v>77533</v>
      </c>
      <c r="I145" s="302">
        <v>5472</v>
      </c>
      <c r="J145" s="146">
        <v>4898</v>
      </c>
      <c r="K145" s="302">
        <v>310</v>
      </c>
      <c r="L145" s="302"/>
      <c r="M145" s="302"/>
      <c r="N145" s="146">
        <v>360</v>
      </c>
      <c r="O145" s="146">
        <v>0</v>
      </c>
      <c r="P145" s="146">
        <v>0</v>
      </c>
      <c r="Q145" s="302">
        <v>0</v>
      </c>
      <c r="R145" s="146">
        <v>0</v>
      </c>
      <c r="S145" s="303">
        <f t="shared" si="15"/>
        <v>0</v>
      </c>
      <c r="T145" s="151">
        <f t="shared" si="16"/>
        <v>0</v>
      </c>
      <c r="U145" s="302">
        <v>0</v>
      </c>
      <c r="V145" s="146">
        <v>0</v>
      </c>
      <c r="W145" s="302">
        <v>0</v>
      </c>
      <c r="X145" s="146">
        <v>0</v>
      </c>
      <c r="Y145" s="302">
        <v>0</v>
      </c>
      <c r="Z145" s="302">
        <v>0</v>
      </c>
      <c r="AA145" s="302">
        <v>0</v>
      </c>
      <c r="AB145" s="146">
        <v>0</v>
      </c>
      <c r="AC145" s="146">
        <v>0</v>
      </c>
      <c r="AD145" s="146">
        <v>0</v>
      </c>
      <c r="AE145" s="302"/>
      <c r="AF145" s="172">
        <v>0</v>
      </c>
    </row>
    <row r="146" spans="1:32" s="299" customFormat="1" ht="15" customHeight="1">
      <c r="A146" s="135" t="s">
        <v>274</v>
      </c>
      <c r="B146" s="234" t="s">
        <v>299</v>
      </c>
      <c r="C146" s="23">
        <v>140483</v>
      </c>
      <c r="D146" s="157">
        <v>9</v>
      </c>
      <c r="E146" s="233">
        <f t="shared" si="17"/>
        <v>65974</v>
      </c>
      <c r="F146" s="151">
        <f t="shared" si="14"/>
        <v>68955</v>
      </c>
      <c r="G146" s="302">
        <v>41032</v>
      </c>
      <c r="H146" s="146">
        <v>43672</v>
      </c>
      <c r="I146" s="302">
        <v>19664</v>
      </c>
      <c r="J146" s="146">
        <v>17573</v>
      </c>
      <c r="K146" s="302">
        <v>5278</v>
      </c>
      <c r="L146" s="302"/>
      <c r="M146" s="302"/>
      <c r="N146" s="146">
        <v>7710</v>
      </c>
      <c r="O146" s="146">
        <v>0</v>
      </c>
      <c r="P146" s="146">
        <v>0</v>
      </c>
      <c r="Q146" s="302">
        <v>0</v>
      </c>
      <c r="R146" s="146">
        <v>0</v>
      </c>
      <c r="S146" s="303">
        <f t="shared" si="15"/>
        <v>0</v>
      </c>
      <c r="T146" s="151">
        <f t="shared" si="16"/>
        <v>0</v>
      </c>
      <c r="U146" s="302">
        <v>0</v>
      </c>
      <c r="V146" s="146">
        <v>0</v>
      </c>
      <c r="W146" s="302"/>
      <c r="X146" s="146">
        <v>0</v>
      </c>
      <c r="Y146" s="302">
        <v>0</v>
      </c>
      <c r="Z146" s="302">
        <v>0</v>
      </c>
      <c r="AA146" s="302">
        <v>0</v>
      </c>
      <c r="AB146" s="146">
        <v>0</v>
      </c>
      <c r="AC146" s="146">
        <v>0</v>
      </c>
      <c r="AD146" s="146">
        <v>0</v>
      </c>
      <c r="AE146" s="302"/>
      <c r="AF146" s="172">
        <v>0</v>
      </c>
    </row>
    <row r="147" spans="1:32" s="299" customFormat="1" ht="15" customHeight="1">
      <c r="A147" s="135" t="s">
        <v>274</v>
      </c>
      <c r="B147" s="135" t="s">
        <v>296</v>
      </c>
      <c r="C147" s="23">
        <v>138901</v>
      </c>
      <c r="D147" s="157">
        <v>10</v>
      </c>
      <c r="E147" s="233">
        <f t="shared" si="17"/>
        <v>45628</v>
      </c>
      <c r="F147" s="151">
        <f t="shared" si="14"/>
        <v>43650</v>
      </c>
      <c r="G147" s="302">
        <v>45628</v>
      </c>
      <c r="H147" s="146">
        <v>43650</v>
      </c>
      <c r="I147" s="302"/>
      <c r="J147" s="146">
        <v>0</v>
      </c>
      <c r="K147" s="302"/>
      <c r="L147" s="302"/>
      <c r="M147" s="302"/>
      <c r="N147" s="146">
        <v>0</v>
      </c>
      <c r="O147" s="146">
        <v>0</v>
      </c>
      <c r="P147" s="146">
        <v>0</v>
      </c>
      <c r="Q147" s="302">
        <v>0</v>
      </c>
      <c r="R147" s="146">
        <v>0</v>
      </c>
      <c r="S147" s="303">
        <f t="shared" si="15"/>
        <v>0</v>
      </c>
      <c r="T147" s="151">
        <f t="shared" si="16"/>
        <v>0</v>
      </c>
      <c r="U147" s="302">
        <v>0</v>
      </c>
      <c r="V147" s="146">
        <v>0</v>
      </c>
      <c r="W147" s="302">
        <v>0</v>
      </c>
      <c r="X147" s="146">
        <v>0</v>
      </c>
      <c r="Y147" s="302">
        <v>0</v>
      </c>
      <c r="Z147" s="302">
        <v>0</v>
      </c>
      <c r="AA147" s="302">
        <v>0</v>
      </c>
      <c r="AB147" s="146">
        <v>0</v>
      </c>
      <c r="AC147" s="146">
        <v>0</v>
      </c>
      <c r="AD147" s="146">
        <v>0</v>
      </c>
      <c r="AE147" s="302"/>
      <c r="AF147" s="172">
        <v>0</v>
      </c>
    </row>
    <row r="148" spans="1:32" s="299" customFormat="1" ht="15" customHeight="1">
      <c r="A148" s="135" t="s">
        <v>274</v>
      </c>
      <c r="B148" s="135" t="s">
        <v>297</v>
      </c>
      <c r="C148" s="23">
        <v>139010</v>
      </c>
      <c r="D148" s="157">
        <v>10</v>
      </c>
      <c r="E148" s="233">
        <f t="shared" si="17"/>
        <v>58446</v>
      </c>
      <c r="F148" s="151">
        <f t="shared" si="14"/>
        <v>57884</v>
      </c>
      <c r="G148" s="302">
        <v>46347</v>
      </c>
      <c r="H148" s="146">
        <v>45362</v>
      </c>
      <c r="I148" s="302">
        <v>8994</v>
      </c>
      <c r="J148" s="146">
        <v>8074</v>
      </c>
      <c r="K148" s="302">
        <v>3105</v>
      </c>
      <c r="L148" s="302"/>
      <c r="M148" s="302"/>
      <c r="N148" s="146">
        <v>4448</v>
      </c>
      <c r="O148" s="146">
        <v>0</v>
      </c>
      <c r="P148" s="146">
        <v>0</v>
      </c>
      <c r="Q148" s="302">
        <v>0</v>
      </c>
      <c r="R148" s="146">
        <v>0</v>
      </c>
      <c r="S148" s="303">
        <f t="shared" si="15"/>
        <v>0</v>
      </c>
      <c r="T148" s="151">
        <f t="shared" si="16"/>
        <v>0</v>
      </c>
      <c r="U148" s="302">
        <v>0</v>
      </c>
      <c r="V148" s="146">
        <v>0</v>
      </c>
      <c r="W148" s="302">
        <v>0</v>
      </c>
      <c r="X148" s="146">
        <v>0</v>
      </c>
      <c r="Y148" s="302">
        <v>0</v>
      </c>
      <c r="Z148" s="302">
        <v>0</v>
      </c>
      <c r="AA148" s="302">
        <v>0</v>
      </c>
      <c r="AB148" s="146">
        <v>0</v>
      </c>
      <c r="AC148" s="146">
        <v>0</v>
      </c>
      <c r="AD148" s="146">
        <v>0</v>
      </c>
      <c r="AE148" s="302"/>
      <c r="AF148" s="172">
        <v>0</v>
      </c>
    </row>
    <row r="149" spans="1:32" s="299" customFormat="1" ht="15" customHeight="1">
      <c r="A149" s="135" t="s">
        <v>274</v>
      </c>
      <c r="B149" s="234" t="s">
        <v>8</v>
      </c>
      <c r="C149" s="23">
        <v>139250</v>
      </c>
      <c r="D149" s="157">
        <v>10</v>
      </c>
      <c r="E149" s="233">
        <f t="shared" si="17"/>
        <v>59515</v>
      </c>
      <c r="F149" s="151">
        <f t="shared" si="14"/>
        <v>62271</v>
      </c>
      <c r="G149" s="302">
        <v>47302</v>
      </c>
      <c r="H149" s="146">
        <v>49248</v>
      </c>
      <c r="I149" s="302">
        <v>10305</v>
      </c>
      <c r="J149" s="146">
        <v>11660</v>
      </c>
      <c r="K149" s="302"/>
      <c r="L149" s="302">
        <v>1908</v>
      </c>
      <c r="M149" s="302"/>
      <c r="N149" s="146">
        <v>0</v>
      </c>
      <c r="O149" s="146">
        <v>1363</v>
      </c>
      <c r="P149" s="146">
        <v>0</v>
      </c>
      <c r="Q149" s="302">
        <v>0</v>
      </c>
      <c r="R149" s="146">
        <v>0</v>
      </c>
      <c r="S149" s="303">
        <f t="shared" si="15"/>
        <v>0</v>
      </c>
      <c r="T149" s="151">
        <f t="shared" si="16"/>
        <v>0</v>
      </c>
      <c r="U149" s="302">
        <v>0</v>
      </c>
      <c r="V149" s="146">
        <v>0</v>
      </c>
      <c r="W149" s="302">
        <v>0</v>
      </c>
      <c r="X149" s="146">
        <v>0</v>
      </c>
      <c r="Y149" s="302">
        <v>0</v>
      </c>
      <c r="Z149" s="302">
        <v>0</v>
      </c>
      <c r="AA149" s="302">
        <v>0</v>
      </c>
      <c r="AB149" s="146">
        <v>0</v>
      </c>
      <c r="AC149" s="146">
        <v>0</v>
      </c>
      <c r="AD149" s="146">
        <v>0</v>
      </c>
      <c r="AE149" s="302"/>
      <c r="AF149" s="172">
        <v>0</v>
      </c>
    </row>
    <row r="150" spans="1:32" s="299" customFormat="1" ht="12.75">
      <c r="A150" s="135" t="s">
        <v>274</v>
      </c>
      <c r="B150" s="135" t="s">
        <v>298</v>
      </c>
      <c r="C150" s="23">
        <v>139621</v>
      </c>
      <c r="D150" s="157">
        <v>10</v>
      </c>
      <c r="E150" s="233">
        <f t="shared" si="17"/>
        <v>31200</v>
      </c>
      <c r="F150" s="151">
        <f t="shared" si="14"/>
        <v>34137</v>
      </c>
      <c r="G150" s="302">
        <v>15919</v>
      </c>
      <c r="H150" s="146">
        <v>15267</v>
      </c>
      <c r="I150" s="302">
        <v>14376</v>
      </c>
      <c r="J150" s="146">
        <v>16253</v>
      </c>
      <c r="K150" s="302">
        <v>881</v>
      </c>
      <c r="L150" s="302">
        <v>24</v>
      </c>
      <c r="M150" s="302"/>
      <c r="N150" s="146">
        <v>2617</v>
      </c>
      <c r="O150" s="146">
        <v>0</v>
      </c>
      <c r="P150" s="146">
        <v>0</v>
      </c>
      <c r="Q150" s="302">
        <v>0</v>
      </c>
      <c r="R150" s="146">
        <v>0</v>
      </c>
      <c r="S150" s="303">
        <f t="shared" si="15"/>
        <v>0</v>
      </c>
      <c r="T150" s="151">
        <f t="shared" si="16"/>
        <v>0</v>
      </c>
      <c r="U150" s="302">
        <v>0</v>
      </c>
      <c r="V150" s="146">
        <v>0</v>
      </c>
      <c r="W150" s="302">
        <v>0</v>
      </c>
      <c r="X150" s="146">
        <v>0</v>
      </c>
      <c r="Y150" s="302">
        <v>0</v>
      </c>
      <c r="Z150" s="302">
        <v>0</v>
      </c>
      <c r="AA150" s="302">
        <v>0</v>
      </c>
      <c r="AB150" s="146">
        <v>0</v>
      </c>
      <c r="AC150" s="146">
        <v>0</v>
      </c>
      <c r="AD150" s="146">
        <v>0</v>
      </c>
      <c r="AE150" s="302"/>
      <c r="AF150" s="172">
        <v>0</v>
      </c>
    </row>
    <row r="151" spans="1:32" s="299" customFormat="1" ht="15" customHeight="1">
      <c r="A151" s="135" t="s">
        <v>274</v>
      </c>
      <c r="B151" s="135" t="s">
        <v>300</v>
      </c>
      <c r="C151" s="23">
        <v>140997</v>
      </c>
      <c r="D151" s="157">
        <v>10</v>
      </c>
      <c r="E151" s="233">
        <f t="shared" si="17"/>
        <v>33742</v>
      </c>
      <c r="F151" s="151">
        <f t="shared" si="14"/>
        <v>36809</v>
      </c>
      <c r="G151" s="302">
        <v>29396</v>
      </c>
      <c r="H151" s="146">
        <v>29971</v>
      </c>
      <c r="I151" s="302">
        <v>4337</v>
      </c>
      <c r="J151" s="146">
        <v>6835</v>
      </c>
      <c r="K151" s="302">
        <v>9</v>
      </c>
      <c r="L151" s="302"/>
      <c r="M151" s="302"/>
      <c r="N151" s="146">
        <v>3</v>
      </c>
      <c r="O151" s="146">
        <v>0</v>
      </c>
      <c r="P151" s="146">
        <v>0</v>
      </c>
      <c r="Q151" s="302">
        <v>0</v>
      </c>
      <c r="R151" s="146">
        <v>0</v>
      </c>
      <c r="S151" s="303">
        <f t="shared" si="15"/>
        <v>0</v>
      </c>
      <c r="T151" s="151">
        <f t="shared" si="16"/>
        <v>0</v>
      </c>
      <c r="U151" s="302">
        <v>0</v>
      </c>
      <c r="V151" s="146">
        <v>0</v>
      </c>
      <c r="W151" s="302">
        <v>0</v>
      </c>
      <c r="X151" s="146">
        <v>0</v>
      </c>
      <c r="Y151" s="302">
        <v>0</v>
      </c>
      <c r="Z151" s="302">
        <v>0</v>
      </c>
      <c r="AA151" s="302">
        <v>0</v>
      </c>
      <c r="AB151" s="146">
        <v>0</v>
      </c>
      <c r="AC151" s="146">
        <v>0</v>
      </c>
      <c r="AD151" s="146">
        <v>0</v>
      </c>
      <c r="AE151" s="302"/>
      <c r="AF151" s="172">
        <v>0</v>
      </c>
    </row>
    <row r="152" spans="1:32" s="299" customFormat="1" ht="15" customHeight="1">
      <c r="A152" s="135" t="s">
        <v>274</v>
      </c>
      <c r="B152" s="135" t="s">
        <v>301</v>
      </c>
      <c r="C152" s="23">
        <v>141307</v>
      </c>
      <c r="D152" s="157">
        <v>10</v>
      </c>
      <c r="E152" s="233">
        <f t="shared" si="17"/>
        <v>19441</v>
      </c>
      <c r="F152" s="151">
        <f t="shared" si="14"/>
        <v>17644</v>
      </c>
      <c r="G152" s="302">
        <v>17322</v>
      </c>
      <c r="H152" s="146">
        <v>15687</v>
      </c>
      <c r="I152" s="302">
        <v>1599</v>
      </c>
      <c r="J152" s="146">
        <v>1391</v>
      </c>
      <c r="K152" s="302">
        <v>520</v>
      </c>
      <c r="L152" s="302"/>
      <c r="M152" s="302"/>
      <c r="N152" s="146">
        <v>566</v>
      </c>
      <c r="O152" s="146">
        <v>0</v>
      </c>
      <c r="P152" s="146">
        <v>0</v>
      </c>
      <c r="Q152" s="302">
        <v>0</v>
      </c>
      <c r="R152" s="146">
        <v>0</v>
      </c>
      <c r="S152" s="303">
        <f t="shared" si="15"/>
        <v>0</v>
      </c>
      <c r="T152" s="151">
        <f t="shared" si="16"/>
        <v>0</v>
      </c>
      <c r="U152" s="302">
        <v>0</v>
      </c>
      <c r="V152" s="146">
        <v>0</v>
      </c>
      <c r="W152" s="302">
        <v>0</v>
      </c>
      <c r="X152" s="146">
        <v>0</v>
      </c>
      <c r="Y152" s="302">
        <v>0</v>
      </c>
      <c r="Z152" s="302">
        <v>0</v>
      </c>
      <c r="AA152" s="302">
        <v>0</v>
      </c>
      <c r="AB152" s="146">
        <v>0</v>
      </c>
      <c r="AC152" s="146">
        <v>0</v>
      </c>
      <c r="AD152" s="146">
        <v>0</v>
      </c>
      <c r="AE152" s="302"/>
      <c r="AF152" s="172">
        <v>0</v>
      </c>
    </row>
    <row r="153" spans="1:32" s="299" customFormat="1" ht="15" customHeight="1">
      <c r="A153" s="128" t="s">
        <v>274</v>
      </c>
      <c r="B153" s="128" t="s">
        <v>302</v>
      </c>
      <c r="C153" s="20">
        <v>138682</v>
      </c>
      <c r="D153" s="158">
        <v>12</v>
      </c>
      <c r="E153" s="233">
        <f t="shared" si="17"/>
        <v>133582</v>
      </c>
      <c r="F153" s="151">
        <f t="shared" si="14"/>
        <v>117972</v>
      </c>
      <c r="G153" s="302">
        <v>120720</v>
      </c>
      <c r="H153" s="146">
        <v>103603</v>
      </c>
      <c r="I153" s="302"/>
      <c r="J153" s="146"/>
      <c r="K153" s="302">
        <v>12647</v>
      </c>
      <c r="L153" s="302">
        <v>215</v>
      </c>
      <c r="M153" s="302"/>
      <c r="N153" s="146">
        <v>14369</v>
      </c>
      <c r="O153" s="146">
        <v>0</v>
      </c>
      <c r="P153" s="146">
        <v>0</v>
      </c>
      <c r="Q153" s="302"/>
      <c r="R153" s="146"/>
      <c r="S153" s="303">
        <f t="shared" si="15"/>
        <v>0</v>
      </c>
      <c r="T153" s="151">
        <f t="shared" si="16"/>
        <v>0</v>
      </c>
      <c r="U153" s="302"/>
      <c r="V153" s="146"/>
      <c r="W153" s="302"/>
      <c r="X153" s="146"/>
      <c r="Y153" s="302"/>
      <c r="Z153" s="302"/>
      <c r="AA153" s="302"/>
      <c r="AB153" s="146"/>
      <c r="AC153" s="146"/>
      <c r="AD153" s="146"/>
      <c r="AE153" s="302"/>
      <c r="AF153" s="172"/>
    </row>
    <row r="154" spans="1:32" s="299" customFormat="1" ht="15" customHeight="1">
      <c r="A154" s="128" t="s">
        <v>274</v>
      </c>
      <c r="B154" s="378" t="s">
        <v>303</v>
      </c>
      <c r="C154" s="20">
        <v>366447</v>
      </c>
      <c r="D154" s="158">
        <v>12</v>
      </c>
      <c r="E154" s="233">
        <f t="shared" si="17"/>
        <v>48222</v>
      </c>
      <c r="F154" s="151">
        <f t="shared" si="14"/>
        <v>38773</v>
      </c>
      <c r="G154" s="302">
        <v>47287</v>
      </c>
      <c r="H154" s="146">
        <v>38220</v>
      </c>
      <c r="I154" s="302"/>
      <c r="J154" s="146"/>
      <c r="K154" s="302">
        <v>410</v>
      </c>
      <c r="L154" s="302">
        <v>525</v>
      </c>
      <c r="M154" s="302"/>
      <c r="N154" s="146">
        <v>228</v>
      </c>
      <c r="O154" s="146">
        <v>325</v>
      </c>
      <c r="P154" s="146">
        <v>0</v>
      </c>
      <c r="Q154" s="302"/>
      <c r="R154" s="146"/>
      <c r="S154" s="303">
        <f t="shared" si="15"/>
        <v>0</v>
      </c>
      <c r="T154" s="151">
        <f t="shared" si="16"/>
        <v>0</v>
      </c>
      <c r="U154" s="302"/>
      <c r="V154" s="146"/>
      <c r="W154" s="302"/>
      <c r="X154" s="146"/>
      <c r="Y154" s="302"/>
      <c r="Z154" s="302"/>
      <c r="AA154" s="302"/>
      <c r="AB154" s="146"/>
      <c r="AC154" s="146"/>
      <c r="AD154" s="146"/>
      <c r="AE154" s="302"/>
      <c r="AF154" s="172"/>
    </row>
    <row r="155" spans="1:32" s="299" customFormat="1" ht="12.75">
      <c r="A155" s="128" t="s">
        <v>274</v>
      </c>
      <c r="B155" s="128" t="s">
        <v>304</v>
      </c>
      <c r="C155" s="20">
        <v>246813</v>
      </c>
      <c r="D155" s="158">
        <v>12</v>
      </c>
      <c r="E155" s="233">
        <f t="shared" si="17"/>
        <v>125470</v>
      </c>
      <c r="F155" s="151">
        <f t="shared" si="14"/>
        <v>128496</v>
      </c>
      <c r="G155" s="302">
        <v>114728</v>
      </c>
      <c r="H155" s="146">
        <v>116611</v>
      </c>
      <c r="I155" s="302"/>
      <c r="J155" s="146"/>
      <c r="K155" s="302">
        <v>10742</v>
      </c>
      <c r="L155" s="302"/>
      <c r="M155" s="302"/>
      <c r="N155" s="146">
        <v>11885</v>
      </c>
      <c r="O155" s="146">
        <v>0</v>
      </c>
      <c r="P155" s="146">
        <v>0</v>
      </c>
      <c r="Q155" s="302"/>
      <c r="R155" s="146"/>
      <c r="S155" s="303">
        <f t="shared" si="15"/>
        <v>0</v>
      </c>
      <c r="T155" s="151">
        <f t="shared" si="16"/>
        <v>0</v>
      </c>
      <c r="U155" s="302"/>
      <c r="V155" s="146"/>
      <c r="W155" s="302"/>
      <c r="X155" s="146"/>
      <c r="Y155" s="302"/>
      <c r="Z155" s="302"/>
      <c r="AA155" s="302"/>
      <c r="AB155" s="146"/>
      <c r="AC155" s="146"/>
      <c r="AD155" s="146"/>
      <c r="AE155" s="302"/>
      <c r="AF155" s="172"/>
    </row>
    <row r="156" spans="1:32" s="299" customFormat="1" ht="15" customHeight="1">
      <c r="A156" s="128" t="s">
        <v>274</v>
      </c>
      <c r="B156" s="128" t="s">
        <v>305</v>
      </c>
      <c r="C156" s="20">
        <v>138840</v>
      </c>
      <c r="D156" s="158">
        <v>12</v>
      </c>
      <c r="E156" s="233">
        <f t="shared" si="17"/>
        <v>153422</v>
      </c>
      <c r="F156" s="151">
        <f t="shared" si="14"/>
        <v>156081</v>
      </c>
      <c r="G156" s="302">
        <v>144970</v>
      </c>
      <c r="H156" s="146">
        <v>147960</v>
      </c>
      <c r="I156" s="302"/>
      <c r="J156" s="146"/>
      <c r="K156" s="302">
        <v>8452</v>
      </c>
      <c r="L156" s="302"/>
      <c r="M156" s="302"/>
      <c r="N156" s="146">
        <v>8121</v>
      </c>
      <c r="O156" s="146">
        <v>0</v>
      </c>
      <c r="P156" s="146">
        <v>0</v>
      </c>
      <c r="Q156" s="302"/>
      <c r="R156" s="146"/>
      <c r="S156" s="303">
        <f t="shared" si="15"/>
        <v>0</v>
      </c>
      <c r="T156" s="151">
        <f t="shared" si="16"/>
        <v>0</v>
      </c>
      <c r="U156" s="302"/>
      <c r="V156" s="146"/>
      <c r="W156" s="302"/>
      <c r="X156" s="146"/>
      <c r="Y156" s="302"/>
      <c r="Z156" s="302"/>
      <c r="AA156" s="302"/>
      <c r="AB156" s="146"/>
      <c r="AC156" s="146"/>
      <c r="AD156" s="146"/>
      <c r="AE156" s="302"/>
      <c r="AF156" s="172"/>
    </row>
    <row r="157" spans="1:32" s="299" customFormat="1" ht="15" customHeight="1">
      <c r="A157" s="128" t="s">
        <v>274</v>
      </c>
      <c r="B157" s="128" t="s">
        <v>306</v>
      </c>
      <c r="C157" s="20">
        <v>138956</v>
      </c>
      <c r="D157" s="158">
        <v>12</v>
      </c>
      <c r="E157" s="233">
        <f t="shared" si="17"/>
        <v>172074</v>
      </c>
      <c r="F157" s="151">
        <f t="shared" si="14"/>
        <v>164116</v>
      </c>
      <c r="G157" s="302">
        <v>161867</v>
      </c>
      <c r="H157" s="146">
        <v>151205</v>
      </c>
      <c r="I157" s="302"/>
      <c r="J157" s="146"/>
      <c r="K157" s="302">
        <v>10207</v>
      </c>
      <c r="L157" s="302"/>
      <c r="M157" s="302"/>
      <c r="N157" s="146">
        <v>12911</v>
      </c>
      <c r="O157" s="146">
        <v>0</v>
      </c>
      <c r="P157" s="146">
        <v>0</v>
      </c>
      <c r="Q157" s="302"/>
      <c r="R157" s="146"/>
      <c r="S157" s="303">
        <f t="shared" si="15"/>
        <v>0</v>
      </c>
      <c r="T157" s="151">
        <f t="shared" si="16"/>
        <v>0</v>
      </c>
      <c r="U157" s="302"/>
      <c r="V157" s="146"/>
      <c r="W157" s="302"/>
      <c r="X157" s="146"/>
      <c r="Y157" s="302"/>
      <c r="Z157" s="302"/>
      <c r="AA157" s="302"/>
      <c r="AB157" s="146"/>
      <c r="AC157" s="146"/>
      <c r="AD157" s="146"/>
      <c r="AE157" s="302"/>
      <c r="AF157" s="172"/>
    </row>
    <row r="158" spans="1:32" s="299" customFormat="1" ht="15" customHeight="1">
      <c r="A158" s="128" t="s">
        <v>274</v>
      </c>
      <c r="B158" s="128" t="s">
        <v>307</v>
      </c>
      <c r="C158" s="20">
        <v>140304</v>
      </c>
      <c r="D158" s="158">
        <v>12</v>
      </c>
      <c r="E158" s="233">
        <f t="shared" si="17"/>
        <v>218810</v>
      </c>
      <c r="F158" s="151">
        <f t="shared" si="14"/>
        <v>217756</v>
      </c>
      <c r="G158" s="302">
        <v>184711</v>
      </c>
      <c r="H158" s="146">
        <v>171885</v>
      </c>
      <c r="I158" s="302"/>
      <c r="J158" s="146"/>
      <c r="K158" s="302">
        <v>34099</v>
      </c>
      <c r="L158" s="302"/>
      <c r="M158" s="302"/>
      <c r="N158" s="146">
        <v>45871</v>
      </c>
      <c r="O158" s="146">
        <v>0</v>
      </c>
      <c r="P158" s="146">
        <v>0</v>
      </c>
      <c r="Q158" s="302"/>
      <c r="R158" s="146"/>
      <c r="S158" s="303">
        <f t="shared" si="15"/>
        <v>0</v>
      </c>
      <c r="T158" s="151">
        <f t="shared" si="16"/>
        <v>0</v>
      </c>
      <c r="U158" s="302"/>
      <c r="V158" s="146"/>
      <c r="W158" s="302"/>
      <c r="X158" s="146"/>
      <c r="Y158" s="302"/>
      <c r="Z158" s="302"/>
      <c r="AA158" s="302"/>
      <c r="AB158" s="146"/>
      <c r="AC158" s="146"/>
      <c r="AD158" s="146"/>
      <c r="AE158" s="302"/>
      <c r="AF158" s="172"/>
    </row>
    <row r="159" spans="1:32" s="299" customFormat="1" ht="15" customHeight="1">
      <c r="A159" s="128" t="s">
        <v>274</v>
      </c>
      <c r="B159" s="128" t="s">
        <v>308</v>
      </c>
      <c r="C159" s="20">
        <v>140331</v>
      </c>
      <c r="D159" s="158">
        <v>12</v>
      </c>
      <c r="E159" s="233">
        <f t="shared" si="17"/>
        <v>196363</v>
      </c>
      <c r="F159" s="151">
        <f t="shared" si="14"/>
        <v>192135</v>
      </c>
      <c r="G159" s="302">
        <v>192997</v>
      </c>
      <c r="H159" s="146">
        <v>179521</v>
      </c>
      <c r="I159" s="302"/>
      <c r="J159" s="146"/>
      <c r="K159" s="302">
        <v>3366</v>
      </c>
      <c r="L159" s="302"/>
      <c r="M159" s="302"/>
      <c r="N159" s="146">
        <v>9934</v>
      </c>
      <c r="O159" s="146">
        <v>2680</v>
      </c>
      <c r="P159" s="146">
        <v>0</v>
      </c>
      <c r="Q159" s="302"/>
      <c r="R159" s="146"/>
      <c r="S159" s="303">
        <f t="shared" si="15"/>
        <v>0</v>
      </c>
      <c r="T159" s="151">
        <f t="shared" si="16"/>
        <v>0</v>
      </c>
      <c r="U159" s="302"/>
      <c r="V159" s="146"/>
      <c r="W159" s="302"/>
      <c r="X159" s="146"/>
      <c r="Y159" s="302"/>
      <c r="Z159" s="302"/>
      <c r="AA159" s="302"/>
      <c r="AB159" s="146"/>
      <c r="AC159" s="146"/>
      <c r="AD159" s="146"/>
      <c r="AE159" s="302"/>
      <c r="AF159" s="172"/>
    </row>
    <row r="160" spans="1:32" s="299" customFormat="1" ht="15" customHeight="1">
      <c r="A160" s="128" t="s">
        <v>274</v>
      </c>
      <c r="B160" s="128" t="s">
        <v>309</v>
      </c>
      <c r="C160" s="20">
        <v>139357</v>
      </c>
      <c r="D160" s="158">
        <v>12</v>
      </c>
      <c r="E160" s="233">
        <f t="shared" si="17"/>
        <v>153455</v>
      </c>
      <c r="F160" s="151">
        <f t="shared" si="14"/>
        <v>135384</v>
      </c>
      <c r="G160" s="302">
        <v>140894</v>
      </c>
      <c r="H160" s="146">
        <v>125938</v>
      </c>
      <c r="I160" s="302"/>
      <c r="J160" s="146"/>
      <c r="K160" s="302">
        <v>12561</v>
      </c>
      <c r="L160" s="302"/>
      <c r="M160" s="302"/>
      <c r="N160" s="146">
        <v>9446</v>
      </c>
      <c r="O160" s="146">
        <v>0</v>
      </c>
      <c r="P160" s="146">
        <v>0</v>
      </c>
      <c r="Q160" s="302"/>
      <c r="R160" s="146"/>
      <c r="S160" s="303">
        <f t="shared" si="15"/>
        <v>0</v>
      </c>
      <c r="T160" s="151">
        <f t="shared" si="16"/>
        <v>0</v>
      </c>
      <c r="U160" s="302"/>
      <c r="V160" s="146"/>
      <c r="W160" s="302"/>
      <c r="X160" s="146"/>
      <c r="Y160" s="302"/>
      <c r="Z160" s="302"/>
      <c r="AA160" s="302"/>
      <c r="AB160" s="146"/>
      <c r="AC160" s="146"/>
      <c r="AD160" s="146"/>
      <c r="AE160" s="302"/>
      <c r="AF160" s="172"/>
    </row>
    <row r="161" spans="1:32" s="299" customFormat="1" ht="15" customHeight="1">
      <c r="A161" s="128" t="s">
        <v>274</v>
      </c>
      <c r="B161" s="128" t="s">
        <v>310</v>
      </c>
      <c r="C161" s="20">
        <v>139384</v>
      </c>
      <c r="D161" s="158">
        <v>12</v>
      </c>
      <c r="E161" s="233">
        <f t="shared" si="17"/>
        <v>103375</v>
      </c>
      <c r="F161" s="151">
        <f t="shared" si="14"/>
        <v>106008</v>
      </c>
      <c r="G161" s="302">
        <v>95081</v>
      </c>
      <c r="H161" s="148">
        <v>89889</v>
      </c>
      <c r="I161" s="302"/>
      <c r="J161" s="146"/>
      <c r="K161" s="302">
        <v>8294</v>
      </c>
      <c r="L161" s="302"/>
      <c r="M161" s="302"/>
      <c r="N161" s="146">
        <v>16110</v>
      </c>
      <c r="O161" s="146">
        <v>0</v>
      </c>
      <c r="P161" s="146">
        <v>9</v>
      </c>
      <c r="Q161" s="302"/>
      <c r="R161" s="146"/>
      <c r="S161" s="303">
        <f t="shared" si="15"/>
        <v>0</v>
      </c>
      <c r="T161" s="151">
        <f t="shared" si="16"/>
        <v>0</v>
      </c>
      <c r="U161" s="302"/>
      <c r="V161" s="146"/>
      <c r="W161" s="302"/>
      <c r="X161" s="146"/>
      <c r="Y161" s="302"/>
      <c r="Z161" s="302"/>
      <c r="AA161" s="302"/>
      <c r="AB161" s="146"/>
      <c r="AC161" s="146"/>
      <c r="AD161" s="146"/>
      <c r="AE161" s="302"/>
      <c r="AF161" s="172"/>
    </row>
    <row r="162" spans="1:32" s="299" customFormat="1" ht="15" customHeight="1">
      <c r="A162" s="128" t="s">
        <v>274</v>
      </c>
      <c r="B162" s="128" t="s">
        <v>311</v>
      </c>
      <c r="C162" s="20">
        <v>244446</v>
      </c>
      <c r="D162" s="158">
        <v>12</v>
      </c>
      <c r="E162" s="233">
        <f t="shared" si="17"/>
        <v>181707</v>
      </c>
      <c r="F162" s="151">
        <f t="shared" si="14"/>
        <v>161610</v>
      </c>
      <c r="G162" s="302">
        <v>135740</v>
      </c>
      <c r="H162" s="146">
        <v>116324</v>
      </c>
      <c r="I162" s="302"/>
      <c r="J162" s="146"/>
      <c r="K162" s="302">
        <v>45967</v>
      </c>
      <c r="L162" s="302"/>
      <c r="M162" s="302"/>
      <c r="N162" s="146">
        <v>45286</v>
      </c>
      <c r="O162" s="146">
        <v>0</v>
      </c>
      <c r="P162" s="146">
        <v>0</v>
      </c>
      <c r="Q162" s="302"/>
      <c r="R162" s="146"/>
      <c r="S162" s="303">
        <f t="shared" si="15"/>
        <v>0</v>
      </c>
      <c r="T162" s="151">
        <f t="shared" si="16"/>
        <v>0</v>
      </c>
      <c r="U162" s="302"/>
      <c r="V162" s="146"/>
      <c r="W162" s="302"/>
      <c r="X162" s="146"/>
      <c r="Y162" s="302"/>
      <c r="Z162" s="302"/>
      <c r="AA162" s="302"/>
      <c r="AB162" s="146"/>
      <c r="AC162" s="146"/>
      <c r="AD162" s="146"/>
      <c r="AE162" s="302"/>
      <c r="AF162" s="172"/>
    </row>
    <row r="163" spans="1:32" s="299" customFormat="1" ht="15" customHeight="1">
      <c r="A163" s="128" t="s">
        <v>274</v>
      </c>
      <c r="B163" s="128" t="s">
        <v>312</v>
      </c>
      <c r="C163" s="20">
        <v>139126</v>
      </c>
      <c r="D163" s="158">
        <v>12</v>
      </c>
      <c r="E163" s="233">
        <f t="shared" si="17"/>
        <v>63119</v>
      </c>
      <c r="F163" s="151">
        <f t="shared" si="14"/>
        <v>54352</v>
      </c>
      <c r="G163" s="302">
        <v>54290</v>
      </c>
      <c r="H163" s="146">
        <v>45517</v>
      </c>
      <c r="I163" s="302"/>
      <c r="J163" s="146"/>
      <c r="K163" s="302">
        <v>8829</v>
      </c>
      <c r="L163" s="302"/>
      <c r="M163" s="302"/>
      <c r="N163" s="146">
        <v>8835</v>
      </c>
      <c r="O163" s="146">
        <v>0</v>
      </c>
      <c r="P163" s="146">
        <v>0</v>
      </c>
      <c r="Q163" s="302"/>
      <c r="R163" s="146"/>
      <c r="S163" s="303">
        <f t="shared" si="15"/>
        <v>0</v>
      </c>
      <c r="T163" s="151">
        <f t="shared" si="16"/>
        <v>0</v>
      </c>
      <c r="U163" s="302"/>
      <c r="V163" s="146"/>
      <c r="W163" s="302"/>
      <c r="X163" s="146"/>
      <c r="Y163" s="302"/>
      <c r="Z163" s="302"/>
      <c r="AA163" s="302"/>
      <c r="AB163" s="146"/>
      <c r="AC163" s="146"/>
      <c r="AD163" s="146"/>
      <c r="AE163" s="302"/>
      <c r="AF163" s="172"/>
    </row>
    <row r="164" spans="1:32" s="299" customFormat="1" ht="15" customHeight="1">
      <c r="A164" s="128" t="s">
        <v>274</v>
      </c>
      <c r="B164" s="378" t="s">
        <v>313</v>
      </c>
      <c r="C164" s="20">
        <v>248794</v>
      </c>
      <c r="D164" s="158">
        <v>12</v>
      </c>
      <c r="E164" s="233">
        <f t="shared" si="17"/>
        <v>43080.5</v>
      </c>
      <c r="F164" s="151">
        <f t="shared" si="14"/>
        <v>36340.4</v>
      </c>
      <c r="G164" s="302">
        <v>40398.5</v>
      </c>
      <c r="H164" s="146">
        <v>32077.4</v>
      </c>
      <c r="I164" s="302"/>
      <c r="J164" s="146"/>
      <c r="K164" s="302">
        <v>2682</v>
      </c>
      <c r="L164" s="302"/>
      <c r="M164" s="302"/>
      <c r="N164" s="146">
        <v>4263</v>
      </c>
      <c r="O164" s="146">
        <v>0</v>
      </c>
      <c r="P164" s="146">
        <v>0</v>
      </c>
      <c r="Q164" s="302"/>
      <c r="R164" s="146"/>
      <c r="S164" s="303">
        <f t="shared" si="15"/>
        <v>0</v>
      </c>
      <c r="T164" s="151">
        <f t="shared" si="16"/>
        <v>0</v>
      </c>
      <c r="U164" s="302"/>
      <c r="V164" s="146"/>
      <c r="W164" s="302"/>
      <c r="X164" s="146"/>
      <c r="Y164" s="302"/>
      <c r="Z164" s="302"/>
      <c r="AA164" s="302"/>
      <c r="AB164" s="146"/>
      <c r="AC164" s="146"/>
      <c r="AD164" s="146"/>
      <c r="AE164" s="302"/>
      <c r="AF164" s="172"/>
    </row>
    <row r="165" spans="1:32" s="299" customFormat="1" ht="15" customHeight="1">
      <c r="A165" s="128" t="s">
        <v>274</v>
      </c>
      <c r="B165" s="128" t="s">
        <v>314</v>
      </c>
      <c r="C165" s="20">
        <v>139986</v>
      </c>
      <c r="D165" s="158">
        <v>12</v>
      </c>
      <c r="E165" s="233">
        <f t="shared" si="17"/>
        <v>132654</v>
      </c>
      <c r="F165" s="151">
        <f t="shared" si="14"/>
        <v>127250</v>
      </c>
      <c r="G165" s="302">
        <v>124688</v>
      </c>
      <c r="H165" s="146">
        <v>114866</v>
      </c>
      <c r="I165" s="302"/>
      <c r="J165" s="146"/>
      <c r="K165" s="302">
        <v>7966</v>
      </c>
      <c r="L165" s="302"/>
      <c r="M165" s="302"/>
      <c r="N165" s="146">
        <v>12384</v>
      </c>
      <c r="O165" s="146">
        <v>0</v>
      </c>
      <c r="P165" s="146">
        <v>0</v>
      </c>
      <c r="Q165" s="302"/>
      <c r="R165" s="146"/>
      <c r="S165" s="303">
        <f t="shared" si="15"/>
        <v>0</v>
      </c>
      <c r="T165" s="151">
        <f t="shared" si="16"/>
        <v>0</v>
      </c>
      <c r="U165" s="302"/>
      <c r="V165" s="146"/>
      <c r="W165" s="302"/>
      <c r="X165" s="146"/>
      <c r="Y165" s="302"/>
      <c r="Z165" s="302"/>
      <c r="AA165" s="302"/>
      <c r="AB165" s="146"/>
      <c r="AC165" s="146"/>
      <c r="AD165" s="146"/>
      <c r="AE165" s="302"/>
      <c r="AF165" s="172"/>
    </row>
    <row r="166" spans="1:32" s="299" customFormat="1" ht="15" customHeight="1">
      <c r="A166" s="128" t="s">
        <v>274</v>
      </c>
      <c r="B166" s="128" t="s">
        <v>315</v>
      </c>
      <c r="C166" s="20">
        <v>140012</v>
      </c>
      <c r="D166" s="158">
        <v>12</v>
      </c>
      <c r="E166" s="233">
        <f t="shared" si="17"/>
        <v>166358</v>
      </c>
      <c r="F166" s="151">
        <f t="shared" si="14"/>
        <v>158310</v>
      </c>
      <c r="G166" s="302">
        <v>117968</v>
      </c>
      <c r="H166" s="146">
        <v>100604</v>
      </c>
      <c r="I166" s="302"/>
      <c r="J166" s="146"/>
      <c r="K166" s="302">
        <v>48390</v>
      </c>
      <c r="L166" s="302"/>
      <c r="M166" s="302"/>
      <c r="N166" s="146">
        <v>57706</v>
      </c>
      <c r="O166" s="146">
        <v>0</v>
      </c>
      <c r="P166" s="146">
        <v>0</v>
      </c>
      <c r="Q166" s="302"/>
      <c r="R166" s="146"/>
      <c r="S166" s="303">
        <f t="shared" si="15"/>
        <v>0</v>
      </c>
      <c r="T166" s="151">
        <f t="shared" si="16"/>
        <v>0</v>
      </c>
      <c r="U166" s="302"/>
      <c r="V166" s="146"/>
      <c r="W166" s="302"/>
      <c r="X166" s="146"/>
      <c r="Y166" s="302"/>
      <c r="Z166" s="302"/>
      <c r="AA166" s="302"/>
      <c r="AB166" s="146"/>
      <c r="AC166" s="146"/>
      <c r="AD166" s="146"/>
      <c r="AE166" s="302"/>
      <c r="AF166" s="172"/>
    </row>
    <row r="167" spans="1:32" s="299" customFormat="1" ht="15" customHeight="1">
      <c r="A167" s="128" t="s">
        <v>274</v>
      </c>
      <c r="B167" s="128" t="s">
        <v>316</v>
      </c>
      <c r="C167" s="20">
        <v>140076</v>
      </c>
      <c r="D167" s="158">
        <v>12</v>
      </c>
      <c r="E167" s="233">
        <f t="shared" si="17"/>
        <v>52877</v>
      </c>
      <c r="F167" s="151">
        <f t="shared" si="14"/>
        <v>59339</v>
      </c>
      <c r="G167" s="302">
        <v>51006</v>
      </c>
      <c r="H167" s="146">
        <v>56742</v>
      </c>
      <c r="I167" s="302"/>
      <c r="J167" s="146"/>
      <c r="K167" s="302">
        <v>1871</v>
      </c>
      <c r="L167" s="302"/>
      <c r="M167" s="302"/>
      <c r="N167" s="146">
        <v>2597</v>
      </c>
      <c r="O167" s="146">
        <v>0</v>
      </c>
      <c r="P167" s="146">
        <v>0</v>
      </c>
      <c r="Q167" s="302"/>
      <c r="R167" s="146"/>
      <c r="S167" s="303">
        <f t="shared" si="15"/>
        <v>0</v>
      </c>
      <c r="T167" s="151">
        <f t="shared" si="16"/>
        <v>0</v>
      </c>
      <c r="U167" s="302"/>
      <c r="V167" s="146"/>
      <c r="W167" s="302"/>
      <c r="X167" s="146"/>
      <c r="Y167" s="302"/>
      <c r="Z167" s="302"/>
      <c r="AA167" s="302"/>
      <c r="AB167" s="146"/>
      <c r="AC167" s="146"/>
      <c r="AD167" s="146"/>
      <c r="AE167" s="302"/>
      <c r="AF167" s="172"/>
    </row>
    <row r="168" spans="1:32" s="299" customFormat="1" ht="15" customHeight="1">
      <c r="A168" s="128" t="s">
        <v>274</v>
      </c>
      <c r="B168" s="128" t="s">
        <v>317</v>
      </c>
      <c r="C168" s="20">
        <v>140243</v>
      </c>
      <c r="D168" s="158">
        <v>12</v>
      </c>
      <c r="E168" s="233">
        <f t="shared" si="17"/>
        <v>112755</v>
      </c>
      <c r="F168" s="151">
        <f t="shared" si="14"/>
        <v>116452</v>
      </c>
      <c r="G168" s="302">
        <v>77110</v>
      </c>
      <c r="H168" s="146">
        <v>73934</v>
      </c>
      <c r="I168" s="302"/>
      <c r="J168" s="146"/>
      <c r="K168" s="302">
        <v>35645</v>
      </c>
      <c r="L168" s="302"/>
      <c r="M168" s="302"/>
      <c r="N168" s="146">
        <v>42518</v>
      </c>
      <c r="O168" s="146">
        <v>0</v>
      </c>
      <c r="P168" s="146">
        <v>0</v>
      </c>
      <c r="Q168" s="302"/>
      <c r="R168" s="146"/>
      <c r="S168" s="303">
        <f t="shared" si="15"/>
        <v>0</v>
      </c>
      <c r="T168" s="151">
        <f t="shared" si="16"/>
        <v>0</v>
      </c>
      <c r="U168" s="302"/>
      <c r="V168" s="146"/>
      <c r="W168" s="302"/>
      <c r="X168" s="146"/>
      <c r="Y168" s="302"/>
      <c r="Z168" s="302"/>
      <c r="AA168" s="302"/>
      <c r="AB168" s="146"/>
      <c r="AC168" s="146"/>
      <c r="AD168" s="146"/>
      <c r="AE168" s="302"/>
      <c r="AF168" s="172"/>
    </row>
    <row r="169" spans="1:32" s="299" customFormat="1" ht="15" customHeight="1">
      <c r="A169" s="128" t="s">
        <v>274</v>
      </c>
      <c r="B169" s="128" t="s">
        <v>318</v>
      </c>
      <c r="C169" s="20">
        <v>140085</v>
      </c>
      <c r="D169" s="158">
        <v>12</v>
      </c>
      <c r="E169" s="233">
        <f t="shared" si="17"/>
        <v>109180</v>
      </c>
      <c r="F169" s="151">
        <f t="shared" si="14"/>
        <v>95250</v>
      </c>
      <c r="G169" s="302">
        <v>101502</v>
      </c>
      <c r="H169" s="146">
        <v>86952</v>
      </c>
      <c r="I169" s="302"/>
      <c r="J169" s="146"/>
      <c r="K169" s="302">
        <v>7678</v>
      </c>
      <c r="L169" s="302"/>
      <c r="M169" s="302"/>
      <c r="N169" s="146">
        <v>8298</v>
      </c>
      <c r="O169" s="146">
        <v>0</v>
      </c>
      <c r="P169" s="146">
        <v>0</v>
      </c>
      <c r="Q169" s="302"/>
      <c r="R169" s="146"/>
      <c r="S169" s="303">
        <f t="shared" si="15"/>
        <v>0</v>
      </c>
      <c r="T169" s="151">
        <f t="shared" si="16"/>
        <v>0</v>
      </c>
      <c r="U169" s="302"/>
      <c r="V169" s="146"/>
      <c r="W169" s="302"/>
      <c r="X169" s="146"/>
      <c r="Y169" s="302"/>
      <c r="Z169" s="302"/>
      <c r="AA169" s="302"/>
      <c r="AB169" s="146"/>
      <c r="AC169" s="146"/>
      <c r="AD169" s="146"/>
      <c r="AE169" s="302"/>
      <c r="AF169" s="172"/>
    </row>
    <row r="170" spans="1:32" s="299" customFormat="1" ht="15" customHeight="1">
      <c r="A170" s="128" t="s">
        <v>274</v>
      </c>
      <c r="B170" s="128" t="s">
        <v>319</v>
      </c>
      <c r="C170" s="20">
        <v>140599</v>
      </c>
      <c r="D170" s="158">
        <v>12</v>
      </c>
      <c r="E170" s="233">
        <f t="shared" si="17"/>
        <v>77384</v>
      </c>
      <c r="F170" s="151">
        <f t="shared" si="14"/>
        <v>77519</v>
      </c>
      <c r="G170" s="302">
        <v>71605</v>
      </c>
      <c r="H170" s="146">
        <v>67127</v>
      </c>
      <c r="I170" s="302"/>
      <c r="J170" s="146"/>
      <c r="K170" s="302">
        <v>5779</v>
      </c>
      <c r="L170" s="302"/>
      <c r="M170" s="302"/>
      <c r="N170" s="146">
        <v>10392</v>
      </c>
      <c r="O170" s="146">
        <v>0</v>
      </c>
      <c r="P170" s="146">
        <v>0</v>
      </c>
      <c r="Q170" s="302"/>
      <c r="R170" s="146"/>
      <c r="S170" s="303">
        <f t="shared" si="15"/>
        <v>0</v>
      </c>
      <c r="T170" s="151">
        <f t="shared" si="16"/>
        <v>0</v>
      </c>
      <c r="U170" s="302"/>
      <c r="V170" s="146"/>
      <c r="W170" s="302"/>
      <c r="X170" s="146"/>
      <c r="Y170" s="302"/>
      <c r="Z170" s="302"/>
      <c r="AA170" s="302"/>
      <c r="AB170" s="146"/>
      <c r="AC170" s="146"/>
      <c r="AD170" s="146"/>
      <c r="AE170" s="302"/>
      <c r="AF170" s="172"/>
    </row>
    <row r="171" spans="1:32" s="299" customFormat="1" ht="15" customHeight="1">
      <c r="A171" s="128" t="s">
        <v>274</v>
      </c>
      <c r="B171" s="128" t="s">
        <v>320</v>
      </c>
      <c r="C171" s="20">
        <v>140678</v>
      </c>
      <c r="D171" s="158">
        <v>12</v>
      </c>
      <c r="E171" s="233">
        <f t="shared" si="17"/>
        <v>82163</v>
      </c>
      <c r="F171" s="151">
        <f t="shared" si="14"/>
        <v>79945</v>
      </c>
      <c r="G171" s="302">
        <v>73417</v>
      </c>
      <c r="H171" s="146">
        <v>69755</v>
      </c>
      <c r="I171" s="302"/>
      <c r="J171" s="146"/>
      <c r="K171" s="302">
        <v>8746</v>
      </c>
      <c r="L171" s="302"/>
      <c r="M171" s="302"/>
      <c r="N171" s="146">
        <v>10190</v>
      </c>
      <c r="O171" s="146">
        <v>0</v>
      </c>
      <c r="P171" s="146">
        <v>0</v>
      </c>
      <c r="Q171" s="302"/>
      <c r="R171" s="146"/>
      <c r="S171" s="303">
        <f t="shared" si="15"/>
        <v>0</v>
      </c>
      <c r="T171" s="151">
        <f t="shared" si="16"/>
        <v>0</v>
      </c>
      <c r="U171" s="302"/>
      <c r="V171" s="146"/>
      <c r="W171" s="302"/>
      <c r="X171" s="146"/>
      <c r="Y171" s="302"/>
      <c r="Z171" s="302"/>
      <c r="AA171" s="302"/>
      <c r="AB171" s="146"/>
      <c r="AC171" s="146"/>
      <c r="AD171" s="146"/>
      <c r="AE171" s="302"/>
      <c r="AF171" s="172"/>
    </row>
    <row r="172" spans="1:32" s="299" customFormat="1" ht="15" customHeight="1">
      <c r="A172" s="128" t="s">
        <v>274</v>
      </c>
      <c r="B172" s="128" t="s">
        <v>321</v>
      </c>
      <c r="C172" s="20">
        <v>366456</v>
      </c>
      <c r="D172" s="158">
        <v>12</v>
      </c>
      <c r="E172" s="233">
        <f t="shared" si="17"/>
        <v>67187</v>
      </c>
      <c r="F172" s="151">
        <f t="shared" si="14"/>
        <v>68948</v>
      </c>
      <c r="G172" s="302">
        <v>60560</v>
      </c>
      <c r="H172" s="146">
        <v>56572</v>
      </c>
      <c r="I172" s="302"/>
      <c r="J172" s="146"/>
      <c r="K172" s="302">
        <v>6627</v>
      </c>
      <c r="L172" s="302"/>
      <c r="M172" s="302"/>
      <c r="N172" s="146">
        <v>12376</v>
      </c>
      <c r="O172" s="146">
        <v>0</v>
      </c>
      <c r="P172" s="146">
        <v>0</v>
      </c>
      <c r="Q172" s="302"/>
      <c r="R172" s="146"/>
      <c r="S172" s="303">
        <f t="shared" si="15"/>
        <v>0</v>
      </c>
      <c r="T172" s="151">
        <f t="shared" si="16"/>
        <v>0</v>
      </c>
      <c r="U172" s="302"/>
      <c r="V172" s="146"/>
      <c r="W172" s="302"/>
      <c r="X172" s="146"/>
      <c r="Y172" s="302"/>
      <c r="Z172" s="302"/>
      <c r="AA172" s="302"/>
      <c r="AB172" s="146"/>
      <c r="AC172" s="146"/>
      <c r="AD172" s="146"/>
      <c r="AE172" s="302"/>
      <c r="AF172" s="172"/>
    </row>
    <row r="173" spans="1:32" s="299" customFormat="1" ht="15" customHeight="1">
      <c r="A173" s="128" t="s">
        <v>274</v>
      </c>
      <c r="B173" s="128" t="s">
        <v>322</v>
      </c>
      <c r="C173" s="20">
        <v>141273</v>
      </c>
      <c r="D173" s="158">
        <v>12</v>
      </c>
      <c r="E173" s="233">
        <f t="shared" si="17"/>
        <v>83248</v>
      </c>
      <c r="F173" s="151">
        <f t="shared" si="14"/>
        <v>79747</v>
      </c>
      <c r="G173" s="302">
        <v>70752</v>
      </c>
      <c r="H173" s="146">
        <v>65557</v>
      </c>
      <c r="I173" s="302"/>
      <c r="J173" s="146"/>
      <c r="K173" s="302">
        <v>12496</v>
      </c>
      <c r="L173" s="302"/>
      <c r="M173" s="302"/>
      <c r="N173" s="146">
        <v>14190</v>
      </c>
      <c r="O173" s="146">
        <v>0</v>
      </c>
      <c r="P173" s="146">
        <v>0</v>
      </c>
      <c r="Q173" s="302"/>
      <c r="R173" s="146"/>
      <c r="S173" s="303">
        <f t="shared" si="15"/>
        <v>0</v>
      </c>
      <c r="T173" s="151">
        <f t="shared" si="16"/>
        <v>0</v>
      </c>
      <c r="U173" s="302"/>
      <c r="V173" s="146"/>
      <c r="W173" s="302"/>
      <c r="X173" s="146"/>
      <c r="Y173" s="302"/>
      <c r="Z173" s="302"/>
      <c r="AA173" s="302"/>
      <c r="AB173" s="146"/>
      <c r="AC173" s="146"/>
      <c r="AD173" s="146"/>
      <c r="AE173" s="302"/>
      <c r="AF173" s="172"/>
    </row>
    <row r="174" spans="1:32" s="299" customFormat="1" ht="15" customHeight="1">
      <c r="A174" s="128" t="s">
        <v>274</v>
      </c>
      <c r="B174" s="128" t="s">
        <v>323</v>
      </c>
      <c r="C174" s="20">
        <v>366465</v>
      </c>
      <c r="D174" s="158">
        <v>12</v>
      </c>
      <c r="E174" s="233">
        <f t="shared" si="17"/>
        <v>86626</v>
      </c>
      <c r="F174" s="151">
        <f t="shared" si="14"/>
        <v>81676</v>
      </c>
      <c r="G174" s="302">
        <v>75605</v>
      </c>
      <c r="H174" s="146">
        <v>59942</v>
      </c>
      <c r="I174" s="302"/>
      <c r="J174" s="146"/>
      <c r="K174" s="302">
        <v>11021</v>
      </c>
      <c r="L174" s="302"/>
      <c r="M174" s="302"/>
      <c r="N174" s="146">
        <v>21734</v>
      </c>
      <c r="O174" s="146">
        <v>0</v>
      </c>
      <c r="P174" s="146">
        <v>0</v>
      </c>
      <c r="Q174" s="302"/>
      <c r="R174" s="146"/>
      <c r="S174" s="303">
        <f t="shared" si="15"/>
        <v>0</v>
      </c>
      <c r="T174" s="151">
        <f t="shared" si="16"/>
        <v>0</v>
      </c>
      <c r="U174" s="302"/>
      <c r="V174" s="146"/>
      <c r="W174" s="302"/>
      <c r="X174" s="146"/>
      <c r="Y174" s="302"/>
      <c r="Z174" s="302"/>
      <c r="AA174" s="302"/>
      <c r="AB174" s="146"/>
      <c r="AC174" s="146"/>
      <c r="AD174" s="146"/>
      <c r="AE174" s="302"/>
      <c r="AF174" s="172"/>
    </row>
    <row r="175" spans="1:32" s="299" customFormat="1" ht="15" customHeight="1">
      <c r="A175" s="128" t="s">
        <v>274</v>
      </c>
      <c r="B175" s="128" t="s">
        <v>324</v>
      </c>
      <c r="C175" s="20">
        <v>248776</v>
      </c>
      <c r="D175" s="158">
        <v>12</v>
      </c>
      <c r="E175" s="233">
        <f t="shared" si="17"/>
        <v>74193.5</v>
      </c>
      <c r="F175" s="151">
        <f t="shared" si="14"/>
        <v>61517</v>
      </c>
      <c r="G175" s="302">
        <v>69576.5</v>
      </c>
      <c r="H175" s="146">
        <v>56648</v>
      </c>
      <c r="I175" s="302"/>
      <c r="J175" s="146"/>
      <c r="K175" s="302">
        <v>4617</v>
      </c>
      <c r="L175" s="302"/>
      <c r="M175" s="302"/>
      <c r="N175" s="146">
        <v>4869</v>
      </c>
      <c r="O175" s="146">
        <v>0</v>
      </c>
      <c r="P175" s="146">
        <v>0</v>
      </c>
      <c r="Q175" s="302"/>
      <c r="R175" s="146"/>
      <c r="S175" s="303">
        <f aca="true" t="shared" si="18" ref="S175:S264">SUM(U175,W175,Y175,Z175,AA175,AE175)</f>
        <v>0</v>
      </c>
      <c r="T175" s="151">
        <f aca="true" t="shared" si="19" ref="T175:T264">SUM(V175,X175,AB175,AC175,AD175,AF175)</f>
        <v>0</v>
      </c>
      <c r="U175" s="302"/>
      <c r="V175" s="146"/>
      <c r="W175" s="302"/>
      <c r="X175" s="146"/>
      <c r="Y175" s="302"/>
      <c r="Z175" s="302"/>
      <c r="AA175" s="302"/>
      <c r="AB175" s="146"/>
      <c r="AC175" s="146"/>
      <c r="AD175" s="146"/>
      <c r="AE175" s="302"/>
      <c r="AF175" s="172"/>
    </row>
    <row r="176" spans="1:32" s="299" customFormat="1" ht="15" customHeight="1">
      <c r="A176" s="128" t="s">
        <v>274</v>
      </c>
      <c r="B176" s="128" t="s">
        <v>325</v>
      </c>
      <c r="C176" s="20">
        <v>140942</v>
      </c>
      <c r="D176" s="158">
        <v>12</v>
      </c>
      <c r="E176" s="233">
        <f t="shared" si="17"/>
        <v>146958</v>
      </c>
      <c r="F176" s="151">
        <f t="shared" si="14"/>
        <v>144205</v>
      </c>
      <c r="G176" s="302">
        <v>131843</v>
      </c>
      <c r="H176" s="146">
        <v>123250</v>
      </c>
      <c r="I176" s="302"/>
      <c r="J176" s="146"/>
      <c r="K176" s="302">
        <v>15115</v>
      </c>
      <c r="L176" s="302"/>
      <c r="M176" s="302"/>
      <c r="N176" s="146">
        <v>20955</v>
      </c>
      <c r="O176" s="146">
        <v>0</v>
      </c>
      <c r="P176" s="146">
        <v>0</v>
      </c>
      <c r="Q176" s="302"/>
      <c r="R176" s="146"/>
      <c r="S176" s="303">
        <f t="shared" si="18"/>
        <v>0</v>
      </c>
      <c r="T176" s="151">
        <f t="shared" si="19"/>
        <v>0</v>
      </c>
      <c r="U176" s="302"/>
      <c r="V176" s="146"/>
      <c r="W176" s="302"/>
      <c r="X176" s="146"/>
      <c r="Y176" s="302"/>
      <c r="Z176" s="302"/>
      <c r="AA176" s="302"/>
      <c r="AB176" s="146"/>
      <c r="AC176" s="146"/>
      <c r="AD176" s="146"/>
      <c r="AE176" s="302"/>
      <c r="AF176" s="172"/>
    </row>
    <row r="177" spans="1:32" s="299" customFormat="1" ht="15" customHeight="1">
      <c r="A177" s="128" t="s">
        <v>274</v>
      </c>
      <c r="B177" s="128" t="s">
        <v>326</v>
      </c>
      <c r="C177" s="20">
        <v>141006</v>
      </c>
      <c r="D177" s="158">
        <v>12</v>
      </c>
      <c r="E177" s="233">
        <f t="shared" si="17"/>
        <v>71753</v>
      </c>
      <c r="F177" s="151">
        <f t="shared" si="14"/>
        <v>70221</v>
      </c>
      <c r="G177" s="302">
        <v>69516</v>
      </c>
      <c r="H177" s="146">
        <v>68492</v>
      </c>
      <c r="I177" s="302"/>
      <c r="J177" s="146"/>
      <c r="K177" s="302">
        <v>2237</v>
      </c>
      <c r="L177" s="302"/>
      <c r="M177" s="302"/>
      <c r="N177" s="146">
        <v>1729</v>
      </c>
      <c r="O177" s="146">
        <v>0</v>
      </c>
      <c r="P177" s="146">
        <v>0</v>
      </c>
      <c r="Q177" s="302"/>
      <c r="R177" s="146"/>
      <c r="S177" s="303">
        <f t="shared" si="18"/>
        <v>0</v>
      </c>
      <c r="T177" s="151">
        <f t="shared" si="19"/>
        <v>0</v>
      </c>
      <c r="U177" s="302"/>
      <c r="V177" s="146"/>
      <c r="W177" s="302"/>
      <c r="X177" s="146"/>
      <c r="Y177" s="302"/>
      <c r="Z177" s="302"/>
      <c r="AA177" s="302"/>
      <c r="AB177" s="146"/>
      <c r="AC177" s="146"/>
      <c r="AD177" s="146"/>
      <c r="AE177" s="302"/>
      <c r="AF177" s="172"/>
    </row>
    <row r="178" spans="1:32" s="299" customFormat="1" ht="15" customHeight="1">
      <c r="A178" s="128" t="s">
        <v>274</v>
      </c>
      <c r="B178" s="128" t="s">
        <v>327</v>
      </c>
      <c r="C178" s="20">
        <v>368911</v>
      </c>
      <c r="D178" s="158">
        <v>12</v>
      </c>
      <c r="E178" s="233">
        <f t="shared" si="17"/>
        <v>45084</v>
      </c>
      <c r="F178" s="151">
        <f t="shared" si="14"/>
        <v>39393</v>
      </c>
      <c r="G178" s="302">
        <v>36390</v>
      </c>
      <c r="H178" s="146">
        <v>31592</v>
      </c>
      <c r="I178" s="302"/>
      <c r="J178" s="146"/>
      <c r="K178" s="302">
        <v>8694</v>
      </c>
      <c r="L178" s="302"/>
      <c r="M178" s="302"/>
      <c r="N178" s="146">
        <v>7801</v>
      </c>
      <c r="O178" s="146">
        <v>0</v>
      </c>
      <c r="P178" s="146">
        <v>0</v>
      </c>
      <c r="Q178" s="302"/>
      <c r="R178" s="146"/>
      <c r="S178" s="303">
        <f t="shared" si="18"/>
        <v>0</v>
      </c>
      <c r="T178" s="151">
        <f t="shared" si="19"/>
        <v>0</v>
      </c>
      <c r="U178" s="302"/>
      <c r="V178" s="146"/>
      <c r="W178" s="302"/>
      <c r="X178" s="146"/>
      <c r="Y178" s="302"/>
      <c r="Z178" s="302"/>
      <c r="AA178" s="302"/>
      <c r="AB178" s="146"/>
      <c r="AC178" s="146"/>
      <c r="AD178" s="146"/>
      <c r="AE178" s="302"/>
      <c r="AF178" s="172"/>
    </row>
    <row r="179" spans="1:32" s="299" customFormat="1" ht="15" customHeight="1">
      <c r="A179" s="128" t="s">
        <v>274</v>
      </c>
      <c r="B179" s="128" t="s">
        <v>328</v>
      </c>
      <c r="C179" s="20">
        <v>141158</v>
      </c>
      <c r="D179" s="232">
        <v>12</v>
      </c>
      <c r="E179" s="278">
        <f t="shared" si="17"/>
        <v>66533.6</v>
      </c>
      <c r="F179" s="267">
        <f t="shared" si="14"/>
        <v>59425.6</v>
      </c>
      <c r="G179" s="298">
        <v>57680.6</v>
      </c>
      <c r="H179" s="252">
        <v>46451.6</v>
      </c>
      <c r="I179" s="298"/>
      <c r="J179" s="252"/>
      <c r="K179" s="298">
        <v>8853</v>
      </c>
      <c r="L179" s="298"/>
      <c r="M179" s="298"/>
      <c r="N179" s="252">
        <v>12974</v>
      </c>
      <c r="O179" s="252">
        <v>0</v>
      </c>
      <c r="P179" s="252">
        <v>0</v>
      </c>
      <c r="Q179" s="298"/>
      <c r="R179" s="252"/>
      <c r="S179" s="297">
        <f t="shared" si="18"/>
        <v>0</v>
      </c>
      <c r="T179" s="267">
        <f t="shared" si="19"/>
        <v>0</v>
      </c>
      <c r="U179" s="298"/>
      <c r="V179" s="252"/>
      <c r="W179" s="298"/>
      <c r="X179" s="252"/>
      <c r="Y179" s="298"/>
      <c r="Z179" s="298"/>
      <c r="AA179" s="298"/>
      <c r="AB179" s="252"/>
      <c r="AC179" s="252"/>
      <c r="AD179" s="252"/>
      <c r="AE179" s="298"/>
      <c r="AF179" s="257"/>
    </row>
    <row r="180" spans="1:32" s="299" customFormat="1" ht="15" customHeight="1">
      <c r="A180" s="128" t="s">
        <v>274</v>
      </c>
      <c r="B180" s="128" t="s">
        <v>329</v>
      </c>
      <c r="C180" s="20">
        <v>141255</v>
      </c>
      <c r="D180" s="232">
        <v>12</v>
      </c>
      <c r="E180" s="278">
        <f t="shared" si="17"/>
        <v>92667</v>
      </c>
      <c r="F180" s="267">
        <f t="shared" si="14"/>
        <v>96525</v>
      </c>
      <c r="G180" s="298">
        <v>88692</v>
      </c>
      <c r="H180" s="252">
        <v>89499</v>
      </c>
      <c r="I180" s="298"/>
      <c r="J180" s="252"/>
      <c r="K180" s="298">
        <v>3975</v>
      </c>
      <c r="L180" s="298"/>
      <c r="M180" s="298"/>
      <c r="N180" s="252">
        <v>7026</v>
      </c>
      <c r="O180" s="252">
        <v>0</v>
      </c>
      <c r="P180" s="252">
        <v>0</v>
      </c>
      <c r="Q180" s="298"/>
      <c r="R180" s="252"/>
      <c r="S180" s="297">
        <f t="shared" si="18"/>
        <v>0</v>
      </c>
      <c r="T180" s="267">
        <f t="shared" si="19"/>
        <v>0</v>
      </c>
      <c r="U180" s="298"/>
      <c r="V180" s="252"/>
      <c r="W180" s="298"/>
      <c r="X180" s="252"/>
      <c r="Y180" s="298"/>
      <c r="Z180" s="298"/>
      <c r="AA180" s="298"/>
      <c r="AB180" s="252"/>
      <c r="AC180" s="252"/>
      <c r="AD180" s="252"/>
      <c r="AE180" s="298"/>
      <c r="AF180" s="257"/>
    </row>
    <row r="181" spans="1:32" s="299" customFormat="1" ht="15" customHeight="1">
      <c r="A181" s="128" t="s">
        <v>274</v>
      </c>
      <c r="B181" s="128" t="s">
        <v>330</v>
      </c>
      <c r="C181" s="20">
        <v>139278</v>
      </c>
      <c r="D181" s="232">
        <v>12</v>
      </c>
      <c r="E181" s="278">
        <f t="shared" si="17"/>
        <v>90747.5</v>
      </c>
      <c r="F181" s="267">
        <f t="shared" si="14"/>
        <v>95525</v>
      </c>
      <c r="G181" s="298">
        <v>87161.5</v>
      </c>
      <c r="H181" s="252">
        <v>88935</v>
      </c>
      <c r="I181" s="298"/>
      <c r="J181" s="252"/>
      <c r="K181" s="298">
        <v>3586</v>
      </c>
      <c r="L181" s="298"/>
      <c r="M181" s="298"/>
      <c r="N181" s="252">
        <v>6590</v>
      </c>
      <c r="O181" s="252">
        <v>0</v>
      </c>
      <c r="P181" s="252">
        <v>0</v>
      </c>
      <c r="Q181" s="298"/>
      <c r="R181" s="252"/>
      <c r="S181" s="297">
        <f t="shared" si="18"/>
        <v>0</v>
      </c>
      <c r="T181" s="267">
        <f t="shared" si="19"/>
        <v>0</v>
      </c>
      <c r="U181" s="298"/>
      <c r="V181" s="252"/>
      <c r="W181" s="298"/>
      <c r="X181" s="252"/>
      <c r="Y181" s="298"/>
      <c r="Z181" s="298"/>
      <c r="AA181" s="298"/>
      <c r="AB181" s="252"/>
      <c r="AC181" s="252"/>
      <c r="AD181" s="252"/>
      <c r="AE181" s="298"/>
      <c r="AF181" s="257"/>
    </row>
    <row r="182" spans="1:32" s="299" customFormat="1" ht="15" customHeight="1">
      <c r="A182" s="128" t="s">
        <v>274</v>
      </c>
      <c r="B182" s="128" t="s">
        <v>331</v>
      </c>
      <c r="C182" s="20">
        <v>141228</v>
      </c>
      <c r="D182" s="158">
        <v>12</v>
      </c>
      <c r="E182" s="233">
        <f t="shared" si="17"/>
        <v>73361.1</v>
      </c>
      <c r="F182" s="151">
        <f t="shared" si="14"/>
        <v>70388.5</v>
      </c>
      <c r="G182" s="302">
        <v>64235.1</v>
      </c>
      <c r="H182" s="146">
        <v>59295.5</v>
      </c>
      <c r="I182" s="302"/>
      <c r="J182" s="146"/>
      <c r="K182" s="302">
        <v>9126</v>
      </c>
      <c r="L182" s="302"/>
      <c r="M182" s="302"/>
      <c r="N182" s="146">
        <v>11093</v>
      </c>
      <c r="O182" s="146">
        <v>0</v>
      </c>
      <c r="P182" s="146">
        <v>0</v>
      </c>
      <c r="Q182" s="302"/>
      <c r="R182" s="146"/>
      <c r="S182" s="303">
        <f t="shared" si="18"/>
        <v>0</v>
      </c>
      <c r="T182" s="151">
        <f t="shared" si="19"/>
        <v>0</v>
      </c>
      <c r="U182" s="302"/>
      <c r="V182" s="146"/>
      <c r="W182" s="302"/>
      <c r="X182" s="146"/>
      <c r="Y182" s="302"/>
      <c r="Z182" s="302"/>
      <c r="AA182" s="302"/>
      <c r="AB182" s="146"/>
      <c r="AC182" s="146"/>
      <c r="AD182" s="146"/>
      <c r="AE182" s="302"/>
      <c r="AF182" s="172"/>
    </row>
    <row r="183" spans="1:32" s="299" customFormat="1" ht="15" customHeight="1">
      <c r="A183" s="128" t="s">
        <v>274</v>
      </c>
      <c r="B183" s="128" t="s">
        <v>332</v>
      </c>
      <c r="C183" s="20">
        <v>140809</v>
      </c>
      <c r="D183" s="158">
        <v>13</v>
      </c>
      <c r="E183" s="233">
        <f t="shared" si="17"/>
        <v>36422</v>
      </c>
      <c r="F183" s="151">
        <f t="shared" si="14"/>
        <v>40402</v>
      </c>
      <c r="G183" s="302">
        <v>30628</v>
      </c>
      <c r="H183" s="146">
        <v>34522</v>
      </c>
      <c r="I183" s="302"/>
      <c r="J183" s="146"/>
      <c r="K183" s="302">
        <v>5794</v>
      </c>
      <c r="L183" s="302"/>
      <c r="M183" s="302"/>
      <c r="N183" s="146">
        <v>5880</v>
      </c>
      <c r="O183" s="146">
        <v>0</v>
      </c>
      <c r="P183" s="146">
        <v>0</v>
      </c>
      <c r="Q183" s="302"/>
      <c r="R183" s="146"/>
      <c r="S183" s="303">
        <f t="shared" si="18"/>
        <v>0</v>
      </c>
      <c r="T183" s="151">
        <f t="shared" si="19"/>
        <v>0</v>
      </c>
      <c r="U183" s="302"/>
      <c r="V183" s="146"/>
      <c r="W183" s="302"/>
      <c r="X183" s="146"/>
      <c r="Y183" s="302"/>
      <c r="Z183" s="302"/>
      <c r="AA183" s="302"/>
      <c r="AB183" s="146"/>
      <c r="AC183" s="146"/>
      <c r="AD183" s="146"/>
      <c r="AE183" s="302"/>
      <c r="AF183" s="172"/>
    </row>
    <row r="184" spans="1:32" s="299" customFormat="1" ht="15" customHeight="1">
      <c r="A184" s="128" t="s">
        <v>274</v>
      </c>
      <c r="B184" s="128" t="s">
        <v>333</v>
      </c>
      <c r="C184" s="20">
        <v>420431</v>
      </c>
      <c r="D184" s="158">
        <v>13</v>
      </c>
      <c r="E184" s="233">
        <f t="shared" si="17"/>
        <v>27606</v>
      </c>
      <c r="F184" s="151">
        <f t="shared" si="14"/>
        <v>26851</v>
      </c>
      <c r="G184" s="302">
        <v>26835</v>
      </c>
      <c r="H184" s="146">
        <v>26228</v>
      </c>
      <c r="I184" s="302"/>
      <c r="J184" s="146"/>
      <c r="K184" s="302">
        <v>771</v>
      </c>
      <c r="L184" s="302"/>
      <c r="M184" s="302"/>
      <c r="N184" s="146">
        <v>623</v>
      </c>
      <c r="O184" s="146">
        <v>0</v>
      </c>
      <c r="P184" s="146">
        <v>0</v>
      </c>
      <c r="Q184" s="302"/>
      <c r="R184" s="146"/>
      <c r="S184" s="303">
        <f t="shared" si="18"/>
        <v>0</v>
      </c>
      <c r="T184" s="151">
        <f t="shared" si="19"/>
        <v>0</v>
      </c>
      <c r="U184" s="302"/>
      <c r="V184" s="146"/>
      <c r="W184" s="302"/>
      <c r="X184" s="146"/>
      <c r="Y184" s="302"/>
      <c r="Z184" s="302"/>
      <c r="AA184" s="302"/>
      <c r="AB184" s="146"/>
      <c r="AC184" s="146"/>
      <c r="AD184" s="146"/>
      <c r="AE184" s="302"/>
      <c r="AF184" s="172"/>
    </row>
    <row r="185" spans="1:32" s="299" customFormat="1" ht="15" customHeight="1">
      <c r="A185" s="128" t="s">
        <v>274</v>
      </c>
      <c r="B185" s="128" t="s">
        <v>334</v>
      </c>
      <c r="C185" s="20">
        <v>141121</v>
      </c>
      <c r="D185" s="158">
        <v>13</v>
      </c>
      <c r="E185" s="233">
        <f t="shared" si="17"/>
        <v>32429</v>
      </c>
      <c r="F185" s="151">
        <f aca="true" t="shared" si="20" ref="F185:F274">SUM(H185,J185,N185,O185,P185,R185)</f>
        <v>28967</v>
      </c>
      <c r="G185" s="302">
        <v>27999</v>
      </c>
      <c r="H185" s="146">
        <v>23531</v>
      </c>
      <c r="I185" s="302"/>
      <c r="J185" s="146"/>
      <c r="K185" s="302">
        <v>4430</v>
      </c>
      <c r="L185" s="302"/>
      <c r="M185" s="302"/>
      <c r="N185" s="146">
        <v>5436</v>
      </c>
      <c r="O185" s="146">
        <v>0</v>
      </c>
      <c r="P185" s="146">
        <v>0</v>
      </c>
      <c r="Q185" s="302"/>
      <c r="R185" s="146"/>
      <c r="S185" s="303">
        <f t="shared" si="18"/>
        <v>0</v>
      </c>
      <c r="T185" s="151">
        <f t="shared" si="19"/>
        <v>0</v>
      </c>
      <c r="U185" s="302"/>
      <c r="V185" s="146"/>
      <c r="W185" s="302"/>
      <c r="X185" s="146"/>
      <c r="Y185" s="302"/>
      <c r="Z185" s="302"/>
      <c r="AA185" s="302"/>
      <c r="AB185" s="146"/>
      <c r="AC185" s="146"/>
      <c r="AD185" s="146"/>
      <c r="AE185" s="302"/>
      <c r="AF185" s="172"/>
    </row>
    <row r="186" spans="1:32" s="299" customFormat="1" ht="15" customHeight="1">
      <c r="A186" s="142" t="s">
        <v>274</v>
      </c>
      <c r="B186" s="144" t="s">
        <v>527</v>
      </c>
      <c r="C186" s="145">
        <v>440615</v>
      </c>
      <c r="D186" s="154">
        <v>15</v>
      </c>
      <c r="E186" s="233">
        <f t="shared" si="17"/>
        <v>9568</v>
      </c>
      <c r="F186" s="151">
        <f t="shared" si="20"/>
        <v>11250</v>
      </c>
      <c r="G186" s="302">
        <v>9404</v>
      </c>
      <c r="H186" s="146">
        <v>11104</v>
      </c>
      <c r="I186" s="302"/>
      <c r="J186" s="146"/>
      <c r="K186" s="302">
        <v>164</v>
      </c>
      <c r="L186" s="302"/>
      <c r="M186" s="302"/>
      <c r="N186" s="146">
        <v>146</v>
      </c>
      <c r="O186" s="146">
        <v>0</v>
      </c>
      <c r="P186" s="146">
        <v>0</v>
      </c>
      <c r="Q186" s="302"/>
      <c r="R186" s="146"/>
      <c r="S186" s="303">
        <f t="shared" si="18"/>
        <v>0</v>
      </c>
      <c r="T186" s="151">
        <f t="shared" si="19"/>
        <v>0</v>
      </c>
      <c r="U186" s="302"/>
      <c r="V186" s="146"/>
      <c r="W186" s="302"/>
      <c r="X186" s="146"/>
      <c r="Y186" s="302"/>
      <c r="Z186" s="302"/>
      <c r="AA186" s="302"/>
      <c r="AB186" s="146"/>
      <c r="AC186" s="146"/>
      <c r="AD186" s="146"/>
      <c r="AE186" s="302"/>
      <c r="AF186" s="172"/>
    </row>
    <row r="187" spans="1:32" s="299" customFormat="1" ht="15" customHeight="1">
      <c r="A187" s="256" t="s">
        <v>335</v>
      </c>
      <c r="B187" s="256" t="s">
        <v>336</v>
      </c>
      <c r="C187" s="235">
        <v>157085</v>
      </c>
      <c r="D187" s="239">
        <v>1</v>
      </c>
      <c r="E187" s="233">
        <f t="shared" si="17"/>
        <v>502699</v>
      </c>
      <c r="F187" s="151">
        <f t="shared" si="20"/>
        <v>515839</v>
      </c>
      <c r="G187" s="302">
        <v>491412</v>
      </c>
      <c r="H187" s="146">
        <v>502861</v>
      </c>
      <c r="I187" s="302">
        <v>3320</v>
      </c>
      <c r="J187" s="146">
        <v>2309</v>
      </c>
      <c r="K187" s="302">
        <v>5305</v>
      </c>
      <c r="L187" s="302">
        <v>1307</v>
      </c>
      <c r="M187" s="302">
        <v>1355</v>
      </c>
      <c r="N187" s="371">
        <v>7559</v>
      </c>
      <c r="O187" s="371">
        <v>1611</v>
      </c>
      <c r="P187" s="371">
        <v>1499</v>
      </c>
      <c r="Q187" s="302"/>
      <c r="R187" s="146"/>
      <c r="S187" s="303">
        <f t="shared" si="18"/>
        <v>88952</v>
      </c>
      <c r="T187" s="151">
        <f t="shared" si="19"/>
        <v>86178</v>
      </c>
      <c r="U187" s="302">
        <v>80311</v>
      </c>
      <c r="V187" s="146">
        <v>77238</v>
      </c>
      <c r="W187" s="302">
        <v>4642</v>
      </c>
      <c r="X187" s="146">
        <v>4049</v>
      </c>
      <c r="Y187" s="302">
        <v>2979</v>
      </c>
      <c r="Z187" s="302">
        <v>990</v>
      </c>
      <c r="AA187" s="302">
        <v>30</v>
      </c>
      <c r="AB187" s="146">
        <v>3930</v>
      </c>
      <c r="AC187" s="146">
        <v>871</v>
      </c>
      <c r="AD187" s="146">
        <v>90</v>
      </c>
      <c r="AE187" s="302"/>
      <c r="AF187" s="172"/>
    </row>
    <row r="188" spans="1:32" s="299" customFormat="1" ht="15" customHeight="1">
      <c r="A188" s="256" t="s">
        <v>335</v>
      </c>
      <c r="B188" s="256" t="s">
        <v>337</v>
      </c>
      <c r="C188" s="235">
        <v>157289</v>
      </c>
      <c r="D188" s="239">
        <v>2</v>
      </c>
      <c r="E188" s="233">
        <f t="shared" si="17"/>
        <v>366017</v>
      </c>
      <c r="F188" s="151">
        <f t="shared" si="20"/>
        <v>370980</v>
      </c>
      <c r="G188" s="302">
        <v>230526.5</v>
      </c>
      <c r="H188" s="694">
        <v>351986</v>
      </c>
      <c r="I188" s="302">
        <v>5582.5</v>
      </c>
      <c r="J188" s="694">
        <v>8714</v>
      </c>
      <c r="K188" s="302">
        <v>129197</v>
      </c>
      <c r="L188" s="302"/>
      <c r="M188" s="302">
        <v>711</v>
      </c>
      <c r="N188" s="694">
        <v>9926</v>
      </c>
      <c r="O188" s="697"/>
      <c r="P188" s="694">
        <v>354</v>
      </c>
      <c r="Q188" s="302"/>
      <c r="R188" s="146"/>
      <c r="S188" s="303">
        <f t="shared" si="18"/>
        <v>83594</v>
      </c>
      <c r="T188" s="151">
        <f t="shared" si="19"/>
        <v>71711</v>
      </c>
      <c r="U188" s="302">
        <v>56228.5</v>
      </c>
      <c r="V188" s="146">
        <v>58671</v>
      </c>
      <c r="W188" s="302">
        <v>6740</v>
      </c>
      <c r="X188" s="146">
        <v>7178</v>
      </c>
      <c r="Y188" s="302">
        <v>20619.5</v>
      </c>
      <c r="Z188" s="302">
        <v>0</v>
      </c>
      <c r="AA188" s="302">
        <v>6</v>
      </c>
      <c r="AB188" s="268">
        <v>5862</v>
      </c>
      <c r="AC188" s="146"/>
      <c r="AD188" s="146"/>
      <c r="AE188" s="302"/>
      <c r="AF188" s="172"/>
    </row>
    <row r="189" spans="1:32" s="299" customFormat="1" ht="15" customHeight="1">
      <c r="A189" s="256" t="s">
        <v>335</v>
      </c>
      <c r="B189" s="256" t="s">
        <v>338</v>
      </c>
      <c r="C189" s="235">
        <v>156620</v>
      </c>
      <c r="D189" s="239">
        <v>3</v>
      </c>
      <c r="E189" s="233">
        <f t="shared" si="17"/>
        <v>357219</v>
      </c>
      <c r="F189" s="151">
        <f t="shared" si="20"/>
        <v>362474</v>
      </c>
      <c r="G189" s="302">
        <v>307859</v>
      </c>
      <c r="H189" s="148">
        <v>308524</v>
      </c>
      <c r="I189" s="302">
        <v>32826</v>
      </c>
      <c r="J189" s="146">
        <v>32655</v>
      </c>
      <c r="K189" s="302">
        <v>5990</v>
      </c>
      <c r="L189" s="302">
        <v>8947</v>
      </c>
      <c r="M189" s="302">
        <v>1597</v>
      </c>
      <c r="N189" s="371">
        <v>9514</v>
      </c>
      <c r="O189" s="371">
        <v>10131</v>
      </c>
      <c r="P189" s="371">
        <v>1650</v>
      </c>
      <c r="Q189" s="302"/>
      <c r="R189" s="146"/>
      <c r="S189" s="303">
        <f t="shared" si="18"/>
        <v>38387.5</v>
      </c>
      <c r="T189" s="151">
        <f t="shared" si="19"/>
        <v>38287</v>
      </c>
      <c r="U189" s="302">
        <v>24944.5</v>
      </c>
      <c r="V189" s="146">
        <v>24159</v>
      </c>
      <c r="W189" s="302">
        <v>9307</v>
      </c>
      <c r="X189" s="146">
        <v>7229</v>
      </c>
      <c r="Y189" s="302">
        <v>2607</v>
      </c>
      <c r="Z189" s="302">
        <v>1526</v>
      </c>
      <c r="AA189" s="302">
        <v>3</v>
      </c>
      <c r="AB189" s="146">
        <v>5115</v>
      </c>
      <c r="AC189" s="146">
        <v>1775</v>
      </c>
      <c r="AD189" s="146">
        <v>9</v>
      </c>
      <c r="AE189" s="302"/>
      <c r="AF189" s="172"/>
    </row>
    <row r="190" spans="1:32" s="299" customFormat="1" ht="15" customHeight="1">
      <c r="A190" s="256" t="s">
        <v>335</v>
      </c>
      <c r="B190" s="256" t="s">
        <v>339</v>
      </c>
      <c r="C190" s="235">
        <v>157401</v>
      </c>
      <c r="D190" s="239">
        <v>3</v>
      </c>
      <c r="E190" s="233">
        <f t="shared" si="17"/>
        <v>232242</v>
      </c>
      <c r="F190" s="151">
        <f t="shared" si="20"/>
        <v>234546</v>
      </c>
      <c r="G190" s="302">
        <v>210504</v>
      </c>
      <c r="H190" s="148">
        <v>211436</v>
      </c>
      <c r="I190" s="302">
        <v>11998</v>
      </c>
      <c r="J190" s="146">
        <v>12251</v>
      </c>
      <c r="K190" s="302">
        <v>5664</v>
      </c>
      <c r="L190" s="302">
        <v>2840</v>
      </c>
      <c r="M190" s="302">
        <v>1236</v>
      </c>
      <c r="N190" s="371">
        <v>7057</v>
      </c>
      <c r="O190" s="371">
        <v>2767</v>
      </c>
      <c r="P190" s="372">
        <v>1035</v>
      </c>
      <c r="Q190" s="302"/>
      <c r="R190" s="146"/>
      <c r="S190" s="303">
        <f t="shared" si="18"/>
        <v>27928</v>
      </c>
      <c r="T190" s="151">
        <f t="shared" si="19"/>
        <v>27921</v>
      </c>
      <c r="U190" s="302">
        <v>17069</v>
      </c>
      <c r="V190" s="146">
        <v>16534</v>
      </c>
      <c r="W190" s="302">
        <v>5706</v>
      </c>
      <c r="X190" s="146">
        <v>5690</v>
      </c>
      <c r="Y190" s="302">
        <v>2538</v>
      </c>
      <c r="Z190" s="302">
        <v>2615</v>
      </c>
      <c r="AA190" s="302">
        <v>0</v>
      </c>
      <c r="AB190" s="146">
        <v>3254</v>
      </c>
      <c r="AC190" s="146">
        <v>2443</v>
      </c>
      <c r="AD190" s="146"/>
      <c r="AE190" s="302"/>
      <c r="AF190" s="172"/>
    </row>
    <row r="191" spans="1:32" s="299" customFormat="1" ht="15" customHeight="1">
      <c r="A191" s="256" t="s">
        <v>335</v>
      </c>
      <c r="B191" s="256" t="s">
        <v>340</v>
      </c>
      <c r="C191" s="235">
        <v>157951</v>
      </c>
      <c r="D191" s="239">
        <v>3</v>
      </c>
      <c r="E191" s="233">
        <f t="shared" si="17"/>
        <v>425186.5</v>
      </c>
      <c r="F191" s="151">
        <f t="shared" si="20"/>
        <v>422393</v>
      </c>
      <c r="G191" s="302">
        <v>368777.5</v>
      </c>
      <c r="H191" s="694">
        <v>364625</v>
      </c>
      <c r="I191" s="302">
        <v>40276</v>
      </c>
      <c r="J191" s="146">
        <v>41588</v>
      </c>
      <c r="K191" s="302">
        <v>11063</v>
      </c>
      <c r="L191" s="302"/>
      <c r="M191" s="302">
        <v>5070</v>
      </c>
      <c r="N191" s="371">
        <v>14265</v>
      </c>
      <c r="O191" s="371">
        <v>495</v>
      </c>
      <c r="P191" s="694">
        <v>1420</v>
      </c>
      <c r="Q191" s="302"/>
      <c r="R191" s="146"/>
      <c r="S191" s="303">
        <f t="shared" si="18"/>
        <v>45711.5</v>
      </c>
      <c r="T191" s="151">
        <f t="shared" si="19"/>
        <v>44419</v>
      </c>
      <c r="U191" s="302">
        <v>25415.5</v>
      </c>
      <c r="V191" s="146">
        <v>25246</v>
      </c>
      <c r="W191" s="302">
        <v>6943</v>
      </c>
      <c r="X191" s="146">
        <v>5976</v>
      </c>
      <c r="Y191" s="302">
        <v>12164</v>
      </c>
      <c r="Z191" s="302">
        <v>0</v>
      </c>
      <c r="AA191" s="302">
        <v>1189</v>
      </c>
      <c r="AB191" s="146">
        <v>13172</v>
      </c>
      <c r="AC191" s="146">
        <v>3</v>
      </c>
      <c r="AD191" s="146">
        <v>22</v>
      </c>
      <c r="AE191" s="302"/>
      <c r="AF191" s="172"/>
    </row>
    <row r="192" spans="1:32" s="299" customFormat="1" ht="15" customHeight="1">
      <c r="A192" s="256" t="s">
        <v>335</v>
      </c>
      <c r="B192" s="256" t="s">
        <v>341</v>
      </c>
      <c r="C192" s="235">
        <v>157386</v>
      </c>
      <c r="D192" s="239">
        <v>4</v>
      </c>
      <c r="E192" s="233">
        <f t="shared" si="17"/>
        <v>209490</v>
      </c>
      <c r="F192" s="151">
        <f t="shared" si="20"/>
        <v>199747</v>
      </c>
      <c r="G192" s="302">
        <v>182763</v>
      </c>
      <c r="H192" s="148">
        <v>169995</v>
      </c>
      <c r="I192" s="302">
        <v>15476</v>
      </c>
      <c r="J192" s="146">
        <v>17291</v>
      </c>
      <c r="K192" s="302">
        <v>4972</v>
      </c>
      <c r="L192" s="302">
        <v>5454</v>
      </c>
      <c r="M192" s="302">
        <v>825</v>
      </c>
      <c r="N192" s="371">
        <v>7712</v>
      </c>
      <c r="O192" s="371">
        <v>4164</v>
      </c>
      <c r="P192" s="371">
        <v>585</v>
      </c>
      <c r="Q192" s="302"/>
      <c r="R192" s="146"/>
      <c r="S192" s="303">
        <f t="shared" si="18"/>
        <v>22319</v>
      </c>
      <c r="T192" s="151">
        <f t="shared" si="19"/>
        <v>21738</v>
      </c>
      <c r="U192" s="302">
        <v>10862</v>
      </c>
      <c r="V192" s="146">
        <v>9630</v>
      </c>
      <c r="W192" s="302">
        <v>4650</v>
      </c>
      <c r="X192" s="146">
        <v>3726</v>
      </c>
      <c r="Y192" s="302">
        <v>5811</v>
      </c>
      <c r="Z192" s="302">
        <v>987</v>
      </c>
      <c r="AA192" s="302">
        <v>9</v>
      </c>
      <c r="AB192" s="146">
        <v>7908</v>
      </c>
      <c r="AC192" s="146">
        <v>471</v>
      </c>
      <c r="AD192" s="146">
        <v>3</v>
      </c>
      <c r="AE192" s="302"/>
      <c r="AF192" s="172"/>
    </row>
    <row r="193" spans="1:32" s="299" customFormat="1" ht="15" customHeight="1">
      <c r="A193" s="256" t="s">
        <v>335</v>
      </c>
      <c r="B193" s="256" t="s">
        <v>342</v>
      </c>
      <c r="C193" s="235">
        <v>157447</v>
      </c>
      <c r="D193" s="239">
        <v>4</v>
      </c>
      <c r="E193" s="233">
        <f t="shared" si="17"/>
        <v>303365</v>
      </c>
      <c r="F193" s="151">
        <f t="shared" si="20"/>
        <v>303981</v>
      </c>
      <c r="G193" s="302">
        <v>289239</v>
      </c>
      <c r="H193" s="148">
        <v>290591</v>
      </c>
      <c r="I193" s="302">
        <v>9493</v>
      </c>
      <c r="J193" s="146">
        <v>7032</v>
      </c>
      <c r="K193" s="302">
        <v>3523</v>
      </c>
      <c r="L193" s="302">
        <v>48</v>
      </c>
      <c r="M193" s="302">
        <v>1062</v>
      </c>
      <c r="N193" s="371">
        <v>5008</v>
      </c>
      <c r="O193" s="371">
        <v>39</v>
      </c>
      <c r="P193" s="372">
        <v>1311</v>
      </c>
      <c r="Q193" s="302"/>
      <c r="R193" s="146"/>
      <c r="S193" s="303">
        <f t="shared" si="18"/>
        <v>32765.5</v>
      </c>
      <c r="T193" s="151">
        <f t="shared" si="19"/>
        <v>33876</v>
      </c>
      <c r="U193" s="302">
        <v>31944.5</v>
      </c>
      <c r="V193" s="146">
        <v>31911</v>
      </c>
      <c r="W193" s="302">
        <v>45</v>
      </c>
      <c r="X193" s="146">
        <v>318</v>
      </c>
      <c r="Y193" s="302">
        <v>773</v>
      </c>
      <c r="Z193" s="302">
        <v>3</v>
      </c>
      <c r="AA193" s="302">
        <v>0</v>
      </c>
      <c r="AB193" s="146">
        <v>1644</v>
      </c>
      <c r="AC193" s="146">
        <v>3</v>
      </c>
      <c r="AD193" s="146"/>
      <c r="AE193" s="302"/>
      <c r="AF193" s="172"/>
    </row>
    <row r="194" spans="1:32" s="299" customFormat="1" ht="15" customHeight="1">
      <c r="A194" s="256" t="s">
        <v>335</v>
      </c>
      <c r="B194" s="256" t="s">
        <v>343</v>
      </c>
      <c r="C194" s="235">
        <v>157058</v>
      </c>
      <c r="D194" s="239">
        <v>5</v>
      </c>
      <c r="E194" s="233">
        <f t="shared" si="17"/>
        <v>58083.5</v>
      </c>
      <c r="F194" s="151">
        <f t="shared" si="20"/>
        <v>55571</v>
      </c>
      <c r="G194" s="302">
        <v>52740.5</v>
      </c>
      <c r="H194" s="148">
        <v>51870</v>
      </c>
      <c r="I194" s="302"/>
      <c r="J194" s="146">
        <v>39</v>
      </c>
      <c r="K194" s="302">
        <v>3747</v>
      </c>
      <c r="L194" s="302">
        <v>422</v>
      </c>
      <c r="M194" s="302">
        <v>1174</v>
      </c>
      <c r="N194" s="371">
        <v>2620</v>
      </c>
      <c r="O194" s="371">
        <v>234</v>
      </c>
      <c r="P194" s="371">
        <v>808</v>
      </c>
      <c r="Q194" s="302"/>
      <c r="R194" s="146"/>
      <c r="S194" s="303">
        <f t="shared" si="18"/>
        <v>2332</v>
      </c>
      <c r="T194" s="151">
        <f t="shared" si="19"/>
        <v>2081</v>
      </c>
      <c r="U194" s="302">
        <v>2242</v>
      </c>
      <c r="V194" s="146">
        <v>1991</v>
      </c>
      <c r="W194" s="302">
        <v>0</v>
      </c>
      <c r="X194" s="146"/>
      <c r="Y194" s="302">
        <v>48</v>
      </c>
      <c r="Z194" s="302">
        <v>42</v>
      </c>
      <c r="AA194" s="302">
        <v>0</v>
      </c>
      <c r="AB194" s="146">
        <v>85</v>
      </c>
      <c r="AC194" s="146">
        <v>3</v>
      </c>
      <c r="AD194" s="146">
        <v>2</v>
      </c>
      <c r="AE194" s="302"/>
      <c r="AF194" s="172"/>
    </row>
    <row r="195" spans="1:32" s="259" customFormat="1" ht="15" customHeight="1">
      <c r="A195" s="256" t="s">
        <v>335</v>
      </c>
      <c r="B195" s="170" t="s">
        <v>535</v>
      </c>
      <c r="C195" s="235">
        <v>157173</v>
      </c>
      <c r="D195" s="239">
        <v>8</v>
      </c>
      <c r="E195" s="233">
        <f t="shared" si="17"/>
        <v>250468</v>
      </c>
      <c r="F195" s="151">
        <f t="shared" si="20"/>
        <v>248511</v>
      </c>
      <c r="G195" s="302">
        <f>179787+43071</f>
        <v>222858</v>
      </c>
      <c r="H195" s="694">
        <f>184997+14347</f>
        <v>199344</v>
      </c>
      <c r="I195" s="302">
        <f>4963+834</f>
        <v>5797</v>
      </c>
      <c r="J195" s="694">
        <f>17134+36</f>
        <v>17170</v>
      </c>
      <c r="K195" s="302">
        <f>9359+12139</f>
        <v>21498</v>
      </c>
      <c r="L195" s="302">
        <f>234+81</f>
        <v>315</v>
      </c>
      <c r="M195" s="302"/>
      <c r="N195" s="694">
        <f>11051+18714</f>
        <v>29765</v>
      </c>
      <c r="O195" s="694">
        <f>474+1419</f>
        <v>1893</v>
      </c>
      <c r="P195" s="694">
        <v>339</v>
      </c>
      <c r="Q195" s="291"/>
      <c r="R195" s="147"/>
      <c r="S195" s="303">
        <f t="shared" si="18"/>
        <v>0</v>
      </c>
      <c r="T195" s="151">
        <f t="shared" si="19"/>
        <v>0</v>
      </c>
      <c r="U195" s="291"/>
      <c r="V195" s="147"/>
      <c r="W195" s="291"/>
      <c r="X195" s="147"/>
      <c r="Y195" s="291"/>
      <c r="Z195" s="291"/>
      <c r="AA195" s="291"/>
      <c r="AB195" s="147"/>
      <c r="AC195" s="147"/>
      <c r="AD195" s="147"/>
      <c r="AE195" s="291"/>
      <c r="AF195" s="174"/>
    </row>
    <row r="196" spans="1:32" s="259" customFormat="1" ht="15" customHeight="1">
      <c r="A196" s="256" t="s">
        <v>335</v>
      </c>
      <c r="B196" s="170" t="s">
        <v>536</v>
      </c>
      <c r="C196" s="235">
        <v>156921</v>
      </c>
      <c r="D196" s="239">
        <v>8</v>
      </c>
      <c r="E196" s="233">
        <f t="shared" si="17"/>
        <v>225001</v>
      </c>
      <c r="F196" s="151">
        <f t="shared" si="20"/>
        <v>227393</v>
      </c>
      <c r="G196" s="302">
        <f>67143+29217</f>
        <v>96360</v>
      </c>
      <c r="H196" s="694">
        <v>116657</v>
      </c>
      <c r="I196" s="302">
        <f>4874+10492</f>
        <v>15366</v>
      </c>
      <c r="J196" s="694">
        <v>17636</v>
      </c>
      <c r="K196" s="302">
        <f>110132+2085</f>
        <v>112217</v>
      </c>
      <c r="L196" s="302">
        <v>305</v>
      </c>
      <c r="M196" s="302">
        <v>753</v>
      </c>
      <c r="N196" s="694">
        <v>92444</v>
      </c>
      <c r="O196" s="694">
        <v>458</v>
      </c>
      <c r="P196" s="694">
        <v>198</v>
      </c>
      <c r="Q196" s="291"/>
      <c r="R196" s="147"/>
      <c r="S196" s="303">
        <f t="shared" si="18"/>
        <v>0</v>
      </c>
      <c r="T196" s="151">
        <f t="shared" si="19"/>
        <v>0</v>
      </c>
      <c r="U196" s="291"/>
      <c r="V196" s="147"/>
      <c r="W196" s="291"/>
      <c r="X196" s="147"/>
      <c r="Y196" s="291"/>
      <c r="Z196" s="291"/>
      <c r="AA196" s="291"/>
      <c r="AB196" s="147"/>
      <c r="AC196" s="147"/>
      <c r="AD196" s="147"/>
      <c r="AE196" s="291"/>
      <c r="AF196" s="174"/>
    </row>
    <row r="197" spans="1:32" s="259" customFormat="1" ht="15" customHeight="1">
      <c r="A197" s="256" t="s">
        <v>335</v>
      </c>
      <c r="B197" s="170" t="s">
        <v>537</v>
      </c>
      <c r="C197" s="235">
        <v>156231</v>
      </c>
      <c r="D197" s="239">
        <v>9</v>
      </c>
      <c r="E197" s="233">
        <f t="shared" si="17"/>
        <v>66729</v>
      </c>
      <c r="F197" s="151">
        <f t="shared" si="20"/>
        <v>66073</v>
      </c>
      <c r="G197" s="302">
        <f>39711+16323</f>
        <v>56034</v>
      </c>
      <c r="H197" s="694">
        <v>58144</v>
      </c>
      <c r="I197" s="302">
        <v>5025</v>
      </c>
      <c r="J197" s="694">
        <v>3751</v>
      </c>
      <c r="K197" s="302">
        <f>5342+79</f>
        <v>5421</v>
      </c>
      <c r="L197" s="302"/>
      <c r="M197" s="302">
        <v>249</v>
      </c>
      <c r="N197" s="694">
        <v>4079</v>
      </c>
      <c r="O197" s="697"/>
      <c r="P197" s="694">
        <v>99</v>
      </c>
      <c r="Q197" s="291"/>
      <c r="R197" s="147"/>
      <c r="S197" s="303">
        <f t="shared" si="18"/>
        <v>0</v>
      </c>
      <c r="T197" s="151">
        <f t="shared" si="19"/>
        <v>0</v>
      </c>
      <c r="U197" s="291"/>
      <c r="V197" s="147"/>
      <c r="W197" s="291"/>
      <c r="X197" s="147"/>
      <c r="Y197" s="291"/>
      <c r="Z197" s="291"/>
      <c r="AA197" s="291"/>
      <c r="AB197" s="147"/>
      <c r="AC197" s="147"/>
      <c r="AD197" s="147"/>
      <c r="AE197" s="291"/>
      <c r="AF197" s="174"/>
    </row>
    <row r="198" spans="1:32" s="259" customFormat="1" ht="15" customHeight="1">
      <c r="A198" s="256" t="s">
        <v>335</v>
      </c>
      <c r="B198" s="170" t="s">
        <v>538</v>
      </c>
      <c r="C198" s="236">
        <v>157553</v>
      </c>
      <c r="D198" s="239">
        <v>9</v>
      </c>
      <c r="E198" s="233">
        <f t="shared" si="17"/>
        <v>82661</v>
      </c>
      <c r="F198" s="151">
        <f t="shared" si="20"/>
        <v>76743</v>
      </c>
      <c r="G198" s="307">
        <v>48166</v>
      </c>
      <c r="H198" s="694">
        <v>41817</v>
      </c>
      <c r="I198" s="307">
        <v>19449</v>
      </c>
      <c r="J198" s="694">
        <v>17872</v>
      </c>
      <c r="K198" s="307">
        <v>14472</v>
      </c>
      <c r="L198" s="307">
        <v>574</v>
      </c>
      <c r="M198" s="302"/>
      <c r="N198" s="694">
        <v>14623</v>
      </c>
      <c r="O198" s="694">
        <v>1588</v>
      </c>
      <c r="P198" s="694">
        <v>843</v>
      </c>
      <c r="Q198" s="291"/>
      <c r="R198" s="147"/>
      <c r="S198" s="303">
        <f t="shared" si="18"/>
        <v>0</v>
      </c>
      <c r="T198" s="151">
        <f t="shared" si="19"/>
        <v>0</v>
      </c>
      <c r="U198" s="291"/>
      <c r="V198" s="147"/>
      <c r="W198" s="291"/>
      <c r="X198" s="147"/>
      <c r="Y198" s="291"/>
      <c r="Z198" s="291"/>
      <c r="AA198" s="291"/>
      <c r="AB198" s="147"/>
      <c r="AC198" s="147"/>
      <c r="AD198" s="147"/>
      <c r="AE198" s="291"/>
      <c r="AF198" s="174"/>
    </row>
    <row r="199" spans="1:32" s="259" customFormat="1" ht="15" customHeight="1">
      <c r="A199" s="256" t="s">
        <v>335</v>
      </c>
      <c r="B199" s="170" t="s">
        <v>539</v>
      </c>
      <c r="C199" s="235">
        <v>156648</v>
      </c>
      <c r="D199" s="239">
        <v>9</v>
      </c>
      <c r="E199" s="233">
        <f aca="true" t="shared" si="21" ref="E199:E288">SUM(G199,I199,K199,L199,M199,Q199)</f>
        <v>91953</v>
      </c>
      <c r="F199" s="151">
        <f t="shared" si="20"/>
        <v>87592</v>
      </c>
      <c r="G199" s="307">
        <v>81763</v>
      </c>
      <c r="H199" s="694">
        <v>78550</v>
      </c>
      <c r="I199" s="307">
        <v>2208</v>
      </c>
      <c r="J199" s="694">
        <v>2936</v>
      </c>
      <c r="K199" s="307">
        <v>6003</v>
      </c>
      <c r="L199" s="302">
        <v>92</v>
      </c>
      <c r="M199" s="302">
        <v>1887</v>
      </c>
      <c r="N199" s="694">
        <v>4630</v>
      </c>
      <c r="O199" s="697"/>
      <c r="P199" s="694">
        <v>1476</v>
      </c>
      <c r="Q199" s="291"/>
      <c r="R199" s="147"/>
      <c r="S199" s="303">
        <f t="shared" si="18"/>
        <v>0</v>
      </c>
      <c r="T199" s="151">
        <f t="shared" si="19"/>
        <v>0</v>
      </c>
      <c r="U199" s="291"/>
      <c r="V199" s="147"/>
      <c r="W199" s="291"/>
      <c r="X199" s="147"/>
      <c r="Y199" s="291"/>
      <c r="Z199" s="291"/>
      <c r="AA199" s="291"/>
      <c r="AB199" s="147"/>
      <c r="AC199" s="147"/>
      <c r="AD199" s="147"/>
      <c r="AE199" s="291"/>
      <c r="AF199" s="174"/>
    </row>
    <row r="200" spans="1:32" s="299" customFormat="1" ht="15" customHeight="1">
      <c r="A200" s="256" t="s">
        <v>335</v>
      </c>
      <c r="B200" s="256" t="s">
        <v>344</v>
      </c>
      <c r="C200" s="235">
        <v>156790</v>
      </c>
      <c r="D200" s="239">
        <v>9</v>
      </c>
      <c r="E200" s="233">
        <f t="shared" si="21"/>
        <v>65536.6</v>
      </c>
      <c r="F200" s="151">
        <f t="shared" si="20"/>
        <v>63243</v>
      </c>
      <c r="G200" s="302">
        <v>45888.6</v>
      </c>
      <c r="H200" s="694">
        <v>44034</v>
      </c>
      <c r="I200" s="302">
        <v>1738</v>
      </c>
      <c r="J200" s="694">
        <v>1739</v>
      </c>
      <c r="K200" s="302">
        <v>16118</v>
      </c>
      <c r="L200" s="302">
        <v>1393</v>
      </c>
      <c r="M200" s="302">
        <v>399</v>
      </c>
      <c r="N200" s="694">
        <v>15701</v>
      </c>
      <c r="O200" s="694">
        <v>1517</v>
      </c>
      <c r="P200" s="694">
        <v>252</v>
      </c>
      <c r="Q200" s="302"/>
      <c r="R200" s="146"/>
      <c r="S200" s="303">
        <f t="shared" si="18"/>
        <v>0</v>
      </c>
      <c r="T200" s="151">
        <f t="shared" si="19"/>
        <v>0</v>
      </c>
      <c r="U200" s="302">
        <v>0</v>
      </c>
      <c r="V200" s="146"/>
      <c r="W200" s="302">
        <v>0</v>
      </c>
      <c r="X200" s="146"/>
      <c r="Y200" s="302">
        <v>0</v>
      </c>
      <c r="Z200" s="302">
        <v>0</v>
      </c>
      <c r="AA200" s="302">
        <v>0</v>
      </c>
      <c r="AB200" s="146"/>
      <c r="AC200" s="146"/>
      <c r="AD200" s="146"/>
      <c r="AE200" s="302"/>
      <c r="AF200" s="172"/>
    </row>
    <row r="201" spans="1:32" s="299" customFormat="1" ht="15" customHeight="1">
      <c r="A201" s="256" t="s">
        <v>335</v>
      </c>
      <c r="B201" s="256" t="s">
        <v>347</v>
      </c>
      <c r="C201" s="235">
        <v>157304</v>
      </c>
      <c r="D201" s="239">
        <v>9</v>
      </c>
      <c r="E201" s="233">
        <f t="shared" si="21"/>
        <v>63135.3</v>
      </c>
      <c r="F201" s="151">
        <f t="shared" si="20"/>
        <v>61540</v>
      </c>
      <c r="G201" s="307">
        <v>46982.3</v>
      </c>
      <c r="H201" s="694">
        <v>48887</v>
      </c>
      <c r="I201" s="307">
        <v>5604</v>
      </c>
      <c r="J201" s="694">
        <v>1139</v>
      </c>
      <c r="K201" s="307">
        <v>9880</v>
      </c>
      <c r="L201" s="307">
        <v>177</v>
      </c>
      <c r="M201" s="307">
        <v>492</v>
      </c>
      <c r="N201" s="694">
        <v>10785</v>
      </c>
      <c r="O201" s="694">
        <v>162</v>
      </c>
      <c r="P201" s="694">
        <v>567</v>
      </c>
      <c r="Q201" s="302"/>
      <c r="R201" s="146"/>
      <c r="S201" s="303">
        <f t="shared" si="18"/>
        <v>0</v>
      </c>
      <c r="T201" s="151">
        <f t="shared" si="19"/>
        <v>0</v>
      </c>
      <c r="U201" s="302">
        <v>0</v>
      </c>
      <c r="V201" s="146"/>
      <c r="W201" s="302">
        <v>0</v>
      </c>
      <c r="X201" s="146"/>
      <c r="Y201" s="302">
        <v>0</v>
      </c>
      <c r="Z201" s="302">
        <v>0</v>
      </c>
      <c r="AA201" s="302">
        <v>0</v>
      </c>
      <c r="AB201" s="146"/>
      <c r="AC201" s="146"/>
      <c r="AD201" s="146"/>
      <c r="AE201" s="302"/>
      <c r="AF201" s="172"/>
    </row>
    <row r="202" spans="1:32" s="259" customFormat="1" ht="15" customHeight="1">
      <c r="A202" s="260" t="s">
        <v>335</v>
      </c>
      <c r="B202" s="261" t="s">
        <v>540</v>
      </c>
      <c r="C202" s="237">
        <v>247940</v>
      </c>
      <c r="D202" s="276">
        <v>9</v>
      </c>
      <c r="E202" s="233">
        <f t="shared" si="21"/>
        <v>73565</v>
      </c>
      <c r="F202" s="151">
        <f t="shared" si="20"/>
        <v>73597</v>
      </c>
      <c r="G202" s="307">
        <v>60838</v>
      </c>
      <c r="H202" s="694">
        <v>61468</v>
      </c>
      <c r="I202" s="307">
        <v>6970</v>
      </c>
      <c r="J202" s="694">
        <v>7511</v>
      </c>
      <c r="K202" s="307">
        <v>5169</v>
      </c>
      <c r="L202" s="307">
        <v>18</v>
      </c>
      <c r="M202" s="307">
        <v>570</v>
      </c>
      <c r="N202" s="694">
        <v>4066</v>
      </c>
      <c r="O202" s="697">
        <v>60</v>
      </c>
      <c r="P202" s="694">
        <v>492</v>
      </c>
      <c r="Q202" s="291"/>
      <c r="R202" s="147"/>
      <c r="S202" s="303">
        <f t="shared" si="18"/>
        <v>0</v>
      </c>
      <c r="T202" s="151">
        <f t="shared" si="19"/>
        <v>0</v>
      </c>
      <c r="U202" s="291"/>
      <c r="V202" s="147"/>
      <c r="W202" s="291"/>
      <c r="X202" s="147"/>
      <c r="Y202" s="291"/>
      <c r="Z202" s="291"/>
      <c r="AA202" s="291"/>
      <c r="AB202" s="147"/>
      <c r="AC202" s="147"/>
      <c r="AD202" s="147"/>
      <c r="AE202" s="291"/>
      <c r="AF202" s="174"/>
    </row>
    <row r="203" spans="1:32" s="259" customFormat="1" ht="15" customHeight="1">
      <c r="A203" s="260" t="s">
        <v>335</v>
      </c>
      <c r="B203" s="238" t="s">
        <v>528</v>
      </c>
      <c r="C203" s="237">
        <v>157711</v>
      </c>
      <c r="D203" s="276">
        <v>9</v>
      </c>
      <c r="E203" s="233">
        <f t="shared" si="21"/>
        <v>102483</v>
      </c>
      <c r="F203" s="151">
        <f t="shared" si="20"/>
        <v>101243</v>
      </c>
      <c r="G203" s="302">
        <f>75769+5714</f>
        <v>81483</v>
      </c>
      <c r="H203" s="694">
        <v>80212</v>
      </c>
      <c r="I203" s="302">
        <f>12204+971</f>
        <v>13175</v>
      </c>
      <c r="J203" s="694">
        <v>12190</v>
      </c>
      <c r="K203" s="302">
        <f>3973+87</f>
        <v>4060</v>
      </c>
      <c r="L203" s="302">
        <f>2498+229</f>
        <v>2727</v>
      </c>
      <c r="M203" s="302">
        <v>1038</v>
      </c>
      <c r="N203" s="694">
        <v>3463</v>
      </c>
      <c r="O203" s="694">
        <v>4778</v>
      </c>
      <c r="P203" s="694">
        <v>600</v>
      </c>
      <c r="Q203" s="291"/>
      <c r="R203" s="147"/>
      <c r="S203" s="303">
        <f t="shared" si="18"/>
        <v>0</v>
      </c>
      <c r="T203" s="151">
        <f t="shared" si="19"/>
        <v>0</v>
      </c>
      <c r="U203" s="291"/>
      <c r="V203" s="147"/>
      <c r="W203" s="291"/>
      <c r="X203" s="147"/>
      <c r="Y203" s="291"/>
      <c r="Z203" s="291"/>
      <c r="AA203" s="291"/>
      <c r="AB203" s="147"/>
      <c r="AC203" s="147"/>
      <c r="AD203" s="147"/>
      <c r="AE203" s="291"/>
      <c r="AF203" s="174"/>
    </row>
    <row r="204" spans="1:32" s="299" customFormat="1" ht="15" customHeight="1">
      <c r="A204" s="256" t="s">
        <v>335</v>
      </c>
      <c r="B204" s="170" t="s">
        <v>541</v>
      </c>
      <c r="C204" s="235">
        <v>157739</v>
      </c>
      <c r="D204" s="239">
        <v>9</v>
      </c>
      <c r="E204" s="233">
        <f t="shared" si="21"/>
        <v>72352.5</v>
      </c>
      <c r="F204" s="151">
        <f t="shared" si="20"/>
        <v>69346</v>
      </c>
      <c r="G204" s="302">
        <v>23420</v>
      </c>
      <c r="H204" s="694">
        <v>25427</v>
      </c>
      <c r="I204" s="302">
        <v>39042.5</v>
      </c>
      <c r="J204" s="694">
        <v>33649</v>
      </c>
      <c r="K204" s="302">
        <v>4422</v>
      </c>
      <c r="L204" s="302">
        <v>3209</v>
      </c>
      <c r="M204" s="302">
        <v>2259</v>
      </c>
      <c r="N204" s="694">
        <v>5015</v>
      </c>
      <c r="O204" s="694">
        <v>3587</v>
      </c>
      <c r="P204" s="694">
        <v>1668</v>
      </c>
      <c r="Q204" s="302"/>
      <c r="R204" s="146"/>
      <c r="S204" s="303">
        <f t="shared" si="18"/>
        <v>0</v>
      </c>
      <c r="T204" s="151">
        <f t="shared" si="19"/>
        <v>0</v>
      </c>
      <c r="U204" s="302">
        <v>0</v>
      </c>
      <c r="V204" s="146"/>
      <c r="W204" s="302">
        <v>0</v>
      </c>
      <c r="X204" s="146"/>
      <c r="Y204" s="302">
        <v>0</v>
      </c>
      <c r="Z204" s="302">
        <v>0</v>
      </c>
      <c r="AA204" s="302">
        <v>0</v>
      </c>
      <c r="AB204" s="146"/>
      <c r="AC204" s="146"/>
      <c r="AD204" s="146"/>
      <c r="AE204" s="302"/>
      <c r="AF204" s="172"/>
    </row>
    <row r="205" spans="1:32" s="259" customFormat="1" ht="15" customHeight="1">
      <c r="A205" s="256" t="s">
        <v>335</v>
      </c>
      <c r="B205" s="170" t="s">
        <v>542</v>
      </c>
      <c r="C205" s="235">
        <v>157483</v>
      </c>
      <c r="D205" s="239">
        <v>9</v>
      </c>
      <c r="E205" s="233">
        <f t="shared" si="21"/>
        <v>99912.2</v>
      </c>
      <c r="F205" s="151">
        <f t="shared" si="20"/>
        <v>104232</v>
      </c>
      <c r="G205" s="307">
        <v>84733.2</v>
      </c>
      <c r="H205" s="694">
        <v>87340</v>
      </c>
      <c r="I205" s="307">
        <v>2485</v>
      </c>
      <c r="J205" s="694">
        <v>2476</v>
      </c>
      <c r="K205" s="307">
        <v>12311</v>
      </c>
      <c r="L205" s="307">
        <v>383</v>
      </c>
      <c r="M205" s="302"/>
      <c r="N205" s="694">
        <v>13942</v>
      </c>
      <c r="O205" s="697">
        <v>318</v>
      </c>
      <c r="P205" s="694">
        <v>156</v>
      </c>
      <c r="Q205" s="291"/>
      <c r="R205" s="147"/>
      <c r="S205" s="303">
        <f t="shared" si="18"/>
        <v>0</v>
      </c>
      <c r="T205" s="151">
        <f t="shared" si="19"/>
        <v>0</v>
      </c>
      <c r="U205" s="291"/>
      <c r="V205" s="147"/>
      <c r="W205" s="291"/>
      <c r="X205" s="147"/>
      <c r="Y205" s="291"/>
      <c r="Z205" s="291"/>
      <c r="AA205" s="291"/>
      <c r="AB205" s="147"/>
      <c r="AC205" s="147"/>
      <c r="AD205" s="147"/>
      <c r="AE205" s="291"/>
      <c r="AF205" s="174"/>
    </row>
    <row r="206" spans="1:32" s="299" customFormat="1" ht="15" customHeight="1">
      <c r="A206" s="256" t="s">
        <v>335</v>
      </c>
      <c r="B206" s="256" t="s">
        <v>345</v>
      </c>
      <c r="C206" s="235">
        <v>156851</v>
      </c>
      <c r="D206" s="239">
        <v>10</v>
      </c>
      <c r="E206" s="233">
        <f t="shared" si="21"/>
        <v>25313</v>
      </c>
      <c r="F206" s="151">
        <f t="shared" si="20"/>
        <v>28181</v>
      </c>
      <c r="G206" s="368">
        <f>10677+9396</f>
        <v>20073</v>
      </c>
      <c r="H206" s="694">
        <v>19665</v>
      </c>
      <c r="I206" s="367">
        <f>492+464</f>
        <v>956</v>
      </c>
      <c r="J206" s="694">
        <v>880</v>
      </c>
      <c r="K206" s="367">
        <f>2661+1321</f>
        <v>3982</v>
      </c>
      <c r="L206" s="307">
        <v>302</v>
      </c>
      <c r="M206" s="302">
        <v>0</v>
      </c>
      <c r="N206" s="694">
        <v>7329</v>
      </c>
      <c r="O206" s="694">
        <v>307</v>
      </c>
      <c r="P206" s="697"/>
      <c r="Q206" s="302"/>
      <c r="R206" s="146"/>
      <c r="S206" s="303">
        <f t="shared" si="18"/>
        <v>0</v>
      </c>
      <c r="T206" s="151">
        <f t="shared" si="19"/>
        <v>0</v>
      </c>
      <c r="U206" s="302">
        <v>0</v>
      </c>
      <c r="V206" s="146"/>
      <c r="W206" s="302">
        <v>0</v>
      </c>
      <c r="X206" s="146"/>
      <c r="Y206" s="302">
        <v>0</v>
      </c>
      <c r="Z206" s="302">
        <v>0</v>
      </c>
      <c r="AA206" s="302">
        <v>0</v>
      </c>
      <c r="AB206" s="146"/>
      <c r="AC206" s="146"/>
      <c r="AD206" s="146"/>
      <c r="AE206" s="302"/>
      <c r="AF206" s="172"/>
    </row>
    <row r="207" spans="1:32" s="299" customFormat="1" ht="15" customHeight="1">
      <c r="A207" s="256" t="s">
        <v>335</v>
      </c>
      <c r="B207" s="256" t="s">
        <v>346</v>
      </c>
      <c r="C207" s="235">
        <v>156860</v>
      </c>
      <c r="D207" s="239">
        <v>10</v>
      </c>
      <c r="E207" s="233">
        <f t="shared" si="21"/>
        <v>53667</v>
      </c>
      <c r="F207" s="151">
        <f t="shared" si="20"/>
        <v>50425</v>
      </c>
      <c r="G207" s="369">
        <v>46990</v>
      </c>
      <c r="H207" s="694">
        <v>43261</v>
      </c>
      <c r="I207" s="367">
        <v>3557</v>
      </c>
      <c r="J207" s="694">
        <v>3200</v>
      </c>
      <c r="K207" s="367">
        <v>2877</v>
      </c>
      <c r="L207" s="307">
        <v>33</v>
      </c>
      <c r="M207" s="370">
        <v>210</v>
      </c>
      <c r="N207" s="694">
        <v>3808</v>
      </c>
      <c r="O207" s="697">
        <v>18</v>
      </c>
      <c r="P207" s="694">
        <v>138</v>
      </c>
      <c r="Q207" s="302"/>
      <c r="R207" s="146"/>
      <c r="S207" s="303">
        <f t="shared" si="18"/>
        <v>0</v>
      </c>
      <c r="T207" s="151">
        <f t="shared" si="19"/>
        <v>0</v>
      </c>
      <c r="U207" s="302">
        <v>0</v>
      </c>
      <c r="V207" s="146"/>
      <c r="W207" s="302">
        <v>0</v>
      </c>
      <c r="X207" s="146"/>
      <c r="Y207" s="302">
        <v>0</v>
      </c>
      <c r="Z207" s="302">
        <v>0</v>
      </c>
      <c r="AA207" s="302">
        <v>0</v>
      </c>
      <c r="AB207" s="146"/>
      <c r="AC207" s="146"/>
      <c r="AD207" s="146"/>
      <c r="AE207" s="302"/>
      <c r="AF207" s="172"/>
    </row>
    <row r="208" spans="1:32" s="299" customFormat="1" ht="15" customHeight="1">
      <c r="A208" s="256" t="s">
        <v>335</v>
      </c>
      <c r="B208" s="170" t="s">
        <v>543</v>
      </c>
      <c r="C208" s="235">
        <v>157331</v>
      </c>
      <c r="D208" s="239">
        <v>10</v>
      </c>
      <c r="E208" s="233">
        <f t="shared" si="21"/>
        <v>55816</v>
      </c>
      <c r="F208" s="151">
        <f t="shared" si="20"/>
        <v>60158</v>
      </c>
      <c r="G208" s="307">
        <v>18055</v>
      </c>
      <c r="H208" s="694">
        <v>21305</v>
      </c>
      <c r="I208" s="307">
        <v>12632</v>
      </c>
      <c r="J208" s="694">
        <v>12404</v>
      </c>
      <c r="K208" s="307">
        <v>23200</v>
      </c>
      <c r="L208" s="307">
        <v>1369</v>
      </c>
      <c r="M208" s="307">
        <v>560</v>
      </c>
      <c r="N208" s="694">
        <v>25791</v>
      </c>
      <c r="O208" s="694">
        <v>658</v>
      </c>
      <c r="P208" s="697"/>
      <c r="Q208" s="302"/>
      <c r="R208" s="146"/>
      <c r="S208" s="303">
        <f t="shared" si="18"/>
        <v>0</v>
      </c>
      <c r="T208" s="151">
        <f t="shared" si="19"/>
        <v>0</v>
      </c>
      <c r="U208" s="302">
        <v>0</v>
      </c>
      <c r="V208" s="146"/>
      <c r="W208" s="302">
        <v>0</v>
      </c>
      <c r="X208" s="146"/>
      <c r="Y208" s="302">
        <v>0</v>
      </c>
      <c r="Z208" s="302">
        <v>0</v>
      </c>
      <c r="AA208" s="302">
        <v>0</v>
      </c>
      <c r="AB208" s="146"/>
      <c r="AC208" s="146"/>
      <c r="AD208" s="146"/>
      <c r="AE208" s="302"/>
      <c r="AF208" s="172"/>
    </row>
    <row r="209" spans="1:32" s="299" customFormat="1" ht="15" customHeight="1">
      <c r="A209" s="256" t="s">
        <v>335</v>
      </c>
      <c r="B209" s="256" t="s">
        <v>349</v>
      </c>
      <c r="C209" s="235">
        <v>157438</v>
      </c>
      <c r="D209" s="239">
        <v>12</v>
      </c>
      <c r="E209" s="233">
        <f t="shared" si="21"/>
        <v>34532.4</v>
      </c>
      <c r="F209" s="151">
        <f t="shared" si="20"/>
        <v>36418</v>
      </c>
      <c r="G209" s="307">
        <v>32104.4</v>
      </c>
      <c r="H209" s="694">
        <f>15756+18629</f>
        <v>34385</v>
      </c>
      <c r="I209" s="307">
        <v>49</v>
      </c>
      <c r="J209" s="148">
        <v>28</v>
      </c>
      <c r="K209" s="307">
        <v>2379</v>
      </c>
      <c r="L209" s="302"/>
      <c r="M209" s="302"/>
      <c r="N209" s="694">
        <f>447+1558</f>
        <v>2005</v>
      </c>
      <c r="O209" s="697"/>
      <c r="P209" s="697"/>
      <c r="Q209" s="302"/>
      <c r="R209" s="146"/>
      <c r="S209" s="303">
        <f t="shared" si="18"/>
        <v>0</v>
      </c>
      <c r="T209" s="151">
        <f t="shared" si="19"/>
        <v>0</v>
      </c>
      <c r="U209" s="302">
        <v>0</v>
      </c>
      <c r="V209" s="146"/>
      <c r="W209" s="302">
        <v>0</v>
      </c>
      <c r="X209" s="146"/>
      <c r="Y209" s="302">
        <v>0</v>
      </c>
      <c r="Z209" s="302">
        <v>0</v>
      </c>
      <c r="AA209" s="302">
        <v>0</v>
      </c>
      <c r="AB209" s="146"/>
      <c r="AC209" s="146"/>
      <c r="AD209" s="146"/>
      <c r="AE209" s="302"/>
      <c r="AF209" s="172"/>
    </row>
    <row r="210" spans="1:32" s="299" customFormat="1" ht="15" customHeight="1">
      <c r="A210" s="256" t="s">
        <v>335</v>
      </c>
      <c r="B210" s="256" t="s">
        <v>348</v>
      </c>
      <c r="C210" s="235">
        <v>156338</v>
      </c>
      <c r="D210" s="239">
        <v>13</v>
      </c>
      <c r="E210" s="233">
        <f t="shared" si="21"/>
        <v>27334.199999999997</v>
      </c>
      <c r="F210" s="151">
        <f t="shared" si="20"/>
        <v>28821</v>
      </c>
      <c r="G210" s="307">
        <v>26213.6</v>
      </c>
      <c r="H210" s="694">
        <v>26902</v>
      </c>
      <c r="I210" s="307">
        <v>41.6</v>
      </c>
      <c r="J210" s="694">
        <v>129</v>
      </c>
      <c r="K210" s="307">
        <v>1079</v>
      </c>
      <c r="L210" s="302"/>
      <c r="M210" s="302"/>
      <c r="N210" s="694">
        <v>1770</v>
      </c>
      <c r="O210" s="697">
        <v>20</v>
      </c>
      <c r="P210" s="697"/>
      <c r="Q210" s="302"/>
      <c r="R210" s="146"/>
      <c r="S210" s="303">
        <f t="shared" si="18"/>
        <v>0</v>
      </c>
      <c r="T210" s="151">
        <f t="shared" si="19"/>
        <v>0</v>
      </c>
      <c r="U210" s="302">
        <v>0</v>
      </c>
      <c r="V210" s="146"/>
      <c r="W210" s="302">
        <v>0</v>
      </c>
      <c r="X210" s="146"/>
      <c r="Y210" s="302">
        <v>0</v>
      </c>
      <c r="Z210" s="302">
        <v>0</v>
      </c>
      <c r="AA210" s="302">
        <v>0</v>
      </c>
      <c r="AB210" s="146"/>
      <c r="AC210" s="146"/>
      <c r="AD210" s="146"/>
      <c r="AE210" s="302"/>
      <c r="AF210" s="172"/>
    </row>
    <row r="211" spans="1:32" s="384" customFormat="1" ht="15" customHeight="1">
      <c r="A211" s="379" t="s">
        <v>350</v>
      </c>
      <c r="B211" s="380" t="s">
        <v>667</v>
      </c>
      <c r="C211" s="381">
        <v>159391</v>
      </c>
      <c r="D211" s="159">
        <v>1</v>
      </c>
      <c r="E211" s="233">
        <f>SUM(G211,I211,K211,L211,M211,Q211)</f>
        <v>799311</v>
      </c>
      <c r="F211" s="151">
        <f>SUM(H211,J211,N211,O211,P211,R211)</f>
        <v>820788</v>
      </c>
      <c r="G211" s="382">
        <v>756142</v>
      </c>
      <c r="H211" s="146">
        <v>778881</v>
      </c>
      <c r="I211" s="382">
        <v>1364</v>
      </c>
      <c r="J211" s="146"/>
      <c r="K211" s="382">
        <v>5994</v>
      </c>
      <c r="L211" s="382">
        <v>273</v>
      </c>
      <c r="M211" s="382">
        <v>606</v>
      </c>
      <c r="N211" s="146">
        <v>5971</v>
      </c>
      <c r="O211" s="146">
        <v>0</v>
      </c>
      <c r="P211" s="146">
        <v>0</v>
      </c>
      <c r="Q211" s="382">
        <v>34932</v>
      </c>
      <c r="R211" s="146">
        <v>35936</v>
      </c>
      <c r="S211" s="383">
        <f>SUM(U211,W211,Y211,Z211,AA211,AE211)</f>
        <v>116832</v>
      </c>
      <c r="T211" s="151">
        <f>SUM(V211,X211,AB211,AC211,AD211,AF211)</f>
        <v>118469.5</v>
      </c>
      <c r="U211" s="382">
        <v>113550</v>
      </c>
      <c r="V211" s="146">
        <v>115613.5</v>
      </c>
      <c r="W211" s="382">
        <v>394</v>
      </c>
      <c r="X211" s="146"/>
      <c r="Y211" s="382">
        <v>888</v>
      </c>
      <c r="Z211" s="382">
        <v>2000</v>
      </c>
      <c r="AA211" s="382">
        <v>0</v>
      </c>
      <c r="AB211" s="146">
        <v>705</v>
      </c>
      <c r="AC211" s="146">
        <v>2151</v>
      </c>
      <c r="AD211" s="146">
        <v>0</v>
      </c>
      <c r="AE211" s="382">
        <v>0</v>
      </c>
      <c r="AF211" s="172">
        <v>0</v>
      </c>
    </row>
    <row r="212" spans="1:32" s="384" customFormat="1" ht="15" customHeight="1">
      <c r="A212" s="379" t="s">
        <v>350</v>
      </c>
      <c r="B212" s="380" t="s">
        <v>668</v>
      </c>
      <c r="C212" s="381">
        <v>160658</v>
      </c>
      <c r="D212" s="159">
        <v>2</v>
      </c>
      <c r="E212" s="233">
        <f>SUM(G212,I212,K212,L212,M212,Q212)</f>
        <v>403833</v>
      </c>
      <c r="F212" s="151">
        <f>SUM(H212,J212,N212,O212,P212,R212)</f>
        <v>410959</v>
      </c>
      <c r="G212" s="382">
        <v>401186</v>
      </c>
      <c r="H212" s="146">
        <v>410959</v>
      </c>
      <c r="I212" s="382">
        <v>2647</v>
      </c>
      <c r="J212" s="146"/>
      <c r="K212" s="382"/>
      <c r="L212" s="382"/>
      <c r="M212" s="382"/>
      <c r="N212" s="146"/>
      <c r="O212" s="146"/>
      <c r="P212" s="146"/>
      <c r="Q212" s="382"/>
      <c r="R212" s="146"/>
      <c r="S212" s="383">
        <f>SUM(U212,W212,Y212,Z212,AA212,AE212)</f>
        <v>29165</v>
      </c>
      <c r="T212" s="151">
        <f>SUM(V212,X212,AB212,AC212,AD212,AF212)</f>
        <v>29927</v>
      </c>
      <c r="U212" s="382">
        <v>28774</v>
      </c>
      <c r="V212" s="146">
        <v>29927</v>
      </c>
      <c r="W212" s="382">
        <v>391</v>
      </c>
      <c r="X212" s="146"/>
      <c r="Y212" s="382">
        <v>0</v>
      </c>
      <c r="Z212" s="382">
        <v>0</v>
      </c>
      <c r="AA212" s="382">
        <v>0</v>
      </c>
      <c r="AB212" s="146">
        <v>0</v>
      </c>
      <c r="AC212" s="146">
        <v>0</v>
      </c>
      <c r="AD212" s="146">
        <v>0</v>
      </c>
      <c r="AE212" s="382">
        <v>0</v>
      </c>
      <c r="AF212" s="172">
        <v>0</v>
      </c>
    </row>
    <row r="213" spans="1:32" s="384" customFormat="1" ht="15" customHeight="1">
      <c r="A213" s="379" t="s">
        <v>350</v>
      </c>
      <c r="B213" s="380" t="s">
        <v>669</v>
      </c>
      <c r="C213" s="381">
        <v>159939</v>
      </c>
      <c r="D213" s="159">
        <v>2</v>
      </c>
      <c r="E213" s="233">
        <f aca="true" t="shared" si="22" ref="E213:E236">SUM(G213,I213,K213,L213,M213,Q213)</f>
        <v>337805</v>
      </c>
      <c r="F213" s="151">
        <f aca="true" t="shared" si="23" ref="F213:F236">SUM(H213,J213,N213,O213,P213,R213)</f>
        <v>223013</v>
      </c>
      <c r="G213" s="382">
        <f>303021+1005</f>
        <v>304026</v>
      </c>
      <c r="H213" s="146">
        <v>216452</v>
      </c>
      <c r="I213" s="382">
        <v>23546</v>
      </c>
      <c r="J213" s="146"/>
      <c r="K213" s="382">
        <v>5067</v>
      </c>
      <c r="L213" s="382">
        <v>2127</v>
      </c>
      <c r="M213" s="382">
        <v>3039</v>
      </c>
      <c r="N213" s="146">
        <v>3972</v>
      </c>
      <c r="O213" s="146">
        <v>1137</v>
      </c>
      <c r="P213" s="146">
        <v>1452</v>
      </c>
      <c r="Q213" s="382"/>
      <c r="R213" s="146"/>
      <c r="S213" s="383">
        <f aca="true" t="shared" si="24" ref="S213:S236">SUM(U213,W213,Y213,Z213,AA213,AE213)</f>
        <v>64261</v>
      </c>
      <c r="T213" s="151">
        <f aca="true" t="shared" si="25" ref="T213:T236">SUM(V213,X213,AB213,AC213,AD213,AF213)</f>
        <v>50348</v>
      </c>
      <c r="U213" s="382">
        <v>51875</v>
      </c>
      <c r="V213" s="146">
        <v>48767</v>
      </c>
      <c r="W213" s="382">
        <v>10199</v>
      </c>
      <c r="X213" s="146"/>
      <c r="Y213" s="382">
        <v>1476</v>
      </c>
      <c r="Z213" s="382">
        <v>690</v>
      </c>
      <c r="AA213" s="382">
        <v>21</v>
      </c>
      <c r="AB213" s="146">
        <v>1098</v>
      </c>
      <c r="AC213" s="146">
        <v>465</v>
      </c>
      <c r="AD213" s="146">
        <v>18</v>
      </c>
      <c r="AE213" s="382">
        <v>0</v>
      </c>
      <c r="AF213" s="172">
        <v>0</v>
      </c>
    </row>
    <row r="214" spans="1:32" s="384" customFormat="1" ht="15" customHeight="1">
      <c r="A214" s="379" t="s">
        <v>350</v>
      </c>
      <c r="B214" s="385" t="s">
        <v>670</v>
      </c>
      <c r="C214" s="381">
        <v>159647</v>
      </c>
      <c r="D214" s="386">
        <v>2</v>
      </c>
      <c r="E214" s="233">
        <f t="shared" si="22"/>
        <v>267761</v>
      </c>
      <c r="F214" s="151">
        <f t="shared" si="23"/>
        <v>267076</v>
      </c>
      <c r="G214" s="382">
        <v>244568</v>
      </c>
      <c r="H214" s="146">
        <v>263374</v>
      </c>
      <c r="I214" s="382">
        <v>19526</v>
      </c>
      <c r="J214" s="146"/>
      <c r="K214" s="382">
        <v>3373</v>
      </c>
      <c r="L214" s="382">
        <v>294</v>
      </c>
      <c r="M214" s="382"/>
      <c r="N214" s="146">
        <v>3630</v>
      </c>
      <c r="O214" s="146">
        <v>72</v>
      </c>
      <c r="P214" s="146">
        <v>0</v>
      </c>
      <c r="Q214" s="382"/>
      <c r="R214" s="146"/>
      <c r="S214" s="383">
        <f t="shared" si="24"/>
        <v>33865</v>
      </c>
      <c r="T214" s="151">
        <f t="shared" si="25"/>
        <v>33136</v>
      </c>
      <c r="U214" s="382">
        <v>23468</v>
      </c>
      <c r="V214" s="146">
        <v>29652</v>
      </c>
      <c r="W214" s="382">
        <v>6972</v>
      </c>
      <c r="X214" s="146"/>
      <c r="Y214" s="382">
        <v>1100</v>
      </c>
      <c r="Z214" s="382">
        <v>2325</v>
      </c>
      <c r="AA214" s="382">
        <v>0</v>
      </c>
      <c r="AB214" s="146">
        <v>1474</v>
      </c>
      <c r="AC214" s="146">
        <v>2010</v>
      </c>
      <c r="AD214" s="146">
        <v>0</v>
      </c>
      <c r="AE214" s="382">
        <v>0</v>
      </c>
      <c r="AF214" s="172">
        <v>0</v>
      </c>
    </row>
    <row r="215" spans="1:32" s="384" customFormat="1" ht="15" customHeight="1">
      <c r="A215" s="379" t="s">
        <v>350</v>
      </c>
      <c r="B215" s="380" t="s">
        <v>671</v>
      </c>
      <c r="C215" s="381">
        <v>160621</v>
      </c>
      <c r="D215" s="159">
        <v>3</v>
      </c>
      <c r="E215" s="233">
        <f t="shared" si="22"/>
        <v>265672</v>
      </c>
      <c r="F215" s="151">
        <f t="shared" si="23"/>
        <v>271770</v>
      </c>
      <c r="G215" s="382">
        <v>265630</v>
      </c>
      <c r="H215" s="146">
        <v>271770</v>
      </c>
      <c r="I215" s="382">
        <v>42</v>
      </c>
      <c r="J215" s="146"/>
      <c r="K215" s="382"/>
      <c r="L215" s="382"/>
      <c r="M215" s="382"/>
      <c r="N215" s="146">
        <v>0</v>
      </c>
      <c r="O215" s="146">
        <v>0</v>
      </c>
      <c r="P215" s="146">
        <v>0</v>
      </c>
      <c r="Q215" s="382"/>
      <c r="R215" s="146"/>
      <c r="S215" s="383">
        <f t="shared" si="24"/>
        <v>19271</v>
      </c>
      <c r="T215" s="151">
        <f t="shared" si="25"/>
        <v>18424</v>
      </c>
      <c r="U215" s="382">
        <v>18900</v>
      </c>
      <c r="V215" s="146">
        <v>18424</v>
      </c>
      <c r="W215" s="382">
        <v>371</v>
      </c>
      <c r="X215" s="146"/>
      <c r="Y215" s="382">
        <v>0</v>
      </c>
      <c r="Z215" s="382">
        <v>0</v>
      </c>
      <c r="AA215" s="382">
        <v>0</v>
      </c>
      <c r="AB215" s="146">
        <v>0</v>
      </c>
      <c r="AC215" s="146">
        <v>0</v>
      </c>
      <c r="AD215" s="146">
        <v>0</v>
      </c>
      <c r="AE215" s="382">
        <v>0</v>
      </c>
      <c r="AF215" s="172">
        <v>0</v>
      </c>
    </row>
    <row r="216" spans="1:32" s="384" customFormat="1" ht="15" customHeight="1">
      <c r="A216" s="379" t="s">
        <v>350</v>
      </c>
      <c r="B216" s="380" t="s">
        <v>672</v>
      </c>
      <c r="C216" s="381">
        <v>159993</v>
      </c>
      <c r="D216" s="159">
        <v>3</v>
      </c>
      <c r="E216" s="233">
        <f t="shared" si="22"/>
        <v>220551</v>
      </c>
      <c r="F216" s="151">
        <f t="shared" si="23"/>
        <v>223265</v>
      </c>
      <c r="G216" s="382">
        <v>215661</v>
      </c>
      <c r="H216" s="146">
        <v>217735</v>
      </c>
      <c r="I216" s="382">
        <v>381</v>
      </c>
      <c r="J216" s="146"/>
      <c r="K216" s="382">
        <v>4239</v>
      </c>
      <c r="L216" s="382"/>
      <c r="M216" s="382">
        <v>270</v>
      </c>
      <c r="N216" s="146">
        <v>5530</v>
      </c>
      <c r="O216" s="146">
        <v>0</v>
      </c>
      <c r="P216" s="146">
        <v>0</v>
      </c>
      <c r="Q216" s="382"/>
      <c r="R216" s="146"/>
      <c r="S216" s="383">
        <f t="shared" si="24"/>
        <v>23112</v>
      </c>
      <c r="T216" s="151">
        <f t="shared" si="25"/>
        <v>23296</v>
      </c>
      <c r="U216" s="382">
        <v>22062</v>
      </c>
      <c r="V216" s="146">
        <v>22528</v>
      </c>
      <c r="W216" s="382">
        <v>339</v>
      </c>
      <c r="X216" s="146"/>
      <c r="Y216" s="382">
        <v>651</v>
      </c>
      <c r="Z216" s="382">
        <v>60</v>
      </c>
      <c r="AA216" s="382">
        <v>0</v>
      </c>
      <c r="AB216" s="146">
        <v>726</v>
      </c>
      <c r="AC216" s="146">
        <v>42</v>
      </c>
      <c r="AD216" s="146">
        <v>0</v>
      </c>
      <c r="AE216" s="382">
        <v>0</v>
      </c>
      <c r="AF216" s="172">
        <v>0</v>
      </c>
    </row>
    <row r="217" spans="1:32" s="384" customFormat="1" ht="15" customHeight="1">
      <c r="A217" s="379" t="s">
        <v>350</v>
      </c>
      <c r="B217" s="380" t="s">
        <v>673</v>
      </c>
      <c r="C217" s="381">
        <v>159009</v>
      </c>
      <c r="D217" s="159">
        <v>4</v>
      </c>
      <c r="E217" s="233">
        <f t="shared" si="22"/>
        <v>135288</v>
      </c>
      <c r="F217" s="151">
        <f t="shared" si="23"/>
        <v>135436</v>
      </c>
      <c r="G217" s="382">
        <v>135288</v>
      </c>
      <c r="H217" s="146">
        <v>133114</v>
      </c>
      <c r="I217" s="382"/>
      <c r="J217" s="146"/>
      <c r="K217" s="382"/>
      <c r="L217" s="382"/>
      <c r="M217" s="382"/>
      <c r="N217" s="146">
        <v>2322</v>
      </c>
      <c r="O217" s="146">
        <v>0</v>
      </c>
      <c r="P217" s="146">
        <v>0</v>
      </c>
      <c r="Q217" s="382"/>
      <c r="R217" s="146"/>
      <c r="S217" s="383">
        <f t="shared" si="24"/>
        <v>12550</v>
      </c>
      <c r="T217" s="151">
        <f t="shared" si="25"/>
        <v>12679</v>
      </c>
      <c r="U217" s="382">
        <v>12550</v>
      </c>
      <c r="V217" s="146">
        <v>12358</v>
      </c>
      <c r="W217" s="382">
        <v>0</v>
      </c>
      <c r="X217" s="146"/>
      <c r="Y217" s="382">
        <v>0</v>
      </c>
      <c r="Z217" s="382">
        <v>0</v>
      </c>
      <c r="AA217" s="382">
        <v>0</v>
      </c>
      <c r="AB217" s="146">
        <v>321</v>
      </c>
      <c r="AC217" s="146">
        <v>0</v>
      </c>
      <c r="AD217" s="146">
        <v>0</v>
      </c>
      <c r="AE217" s="382">
        <v>0</v>
      </c>
      <c r="AF217" s="172">
        <v>0</v>
      </c>
    </row>
    <row r="218" spans="1:32" s="384" customFormat="1" ht="15" customHeight="1">
      <c r="A218" s="379" t="s">
        <v>350</v>
      </c>
      <c r="B218" s="380" t="s">
        <v>674</v>
      </c>
      <c r="C218" s="381">
        <v>159416</v>
      </c>
      <c r="D218" s="159">
        <v>4</v>
      </c>
      <c r="E218" s="233">
        <f t="shared" si="22"/>
        <v>93432</v>
      </c>
      <c r="F218" s="151">
        <f t="shared" si="23"/>
        <v>94523</v>
      </c>
      <c r="G218" s="382">
        <v>93339</v>
      </c>
      <c r="H218" s="146">
        <v>94523</v>
      </c>
      <c r="I218" s="382">
        <v>93</v>
      </c>
      <c r="J218" s="146"/>
      <c r="K218" s="382"/>
      <c r="L218" s="382"/>
      <c r="M218" s="382"/>
      <c r="N218" s="146">
        <v>0</v>
      </c>
      <c r="O218" s="146">
        <v>0</v>
      </c>
      <c r="P218" s="146">
        <v>0</v>
      </c>
      <c r="Q218" s="382"/>
      <c r="R218" s="146"/>
      <c r="S218" s="383">
        <f t="shared" si="24"/>
        <v>8441</v>
      </c>
      <c r="T218" s="151">
        <f t="shared" si="25"/>
        <v>6466</v>
      </c>
      <c r="U218" s="382">
        <v>8405</v>
      </c>
      <c r="V218" s="146">
        <v>6466</v>
      </c>
      <c r="W218" s="382">
        <v>36</v>
      </c>
      <c r="X218" s="146"/>
      <c r="Y218" s="382">
        <v>0</v>
      </c>
      <c r="Z218" s="382">
        <v>0</v>
      </c>
      <c r="AA218" s="382">
        <v>0</v>
      </c>
      <c r="AB218" s="146">
        <v>0</v>
      </c>
      <c r="AC218" s="146">
        <v>0</v>
      </c>
      <c r="AD218" s="146">
        <v>0</v>
      </c>
      <c r="AE218" s="382">
        <v>0</v>
      </c>
      <c r="AF218" s="172">
        <v>0</v>
      </c>
    </row>
    <row r="219" spans="1:32" s="384" customFormat="1" ht="15" customHeight="1">
      <c r="A219" s="379" t="s">
        <v>350</v>
      </c>
      <c r="B219" s="380" t="s">
        <v>675</v>
      </c>
      <c r="C219" s="381">
        <v>159717</v>
      </c>
      <c r="D219" s="159">
        <v>4</v>
      </c>
      <c r="E219" s="233">
        <f t="shared" si="22"/>
        <v>219768</v>
      </c>
      <c r="F219" s="151">
        <f t="shared" si="23"/>
        <v>221192</v>
      </c>
      <c r="G219" s="382">
        <v>214363</v>
      </c>
      <c r="H219" s="146">
        <v>213416</v>
      </c>
      <c r="I219" s="382">
        <v>941</v>
      </c>
      <c r="J219" s="146"/>
      <c r="K219" s="382">
        <v>3903</v>
      </c>
      <c r="L219" s="382"/>
      <c r="M219" s="382">
        <v>561</v>
      </c>
      <c r="N219" s="146">
        <v>6894</v>
      </c>
      <c r="O219" s="146">
        <v>882</v>
      </c>
      <c r="P219" s="146">
        <v>0</v>
      </c>
      <c r="Q219" s="382"/>
      <c r="R219" s="146"/>
      <c r="S219" s="383">
        <f t="shared" si="24"/>
        <v>15769</v>
      </c>
      <c r="T219" s="151">
        <f t="shared" si="25"/>
        <v>17530</v>
      </c>
      <c r="U219" s="382">
        <v>14983</v>
      </c>
      <c r="V219" s="146">
        <v>13900</v>
      </c>
      <c r="W219" s="382">
        <v>6</v>
      </c>
      <c r="X219" s="146"/>
      <c r="Y219" s="382">
        <v>462</v>
      </c>
      <c r="Z219" s="382">
        <v>318</v>
      </c>
      <c r="AA219" s="382">
        <v>0</v>
      </c>
      <c r="AB219" s="146">
        <v>2769</v>
      </c>
      <c r="AC219" s="146">
        <v>861</v>
      </c>
      <c r="AD219" s="146">
        <v>0</v>
      </c>
      <c r="AE219" s="382">
        <v>0</v>
      </c>
      <c r="AF219" s="172">
        <v>0</v>
      </c>
    </row>
    <row r="220" spans="1:32" s="384" customFormat="1" ht="15" customHeight="1">
      <c r="A220" s="379" t="s">
        <v>350</v>
      </c>
      <c r="B220" s="380" t="s">
        <v>676</v>
      </c>
      <c r="C220" s="381">
        <v>160038</v>
      </c>
      <c r="D220" s="159">
        <v>4</v>
      </c>
      <c r="E220" s="233">
        <f t="shared" si="22"/>
        <v>259284</v>
      </c>
      <c r="F220" s="151">
        <f t="shared" si="23"/>
        <v>254180</v>
      </c>
      <c r="G220" s="382">
        <v>210868</v>
      </c>
      <c r="H220" s="146">
        <v>223972</v>
      </c>
      <c r="I220" s="382">
        <v>23805</v>
      </c>
      <c r="J220" s="146"/>
      <c r="K220" s="382">
        <v>18563</v>
      </c>
      <c r="L220" s="382">
        <v>6048</v>
      </c>
      <c r="M220" s="382"/>
      <c r="N220" s="146">
        <v>23737</v>
      </c>
      <c r="O220" s="146">
        <v>6471</v>
      </c>
      <c r="P220" s="146">
        <v>0</v>
      </c>
      <c r="Q220" s="382"/>
      <c r="R220" s="146"/>
      <c r="S220" s="383">
        <f t="shared" si="24"/>
        <v>18904</v>
      </c>
      <c r="T220" s="151">
        <f t="shared" si="25"/>
        <v>17579</v>
      </c>
      <c r="U220" s="382">
        <v>10373</v>
      </c>
      <c r="V220" s="146">
        <v>9839</v>
      </c>
      <c r="W220" s="382">
        <v>530</v>
      </c>
      <c r="X220" s="146"/>
      <c r="Y220" s="382">
        <v>7128</v>
      </c>
      <c r="Z220" s="382">
        <v>873</v>
      </c>
      <c r="AA220" s="382">
        <v>0</v>
      </c>
      <c r="AB220" s="146">
        <v>6876</v>
      </c>
      <c r="AC220" s="146">
        <v>864</v>
      </c>
      <c r="AD220" s="146">
        <v>0</v>
      </c>
      <c r="AE220" s="382">
        <v>0</v>
      </c>
      <c r="AF220" s="172">
        <v>0</v>
      </c>
    </row>
    <row r="221" spans="1:32" s="384" customFormat="1" ht="15" customHeight="1">
      <c r="A221" s="379" t="s">
        <v>350</v>
      </c>
      <c r="B221" s="385" t="s">
        <v>677</v>
      </c>
      <c r="C221" s="381">
        <v>160612</v>
      </c>
      <c r="D221" s="159">
        <v>4</v>
      </c>
      <c r="E221" s="233">
        <f t="shared" si="22"/>
        <v>372773</v>
      </c>
      <c r="F221" s="151">
        <f t="shared" si="23"/>
        <v>386423</v>
      </c>
      <c r="G221" s="382">
        <v>342067</v>
      </c>
      <c r="H221" s="146">
        <v>371357</v>
      </c>
      <c r="I221" s="382">
        <v>14364</v>
      </c>
      <c r="J221" s="146"/>
      <c r="K221" s="382">
        <v>14521</v>
      </c>
      <c r="L221" s="382">
        <v>1266</v>
      </c>
      <c r="M221" s="382">
        <v>555</v>
      </c>
      <c r="N221" s="146">
        <v>12918</v>
      </c>
      <c r="O221" s="146">
        <v>1179</v>
      </c>
      <c r="P221" s="146">
        <v>969</v>
      </c>
      <c r="Q221" s="382"/>
      <c r="R221" s="146"/>
      <c r="S221" s="383">
        <f t="shared" si="24"/>
        <v>27366</v>
      </c>
      <c r="T221" s="151">
        <f t="shared" si="25"/>
        <v>26060</v>
      </c>
      <c r="U221" s="382">
        <v>22051</v>
      </c>
      <c r="V221" s="146">
        <v>23324</v>
      </c>
      <c r="W221" s="382">
        <v>1640</v>
      </c>
      <c r="X221" s="146"/>
      <c r="Y221" s="382">
        <v>3675</v>
      </c>
      <c r="Z221" s="382">
        <v>0</v>
      </c>
      <c r="AA221" s="382">
        <v>0</v>
      </c>
      <c r="AB221" s="146">
        <v>2736</v>
      </c>
      <c r="AC221" s="146">
        <v>0</v>
      </c>
      <c r="AD221" s="146">
        <v>0</v>
      </c>
      <c r="AE221" s="382">
        <v>0</v>
      </c>
      <c r="AF221" s="172">
        <v>0</v>
      </c>
    </row>
    <row r="222" spans="1:32" s="384" customFormat="1" ht="15" customHeight="1">
      <c r="A222" s="379" t="s">
        <v>350</v>
      </c>
      <c r="B222" s="385" t="s">
        <v>678</v>
      </c>
      <c r="C222" s="381">
        <v>159966</v>
      </c>
      <c r="D222" s="159">
        <v>5</v>
      </c>
      <c r="E222" s="233">
        <f t="shared" si="22"/>
        <v>190815</v>
      </c>
      <c r="F222" s="151">
        <f t="shared" si="23"/>
        <v>191168</v>
      </c>
      <c r="G222" s="382">
        <f>183184+1630</f>
        <v>184814</v>
      </c>
      <c r="H222" s="387">
        <v>185283</v>
      </c>
      <c r="I222" s="382">
        <v>2416</v>
      </c>
      <c r="J222" s="146"/>
      <c r="K222" s="382">
        <v>3321</v>
      </c>
      <c r="L222" s="382">
        <v>117</v>
      </c>
      <c r="M222" s="382">
        <v>147</v>
      </c>
      <c r="N222" s="146">
        <v>5621</v>
      </c>
      <c r="O222" s="146">
        <v>189</v>
      </c>
      <c r="P222" s="146">
        <v>75</v>
      </c>
      <c r="Q222" s="382"/>
      <c r="R222" s="146"/>
      <c r="S222" s="383">
        <f t="shared" si="24"/>
        <v>10481</v>
      </c>
      <c r="T222" s="151">
        <f t="shared" si="25"/>
        <v>10263</v>
      </c>
      <c r="U222" s="382">
        <v>9546</v>
      </c>
      <c r="V222" s="146">
        <v>10056</v>
      </c>
      <c r="W222" s="382">
        <v>449</v>
      </c>
      <c r="X222" s="146"/>
      <c r="Y222" s="382">
        <v>486</v>
      </c>
      <c r="Z222" s="382">
        <v>0</v>
      </c>
      <c r="AA222" s="382">
        <v>0</v>
      </c>
      <c r="AB222" s="146">
        <v>207</v>
      </c>
      <c r="AC222" s="146">
        <v>0</v>
      </c>
      <c r="AD222" s="146">
        <v>0</v>
      </c>
      <c r="AE222" s="382">
        <v>0</v>
      </c>
      <c r="AF222" s="172">
        <v>0</v>
      </c>
    </row>
    <row r="223" spans="1:32" s="384" customFormat="1" ht="15" customHeight="1">
      <c r="A223" s="379" t="s">
        <v>350</v>
      </c>
      <c r="B223" s="385" t="s">
        <v>679</v>
      </c>
      <c r="C223" s="381">
        <v>160630</v>
      </c>
      <c r="D223" s="159">
        <v>5</v>
      </c>
      <c r="E223" s="233">
        <f t="shared" si="22"/>
        <v>78003</v>
      </c>
      <c r="F223" s="151">
        <f t="shared" si="23"/>
        <v>45206</v>
      </c>
      <c r="G223" s="382">
        <v>78003</v>
      </c>
      <c r="H223" s="146">
        <v>45206</v>
      </c>
      <c r="I223" s="382"/>
      <c r="J223" s="146"/>
      <c r="K223" s="382"/>
      <c r="L223" s="382"/>
      <c r="M223" s="382"/>
      <c r="N223" s="146">
        <v>0</v>
      </c>
      <c r="O223" s="146">
        <v>0</v>
      </c>
      <c r="P223" s="146">
        <v>0</v>
      </c>
      <c r="Q223" s="382"/>
      <c r="R223" s="146"/>
      <c r="S223" s="383">
        <f t="shared" si="24"/>
        <v>11836</v>
      </c>
      <c r="T223" s="151">
        <f t="shared" si="25"/>
        <v>6893</v>
      </c>
      <c r="U223" s="382">
        <v>11836</v>
      </c>
      <c r="V223" s="146">
        <v>6893</v>
      </c>
      <c r="W223" s="382">
        <v>0</v>
      </c>
      <c r="X223" s="146"/>
      <c r="Y223" s="382">
        <v>0</v>
      </c>
      <c r="Z223" s="382">
        <v>0</v>
      </c>
      <c r="AA223" s="382">
        <v>0</v>
      </c>
      <c r="AB223" s="146">
        <v>0</v>
      </c>
      <c r="AC223" s="146">
        <v>0</v>
      </c>
      <c r="AD223" s="146">
        <v>0</v>
      </c>
      <c r="AE223" s="382">
        <v>0</v>
      </c>
      <c r="AF223" s="172">
        <v>0</v>
      </c>
    </row>
    <row r="224" spans="1:32" s="384" customFormat="1" ht="15" customHeight="1">
      <c r="A224" s="379" t="s">
        <v>350</v>
      </c>
      <c r="B224" s="385" t="s">
        <v>680</v>
      </c>
      <c r="C224" s="381">
        <v>159382</v>
      </c>
      <c r="D224" s="388">
        <v>7</v>
      </c>
      <c r="E224" s="233">
        <f>SUM(G224,I224,K224,L224,M224,Q224)</f>
        <v>65662</v>
      </c>
      <c r="F224" s="151">
        <f>SUM(H224,J224,N224,O224,P224,R224)</f>
        <v>64716</v>
      </c>
      <c r="G224" s="382">
        <v>65518</v>
      </c>
      <c r="H224" s="146">
        <v>64716</v>
      </c>
      <c r="I224" s="382">
        <v>144</v>
      </c>
      <c r="J224" s="146"/>
      <c r="K224" s="382"/>
      <c r="L224" s="382"/>
      <c r="M224" s="382"/>
      <c r="N224" s="146">
        <v>0</v>
      </c>
      <c r="O224" s="146">
        <v>0</v>
      </c>
      <c r="P224" s="146">
        <v>0</v>
      </c>
      <c r="Q224" s="382"/>
      <c r="R224" s="146"/>
      <c r="S224" s="383">
        <f>SUM(U224,W224,Y224,Z224,AA224,AE224)</f>
        <v>0</v>
      </c>
      <c r="T224" s="151">
        <f>SUM(V224,X224,AB224,AC224,AD224,AF224)</f>
        <v>0</v>
      </c>
      <c r="U224" s="382"/>
      <c r="V224" s="146">
        <v>0</v>
      </c>
      <c r="W224" s="382"/>
      <c r="X224" s="146"/>
      <c r="Y224" s="382"/>
      <c r="Z224" s="382"/>
      <c r="AA224" s="382"/>
      <c r="AB224" s="146"/>
      <c r="AC224" s="146"/>
      <c r="AD224" s="146"/>
      <c r="AE224" s="382"/>
      <c r="AF224" s="172">
        <v>0</v>
      </c>
    </row>
    <row r="225" spans="1:32" s="384" customFormat="1" ht="15" customHeight="1">
      <c r="A225" s="379" t="s">
        <v>350</v>
      </c>
      <c r="B225" s="380" t="s">
        <v>681</v>
      </c>
      <c r="C225" s="381">
        <v>158662</v>
      </c>
      <c r="D225" s="159">
        <v>8</v>
      </c>
      <c r="E225" s="233">
        <f t="shared" si="22"/>
        <v>352156</v>
      </c>
      <c r="F225" s="151">
        <f t="shared" si="23"/>
        <v>205892</v>
      </c>
      <c r="G225" s="382">
        <v>306560</v>
      </c>
      <c r="H225" s="146">
        <v>199378</v>
      </c>
      <c r="I225" s="382">
        <v>30320</v>
      </c>
      <c r="J225" s="146"/>
      <c r="K225" s="382">
        <v>13740</v>
      </c>
      <c r="L225" s="382">
        <v>621</v>
      </c>
      <c r="M225" s="382">
        <v>915</v>
      </c>
      <c r="N225" s="146">
        <v>5995</v>
      </c>
      <c r="O225" s="146">
        <v>282</v>
      </c>
      <c r="P225" s="146">
        <v>237</v>
      </c>
      <c r="Q225" s="382"/>
      <c r="R225" s="146"/>
      <c r="S225" s="383">
        <f t="shared" si="24"/>
        <v>0</v>
      </c>
      <c r="T225" s="151">
        <f t="shared" si="25"/>
        <v>0</v>
      </c>
      <c r="U225" s="382"/>
      <c r="V225" s="146">
        <v>0</v>
      </c>
      <c r="W225" s="382"/>
      <c r="X225" s="146"/>
      <c r="Y225" s="382"/>
      <c r="Z225" s="382"/>
      <c r="AA225" s="382"/>
      <c r="AB225" s="146"/>
      <c r="AC225" s="146"/>
      <c r="AD225" s="146"/>
      <c r="AE225" s="382"/>
      <c r="AF225" s="172">
        <v>0</v>
      </c>
    </row>
    <row r="226" spans="1:32" s="384" customFormat="1" ht="15" customHeight="1">
      <c r="A226" s="379" t="s">
        <v>350</v>
      </c>
      <c r="B226" s="380" t="s">
        <v>682</v>
      </c>
      <c r="C226" s="381">
        <v>437103</v>
      </c>
      <c r="D226" s="159">
        <v>9</v>
      </c>
      <c r="E226" s="233">
        <f t="shared" si="22"/>
        <v>125947</v>
      </c>
      <c r="F226" s="151">
        <f t="shared" si="23"/>
        <v>137347</v>
      </c>
      <c r="G226" s="382">
        <v>125947</v>
      </c>
      <c r="H226" s="146">
        <v>135066</v>
      </c>
      <c r="I226" s="382"/>
      <c r="J226" s="146"/>
      <c r="K226" s="382"/>
      <c r="L226" s="382"/>
      <c r="M226" s="382"/>
      <c r="N226" s="146">
        <v>1801</v>
      </c>
      <c r="O226" s="146">
        <v>0</v>
      </c>
      <c r="P226" s="146">
        <v>480</v>
      </c>
      <c r="Q226" s="382"/>
      <c r="R226" s="146"/>
      <c r="S226" s="383">
        <f t="shared" si="24"/>
        <v>0</v>
      </c>
      <c r="T226" s="151">
        <f t="shared" si="25"/>
        <v>0</v>
      </c>
      <c r="U226" s="382"/>
      <c r="V226" s="146">
        <v>0</v>
      </c>
      <c r="W226" s="382"/>
      <c r="X226" s="146"/>
      <c r="Y226" s="382"/>
      <c r="Z226" s="382"/>
      <c r="AA226" s="382"/>
      <c r="AB226" s="146"/>
      <c r="AC226" s="146"/>
      <c r="AD226" s="146"/>
      <c r="AE226" s="382"/>
      <c r="AF226" s="172">
        <v>0</v>
      </c>
    </row>
    <row r="227" spans="1:32" s="384" customFormat="1" ht="15" customHeight="1">
      <c r="A227" s="379" t="s">
        <v>350</v>
      </c>
      <c r="B227" s="380" t="s">
        <v>683</v>
      </c>
      <c r="C227" s="381">
        <v>158431</v>
      </c>
      <c r="D227" s="159">
        <v>9</v>
      </c>
      <c r="E227" s="233">
        <f t="shared" si="22"/>
        <v>95721</v>
      </c>
      <c r="F227" s="151">
        <f t="shared" si="23"/>
        <v>100623</v>
      </c>
      <c r="G227" s="382">
        <v>80388</v>
      </c>
      <c r="H227" s="146">
        <v>87525</v>
      </c>
      <c r="I227" s="382">
        <v>3387</v>
      </c>
      <c r="J227" s="146"/>
      <c r="K227" s="382">
        <v>11946</v>
      </c>
      <c r="L227" s="382"/>
      <c r="M227" s="382"/>
      <c r="N227" s="146">
        <v>13098</v>
      </c>
      <c r="O227" s="146">
        <v>0</v>
      </c>
      <c r="P227" s="146">
        <v>0</v>
      </c>
      <c r="Q227" s="382"/>
      <c r="R227" s="146"/>
      <c r="S227" s="383">
        <f t="shared" si="24"/>
        <v>0</v>
      </c>
      <c r="T227" s="151">
        <f t="shared" si="25"/>
        <v>0</v>
      </c>
      <c r="U227" s="382"/>
      <c r="V227" s="146">
        <v>0</v>
      </c>
      <c r="W227" s="382"/>
      <c r="X227" s="146"/>
      <c r="Y227" s="382"/>
      <c r="Z227" s="382"/>
      <c r="AA227" s="382"/>
      <c r="AB227" s="146"/>
      <c r="AC227" s="146"/>
      <c r="AD227" s="146"/>
      <c r="AE227" s="382"/>
      <c r="AF227" s="172">
        <v>0</v>
      </c>
    </row>
    <row r="228" spans="1:32" s="384" customFormat="1" ht="15" customHeight="1">
      <c r="A228" s="379" t="s">
        <v>350</v>
      </c>
      <c r="B228" s="380" t="s">
        <v>684</v>
      </c>
      <c r="C228" s="381">
        <v>159407</v>
      </c>
      <c r="D228" s="159">
        <v>9</v>
      </c>
      <c r="E228" s="233">
        <f t="shared" si="22"/>
        <v>69620</v>
      </c>
      <c r="F228" s="151">
        <f t="shared" si="23"/>
        <v>67526</v>
      </c>
      <c r="G228" s="382">
        <v>65987</v>
      </c>
      <c r="H228" s="146">
        <v>65782</v>
      </c>
      <c r="I228" s="382">
        <v>1836</v>
      </c>
      <c r="J228" s="146"/>
      <c r="K228" s="382">
        <v>1728</v>
      </c>
      <c r="L228" s="382"/>
      <c r="M228" s="382">
        <v>69</v>
      </c>
      <c r="N228" s="146">
        <v>1666</v>
      </c>
      <c r="O228" s="146">
        <v>0</v>
      </c>
      <c r="P228" s="146">
        <v>78</v>
      </c>
      <c r="Q228" s="382"/>
      <c r="R228" s="146"/>
      <c r="S228" s="383">
        <f t="shared" si="24"/>
        <v>0</v>
      </c>
      <c r="T228" s="151">
        <f t="shared" si="25"/>
        <v>0</v>
      </c>
      <c r="U228" s="382"/>
      <c r="V228" s="146">
        <v>0</v>
      </c>
      <c r="W228" s="382"/>
      <c r="X228" s="146"/>
      <c r="Y228" s="382"/>
      <c r="Z228" s="382"/>
      <c r="AA228" s="382"/>
      <c r="AB228" s="146"/>
      <c r="AC228" s="146"/>
      <c r="AD228" s="146"/>
      <c r="AE228" s="382"/>
      <c r="AF228" s="172">
        <v>0</v>
      </c>
    </row>
    <row r="229" spans="1:32" s="384" customFormat="1" ht="15" customHeight="1">
      <c r="A229" s="379" t="s">
        <v>350</v>
      </c>
      <c r="B229" s="380" t="s">
        <v>685</v>
      </c>
      <c r="C229" s="381">
        <v>440624</v>
      </c>
      <c r="D229" s="159">
        <v>10</v>
      </c>
      <c r="E229" s="233">
        <f t="shared" si="22"/>
        <v>21393</v>
      </c>
      <c r="F229" s="151">
        <f t="shared" si="23"/>
        <v>21309</v>
      </c>
      <c r="G229" s="382">
        <v>20218</v>
      </c>
      <c r="H229" s="146">
        <v>21309</v>
      </c>
      <c r="I229" s="382">
        <v>1175</v>
      </c>
      <c r="J229" s="146"/>
      <c r="K229" s="382"/>
      <c r="L229" s="382"/>
      <c r="M229" s="382"/>
      <c r="N229" s="146"/>
      <c r="O229" s="146"/>
      <c r="P229" s="146"/>
      <c r="Q229" s="382"/>
      <c r="R229" s="146"/>
      <c r="S229" s="383">
        <f t="shared" si="24"/>
        <v>0</v>
      </c>
      <c r="T229" s="151">
        <f t="shared" si="25"/>
        <v>0</v>
      </c>
      <c r="U229" s="382"/>
      <c r="V229" s="146">
        <v>0</v>
      </c>
      <c r="W229" s="382"/>
      <c r="X229" s="146"/>
      <c r="Y229" s="382"/>
      <c r="Z229" s="382"/>
      <c r="AA229" s="382"/>
      <c r="AB229" s="146"/>
      <c r="AC229" s="146"/>
      <c r="AD229" s="146"/>
      <c r="AE229" s="382"/>
      <c r="AF229" s="172">
        <v>0</v>
      </c>
    </row>
    <row r="230" spans="1:32" s="384" customFormat="1" ht="15" customHeight="1">
      <c r="A230" s="379" t="s">
        <v>350</v>
      </c>
      <c r="B230" s="380" t="s">
        <v>686</v>
      </c>
      <c r="C230" s="381">
        <v>158884</v>
      </c>
      <c r="D230" s="159">
        <v>10</v>
      </c>
      <c r="E230" s="233">
        <f t="shared" si="22"/>
        <v>49549</v>
      </c>
      <c r="F230" s="151">
        <f t="shared" si="23"/>
        <v>26368</v>
      </c>
      <c r="G230" s="382">
        <v>48173</v>
      </c>
      <c r="H230" s="146">
        <v>26368</v>
      </c>
      <c r="I230" s="382">
        <v>1376</v>
      </c>
      <c r="J230" s="146"/>
      <c r="K230" s="382"/>
      <c r="L230" s="382"/>
      <c r="M230" s="382"/>
      <c r="N230" s="146"/>
      <c r="O230" s="146"/>
      <c r="P230" s="146"/>
      <c r="Q230" s="382"/>
      <c r="R230" s="146"/>
      <c r="S230" s="383">
        <f t="shared" si="24"/>
        <v>0</v>
      </c>
      <c r="T230" s="151">
        <f t="shared" si="25"/>
        <v>0</v>
      </c>
      <c r="U230" s="382"/>
      <c r="V230" s="146">
        <v>0</v>
      </c>
      <c r="W230" s="382"/>
      <c r="X230" s="146"/>
      <c r="Y230" s="382"/>
      <c r="Z230" s="382"/>
      <c r="AA230" s="382"/>
      <c r="AB230" s="146"/>
      <c r="AC230" s="146"/>
      <c r="AD230" s="146"/>
      <c r="AE230" s="382"/>
      <c r="AF230" s="172">
        <v>0</v>
      </c>
    </row>
    <row r="231" spans="1:32" s="384" customFormat="1" ht="15" customHeight="1">
      <c r="A231" s="379" t="s">
        <v>350</v>
      </c>
      <c r="B231" s="380" t="s">
        <v>687</v>
      </c>
      <c r="C231" s="381">
        <v>436304</v>
      </c>
      <c r="D231" s="159">
        <v>10</v>
      </c>
      <c r="E231" s="233">
        <f t="shared" si="22"/>
        <v>17142</v>
      </c>
      <c r="F231" s="151">
        <f t="shared" si="23"/>
        <v>18104</v>
      </c>
      <c r="G231" s="382">
        <v>14386</v>
      </c>
      <c r="H231" s="146">
        <v>18104</v>
      </c>
      <c r="I231" s="382">
        <v>2756</v>
      </c>
      <c r="J231" s="146"/>
      <c r="K231" s="382"/>
      <c r="L231" s="382"/>
      <c r="M231" s="382"/>
      <c r="N231" s="146"/>
      <c r="O231" s="146"/>
      <c r="P231" s="146"/>
      <c r="Q231" s="382"/>
      <c r="R231" s="146"/>
      <c r="S231" s="383">
        <f t="shared" si="24"/>
        <v>0</v>
      </c>
      <c r="T231" s="151">
        <f t="shared" si="25"/>
        <v>0</v>
      </c>
      <c r="U231" s="382"/>
      <c r="V231" s="146">
        <v>0</v>
      </c>
      <c r="W231" s="382"/>
      <c r="X231" s="146"/>
      <c r="Y231" s="382"/>
      <c r="Z231" s="382"/>
      <c r="AA231" s="382"/>
      <c r="AB231" s="146"/>
      <c r="AC231" s="146"/>
      <c r="AD231" s="146"/>
      <c r="AE231" s="382"/>
      <c r="AF231" s="172">
        <v>0</v>
      </c>
    </row>
    <row r="232" spans="1:32" s="384" customFormat="1" ht="15" customHeight="1">
      <c r="A232" s="379" t="s">
        <v>350</v>
      </c>
      <c r="B232" s="380" t="s">
        <v>688</v>
      </c>
      <c r="C232" s="381">
        <v>434061</v>
      </c>
      <c r="D232" s="159">
        <v>10</v>
      </c>
      <c r="E232" s="233">
        <f t="shared" si="22"/>
        <v>33201</v>
      </c>
      <c r="F232" s="151">
        <f t="shared" si="23"/>
        <v>34849</v>
      </c>
      <c r="G232" s="382">
        <v>26132</v>
      </c>
      <c r="H232" s="146">
        <v>34849</v>
      </c>
      <c r="I232" s="382">
        <v>7069</v>
      </c>
      <c r="J232" s="146"/>
      <c r="K232" s="382"/>
      <c r="L232" s="382"/>
      <c r="M232" s="382"/>
      <c r="N232" s="146"/>
      <c r="O232" s="146"/>
      <c r="P232" s="146"/>
      <c r="Q232" s="382"/>
      <c r="R232" s="146"/>
      <c r="S232" s="383">
        <f t="shared" si="24"/>
        <v>0</v>
      </c>
      <c r="T232" s="151">
        <f t="shared" si="25"/>
        <v>0</v>
      </c>
      <c r="U232" s="382"/>
      <c r="V232" s="146">
        <v>0</v>
      </c>
      <c r="W232" s="382"/>
      <c r="X232" s="146"/>
      <c r="Y232" s="382"/>
      <c r="Z232" s="382"/>
      <c r="AA232" s="382"/>
      <c r="AB232" s="146"/>
      <c r="AC232" s="146"/>
      <c r="AD232" s="146"/>
      <c r="AE232" s="382"/>
      <c r="AF232" s="172">
        <v>0</v>
      </c>
    </row>
    <row r="233" spans="1:32" s="384" customFormat="1" ht="15" customHeight="1">
      <c r="A233" s="379" t="s">
        <v>350</v>
      </c>
      <c r="B233" s="389" t="s">
        <v>689</v>
      </c>
      <c r="C233" s="381">
        <v>160649</v>
      </c>
      <c r="D233" s="159">
        <v>10</v>
      </c>
      <c r="E233" s="233">
        <f t="shared" si="22"/>
        <v>64485</v>
      </c>
      <c r="F233" s="151">
        <f t="shared" si="23"/>
        <v>66181</v>
      </c>
      <c r="G233" s="382">
        <v>63075</v>
      </c>
      <c r="H233" s="146">
        <v>66181</v>
      </c>
      <c r="I233" s="382">
        <v>1410</v>
      </c>
      <c r="J233" s="146"/>
      <c r="K233" s="382"/>
      <c r="L233" s="382"/>
      <c r="M233" s="382"/>
      <c r="N233" s="146"/>
      <c r="O233" s="146"/>
      <c r="P233" s="146"/>
      <c r="Q233" s="382"/>
      <c r="R233" s="146"/>
      <c r="S233" s="383">
        <f t="shared" si="24"/>
        <v>0</v>
      </c>
      <c r="T233" s="151">
        <f t="shared" si="25"/>
        <v>0</v>
      </c>
      <c r="U233" s="382"/>
      <c r="V233" s="146">
        <v>0</v>
      </c>
      <c r="W233" s="382"/>
      <c r="X233" s="146"/>
      <c r="Y233" s="382"/>
      <c r="Z233" s="382"/>
      <c r="AA233" s="382"/>
      <c r="AB233" s="146"/>
      <c r="AC233" s="146"/>
      <c r="AD233" s="146"/>
      <c r="AE233" s="382"/>
      <c r="AF233" s="172">
        <v>0</v>
      </c>
    </row>
    <row r="234" spans="1:32" s="384" customFormat="1" ht="15" customHeight="1">
      <c r="A234" s="379" t="s">
        <v>350</v>
      </c>
      <c r="B234" s="379" t="s">
        <v>690</v>
      </c>
      <c r="C234" s="381">
        <v>160579</v>
      </c>
      <c r="D234" s="159">
        <v>12</v>
      </c>
      <c r="E234" s="233">
        <f t="shared" si="22"/>
        <v>40749</v>
      </c>
      <c r="F234" s="151">
        <f t="shared" si="23"/>
        <v>43070</v>
      </c>
      <c r="G234" s="382">
        <f>40115+412</f>
        <v>40527</v>
      </c>
      <c r="H234" s="387">
        <v>43070</v>
      </c>
      <c r="I234" s="382">
        <v>222</v>
      </c>
      <c r="J234" s="146"/>
      <c r="K234" s="382"/>
      <c r="L234" s="382"/>
      <c r="M234" s="382"/>
      <c r="N234" s="146"/>
      <c r="O234" s="146"/>
      <c r="P234" s="146"/>
      <c r="Q234" s="382"/>
      <c r="R234" s="146"/>
      <c r="S234" s="383">
        <f t="shared" si="24"/>
        <v>0</v>
      </c>
      <c r="T234" s="151">
        <f t="shared" si="25"/>
        <v>0</v>
      </c>
      <c r="U234" s="382"/>
      <c r="V234" s="146">
        <v>0</v>
      </c>
      <c r="W234" s="382"/>
      <c r="X234" s="146"/>
      <c r="Y234" s="382"/>
      <c r="Z234" s="382"/>
      <c r="AA234" s="382"/>
      <c r="AB234" s="146"/>
      <c r="AC234" s="146"/>
      <c r="AD234" s="146"/>
      <c r="AE234" s="382"/>
      <c r="AF234" s="172">
        <v>0</v>
      </c>
    </row>
    <row r="235" spans="1:32" s="384" customFormat="1" ht="15" customHeight="1">
      <c r="A235" s="379" t="s">
        <v>350</v>
      </c>
      <c r="B235" s="380" t="s">
        <v>691</v>
      </c>
      <c r="C235" s="381">
        <v>160481</v>
      </c>
      <c r="D235" s="159">
        <v>13</v>
      </c>
      <c r="E235" s="233">
        <f t="shared" si="22"/>
        <v>17432</v>
      </c>
      <c r="F235" s="151">
        <f t="shared" si="23"/>
        <v>23519</v>
      </c>
      <c r="G235" s="382">
        <v>17432</v>
      </c>
      <c r="H235" s="146">
        <v>23519</v>
      </c>
      <c r="I235" s="382"/>
      <c r="J235" s="146"/>
      <c r="K235" s="382"/>
      <c r="L235" s="382"/>
      <c r="M235" s="382"/>
      <c r="N235" s="146"/>
      <c r="O235" s="146"/>
      <c r="P235" s="146"/>
      <c r="Q235" s="382"/>
      <c r="R235" s="146"/>
      <c r="S235" s="383">
        <f t="shared" si="24"/>
        <v>0</v>
      </c>
      <c r="T235" s="151">
        <f t="shared" si="25"/>
        <v>0</v>
      </c>
      <c r="U235" s="382"/>
      <c r="V235" s="146">
        <v>0</v>
      </c>
      <c r="W235" s="382"/>
      <c r="X235" s="146"/>
      <c r="Y235" s="382"/>
      <c r="Z235" s="382"/>
      <c r="AA235" s="382"/>
      <c r="AB235" s="146"/>
      <c r="AC235" s="146"/>
      <c r="AD235" s="146"/>
      <c r="AE235" s="382"/>
      <c r="AF235" s="172">
        <v>0</v>
      </c>
    </row>
    <row r="236" spans="1:32" s="384" customFormat="1" ht="15" customHeight="1">
      <c r="A236" s="379" t="s">
        <v>350</v>
      </c>
      <c r="B236" s="380" t="s">
        <v>692</v>
      </c>
      <c r="C236" s="381"/>
      <c r="D236" s="159">
        <v>14</v>
      </c>
      <c r="E236" s="233">
        <f t="shared" si="22"/>
        <v>409951</v>
      </c>
      <c r="F236" s="151">
        <f t="shared" si="23"/>
        <v>367139</v>
      </c>
      <c r="G236" s="382">
        <v>405719</v>
      </c>
      <c r="H236" s="146">
        <v>367139</v>
      </c>
      <c r="I236" s="382">
        <v>4232</v>
      </c>
      <c r="J236" s="146"/>
      <c r="K236" s="382"/>
      <c r="L236" s="382"/>
      <c r="M236" s="382"/>
      <c r="N236" s="146"/>
      <c r="O236" s="146"/>
      <c r="P236" s="146"/>
      <c r="Q236" s="382"/>
      <c r="R236" s="146"/>
      <c r="S236" s="383">
        <f t="shared" si="24"/>
        <v>0</v>
      </c>
      <c r="T236" s="151">
        <f t="shared" si="25"/>
        <v>0</v>
      </c>
      <c r="U236" s="382"/>
      <c r="V236" s="146">
        <v>0</v>
      </c>
      <c r="W236" s="382"/>
      <c r="X236" s="146"/>
      <c r="Y236" s="382"/>
      <c r="Z236" s="382"/>
      <c r="AA236" s="382"/>
      <c r="AB236" s="146"/>
      <c r="AC236" s="146"/>
      <c r="AD236" s="146"/>
      <c r="AE236" s="382"/>
      <c r="AF236" s="172">
        <v>0</v>
      </c>
    </row>
    <row r="237" spans="1:32" s="299" customFormat="1" ht="15" customHeight="1">
      <c r="A237" s="136" t="s">
        <v>351</v>
      </c>
      <c r="B237" s="136" t="s">
        <v>352</v>
      </c>
      <c r="C237" s="25">
        <v>163286</v>
      </c>
      <c r="D237" s="160">
        <v>1</v>
      </c>
      <c r="E237" s="303">
        <f t="shared" si="21"/>
        <v>0</v>
      </c>
      <c r="F237" s="279">
        <f t="shared" si="20"/>
        <v>739266</v>
      </c>
      <c r="G237" s="302"/>
      <c r="H237" s="146">
        <v>731429</v>
      </c>
      <c r="I237" s="302"/>
      <c r="J237" s="146">
        <v>7393</v>
      </c>
      <c r="K237" s="302"/>
      <c r="L237" s="302"/>
      <c r="M237" s="302"/>
      <c r="N237" s="361">
        <v>222</v>
      </c>
      <c r="O237" s="361">
        <v>222</v>
      </c>
      <c r="P237" s="361"/>
      <c r="Q237" s="302"/>
      <c r="R237" s="146"/>
      <c r="S237" s="303">
        <f t="shared" si="18"/>
        <v>0</v>
      </c>
      <c r="T237" s="279">
        <f t="shared" si="19"/>
        <v>134377</v>
      </c>
      <c r="U237" s="302"/>
      <c r="V237" s="146">
        <v>110082</v>
      </c>
      <c r="W237" s="302"/>
      <c r="X237" s="146">
        <v>23032</v>
      </c>
      <c r="Y237" s="302"/>
      <c r="Z237" s="302"/>
      <c r="AA237" s="302"/>
      <c r="AB237" s="146">
        <v>1142</v>
      </c>
      <c r="AC237" s="146">
        <v>121</v>
      </c>
      <c r="AD237" s="146"/>
      <c r="AE237" s="302"/>
      <c r="AF237" s="172"/>
    </row>
    <row r="238" spans="1:32" s="299" customFormat="1" ht="15" customHeight="1">
      <c r="A238" s="136" t="s">
        <v>351</v>
      </c>
      <c r="B238" s="136" t="s">
        <v>353</v>
      </c>
      <c r="C238" s="25">
        <v>163268</v>
      </c>
      <c r="D238" s="160">
        <v>2</v>
      </c>
      <c r="E238" s="303">
        <f t="shared" si="21"/>
        <v>269465</v>
      </c>
      <c r="F238" s="279">
        <f t="shared" si="20"/>
        <v>269611</v>
      </c>
      <c r="G238" s="149">
        <v>266931</v>
      </c>
      <c r="H238" s="150">
        <v>266931</v>
      </c>
      <c r="I238" s="149">
        <v>2534</v>
      </c>
      <c r="J238" s="150">
        <v>2680</v>
      </c>
      <c r="K238" s="149"/>
      <c r="L238" s="302"/>
      <c r="M238" s="149"/>
      <c r="N238" s="359"/>
      <c r="O238" s="359"/>
      <c r="P238" s="359"/>
      <c r="Q238" s="149"/>
      <c r="R238" s="150"/>
      <c r="S238" s="303">
        <f t="shared" si="18"/>
        <v>22204</v>
      </c>
      <c r="T238" s="279">
        <f t="shared" si="19"/>
        <v>22142</v>
      </c>
      <c r="U238" s="149">
        <v>18850</v>
      </c>
      <c r="V238" s="150">
        <v>18821</v>
      </c>
      <c r="W238" s="149">
        <v>549</v>
      </c>
      <c r="X238" s="150">
        <v>664</v>
      </c>
      <c r="Y238" s="149">
        <v>2799</v>
      </c>
      <c r="Z238" s="302">
        <v>6</v>
      </c>
      <c r="AA238" s="149"/>
      <c r="AB238" s="150">
        <v>2657</v>
      </c>
      <c r="AC238" s="150"/>
      <c r="AD238" s="150"/>
      <c r="AE238" s="149"/>
      <c r="AF238" s="173"/>
    </row>
    <row r="239" spans="1:32" s="299" customFormat="1" ht="15" customHeight="1">
      <c r="A239" s="136" t="s">
        <v>351</v>
      </c>
      <c r="B239" s="136" t="s">
        <v>354</v>
      </c>
      <c r="C239" s="25">
        <v>164076</v>
      </c>
      <c r="D239" s="160">
        <v>3</v>
      </c>
      <c r="E239" s="303">
        <f t="shared" si="21"/>
        <v>394522</v>
      </c>
      <c r="F239" s="279">
        <f t="shared" si="20"/>
        <v>403029</v>
      </c>
      <c r="G239" s="149">
        <v>389180</v>
      </c>
      <c r="H239" s="147">
        <v>398837</v>
      </c>
      <c r="I239" s="149">
        <v>4466</v>
      </c>
      <c r="J239" s="147">
        <v>4030</v>
      </c>
      <c r="K239" s="149">
        <v>807</v>
      </c>
      <c r="L239" s="302">
        <v>69</v>
      </c>
      <c r="M239" s="149"/>
      <c r="N239" s="358">
        <v>81</v>
      </c>
      <c r="O239" s="358">
        <v>81</v>
      </c>
      <c r="P239" s="358"/>
      <c r="Q239" s="149"/>
      <c r="R239" s="147"/>
      <c r="S239" s="303">
        <f t="shared" si="18"/>
        <v>44652</v>
      </c>
      <c r="T239" s="279">
        <f t="shared" si="19"/>
        <v>47848</v>
      </c>
      <c r="U239" s="149">
        <v>33579</v>
      </c>
      <c r="V239" s="147">
        <v>33015</v>
      </c>
      <c r="W239" s="149">
        <v>10800</v>
      </c>
      <c r="X239" s="147">
        <v>13876</v>
      </c>
      <c r="Y239" s="149">
        <v>273</v>
      </c>
      <c r="Z239" s="302"/>
      <c r="AA239" s="149"/>
      <c r="AB239" s="147">
        <v>957</v>
      </c>
      <c r="AC239" s="147"/>
      <c r="AD239" s="147"/>
      <c r="AE239" s="149"/>
      <c r="AF239" s="174"/>
    </row>
    <row r="240" spans="1:32" s="299" customFormat="1" ht="15" customHeight="1">
      <c r="A240" s="136" t="s">
        <v>351</v>
      </c>
      <c r="B240" s="136" t="s">
        <v>355</v>
      </c>
      <c r="C240" s="25">
        <v>162007</v>
      </c>
      <c r="D240" s="160">
        <v>4</v>
      </c>
      <c r="E240" s="303">
        <f t="shared" si="21"/>
        <v>101392</v>
      </c>
      <c r="F240" s="279">
        <f t="shared" si="20"/>
        <v>0</v>
      </c>
      <c r="G240" s="149">
        <v>97984</v>
      </c>
      <c r="H240" s="147"/>
      <c r="I240" s="149"/>
      <c r="J240" s="147"/>
      <c r="K240" s="149">
        <v>861</v>
      </c>
      <c r="L240" s="302">
        <v>2547</v>
      </c>
      <c r="M240" s="149"/>
      <c r="N240" s="358"/>
      <c r="O240" s="358"/>
      <c r="P240" s="358"/>
      <c r="Q240" s="149"/>
      <c r="R240" s="147"/>
      <c r="S240" s="303">
        <f t="shared" si="18"/>
        <v>20060</v>
      </c>
      <c r="T240" s="279">
        <f t="shared" si="19"/>
        <v>0</v>
      </c>
      <c r="U240" s="149">
        <v>19559</v>
      </c>
      <c r="V240" s="147"/>
      <c r="W240" s="149"/>
      <c r="X240" s="147"/>
      <c r="Y240" s="149">
        <v>501</v>
      </c>
      <c r="Z240" s="302"/>
      <c r="AA240" s="149"/>
      <c r="AB240" s="147"/>
      <c r="AC240" s="147"/>
      <c r="AD240" s="147"/>
      <c r="AE240" s="149"/>
      <c r="AF240" s="174"/>
    </row>
    <row r="241" spans="1:32" s="299" customFormat="1" ht="15" customHeight="1">
      <c r="A241" s="136" t="s">
        <v>351</v>
      </c>
      <c r="B241" s="136" t="s">
        <v>356</v>
      </c>
      <c r="C241" s="25">
        <v>162584</v>
      </c>
      <c r="D241" s="160">
        <v>4</v>
      </c>
      <c r="E241" s="303">
        <f t="shared" si="21"/>
        <v>128351</v>
      </c>
      <c r="F241" s="279">
        <f t="shared" si="20"/>
        <v>123745</v>
      </c>
      <c r="G241" s="149">
        <v>123335</v>
      </c>
      <c r="H241" s="150">
        <v>119290</v>
      </c>
      <c r="I241" s="149">
        <v>1660</v>
      </c>
      <c r="J241" s="150">
        <v>1299</v>
      </c>
      <c r="K241" s="149">
        <v>2801</v>
      </c>
      <c r="L241" s="302">
        <v>555</v>
      </c>
      <c r="M241" s="149"/>
      <c r="N241" s="359">
        <v>2896</v>
      </c>
      <c r="O241" s="359">
        <v>260</v>
      </c>
      <c r="P241" s="359"/>
      <c r="Q241" s="149"/>
      <c r="R241" s="150"/>
      <c r="S241" s="303">
        <f t="shared" si="18"/>
        <v>12894</v>
      </c>
      <c r="T241" s="279">
        <f t="shared" si="19"/>
        <v>11562</v>
      </c>
      <c r="U241" s="149">
        <v>7795</v>
      </c>
      <c r="V241" s="150">
        <v>6821</v>
      </c>
      <c r="W241" s="149">
        <v>3929</v>
      </c>
      <c r="X241" s="150">
        <v>3469</v>
      </c>
      <c r="Y241" s="149">
        <v>465</v>
      </c>
      <c r="Z241" s="302">
        <v>705</v>
      </c>
      <c r="AA241" s="149"/>
      <c r="AB241" s="150">
        <v>578</v>
      </c>
      <c r="AC241" s="150">
        <v>694</v>
      </c>
      <c r="AD241" s="150"/>
      <c r="AE241" s="149"/>
      <c r="AF241" s="173"/>
    </row>
    <row r="242" spans="1:32" s="299" customFormat="1" ht="15" customHeight="1">
      <c r="A242" s="136" t="s">
        <v>351</v>
      </c>
      <c r="B242" s="136" t="s">
        <v>357</v>
      </c>
      <c r="C242" s="25">
        <v>163453</v>
      </c>
      <c r="D242" s="355">
        <v>4</v>
      </c>
      <c r="E242" s="333">
        <f t="shared" si="21"/>
        <v>255</v>
      </c>
      <c r="F242" s="334">
        <f t="shared" si="20"/>
        <v>166565</v>
      </c>
      <c r="G242" s="326">
        <v>255</v>
      </c>
      <c r="H242" s="282">
        <v>166565</v>
      </c>
      <c r="I242" s="326"/>
      <c r="J242" s="282"/>
      <c r="K242" s="326"/>
      <c r="L242" s="326"/>
      <c r="M242" s="326"/>
      <c r="N242" s="286"/>
      <c r="O242" s="286"/>
      <c r="P242" s="286"/>
      <c r="Q242" s="326"/>
      <c r="R242" s="282"/>
      <c r="S242" s="301">
        <f t="shared" si="18"/>
        <v>45</v>
      </c>
      <c r="T242" s="334">
        <f t="shared" si="19"/>
        <v>10580</v>
      </c>
      <c r="U242" s="326">
        <v>45</v>
      </c>
      <c r="V242" s="282">
        <v>10580</v>
      </c>
      <c r="W242" s="326"/>
      <c r="X242" s="282"/>
      <c r="Y242" s="326"/>
      <c r="Z242" s="326"/>
      <c r="AA242" s="326"/>
      <c r="AB242" s="282"/>
      <c r="AC242" s="282"/>
      <c r="AD242" s="282"/>
      <c r="AE242" s="326"/>
      <c r="AF242" s="282"/>
    </row>
    <row r="243" spans="1:32" s="299" customFormat="1" ht="15" customHeight="1">
      <c r="A243" s="136" t="s">
        <v>351</v>
      </c>
      <c r="B243" s="136" t="s">
        <v>358</v>
      </c>
      <c r="C243" s="25">
        <v>163851</v>
      </c>
      <c r="D243" s="240">
        <v>4</v>
      </c>
      <c r="E243" s="297">
        <f t="shared" si="21"/>
        <v>176516</v>
      </c>
      <c r="F243" s="251">
        <f t="shared" si="20"/>
        <v>184493</v>
      </c>
      <c r="G243" s="262">
        <v>173159</v>
      </c>
      <c r="H243" s="255">
        <v>182648</v>
      </c>
      <c r="I243" s="262"/>
      <c r="J243" s="255"/>
      <c r="K243" s="356">
        <v>3357</v>
      </c>
      <c r="L243" s="326"/>
      <c r="M243" s="357"/>
      <c r="N243" s="360">
        <v>1845</v>
      </c>
      <c r="O243" s="285"/>
      <c r="P243" s="362"/>
      <c r="Q243" s="262"/>
      <c r="R243" s="255"/>
      <c r="S243" s="297">
        <f t="shared" si="18"/>
        <v>8790</v>
      </c>
      <c r="T243" s="251">
        <f t="shared" si="19"/>
        <v>8937</v>
      </c>
      <c r="U243" s="262">
        <v>8196</v>
      </c>
      <c r="V243" s="255">
        <v>7954</v>
      </c>
      <c r="W243" s="262">
        <v>240</v>
      </c>
      <c r="X243" s="255">
        <v>715</v>
      </c>
      <c r="Y243" s="356">
        <v>354</v>
      </c>
      <c r="Z243" s="326"/>
      <c r="AA243" s="357"/>
      <c r="AB243" s="258">
        <v>268</v>
      </c>
      <c r="AC243" s="345"/>
      <c r="AD243" s="366"/>
      <c r="AE243" s="262"/>
      <c r="AF243" s="258"/>
    </row>
    <row r="244" spans="1:32" s="299" customFormat="1" ht="15" customHeight="1">
      <c r="A244" s="136" t="s">
        <v>351</v>
      </c>
      <c r="B244" s="136" t="s">
        <v>359</v>
      </c>
      <c r="C244" s="25">
        <v>161873</v>
      </c>
      <c r="D244" s="240">
        <v>4</v>
      </c>
      <c r="E244" s="297">
        <f t="shared" si="21"/>
        <v>41757</v>
      </c>
      <c r="F244" s="251">
        <f t="shared" si="20"/>
        <v>42973</v>
      </c>
      <c r="G244" s="262">
        <v>38439</v>
      </c>
      <c r="H244" s="254">
        <v>37816</v>
      </c>
      <c r="I244" s="262">
        <v>352</v>
      </c>
      <c r="J244" s="254">
        <v>2149</v>
      </c>
      <c r="K244" s="262">
        <v>2966</v>
      </c>
      <c r="L244" s="298"/>
      <c r="M244" s="262"/>
      <c r="N244" s="263">
        <v>3008</v>
      </c>
      <c r="O244" s="263"/>
      <c r="P244" s="263"/>
      <c r="Q244" s="262"/>
      <c r="R244" s="254"/>
      <c r="S244" s="297">
        <f t="shared" si="18"/>
        <v>51738</v>
      </c>
      <c r="T244" s="251">
        <f t="shared" si="19"/>
        <v>51914</v>
      </c>
      <c r="U244" s="262">
        <v>46500</v>
      </c>
      <c r="V244" s="254">
        <v>46204</v>
      </c>
      <c r="W244" s="262">
        <v>1650</v>
      </c>
      <c r="X244" s="254">
        <v>1038</v>
      </c>
      <c r="Y244" s="262">
        <v>3588</v>
      </c>
      <c r="Z244" s="298"/>
      <c r="AA244" s="262"/>
      <c r="AB244" s="254">
        <v>4672</v>
      </c>
      <c r="AC244" s="254"/>
      <c r="AD244" s="254"/>
      <c r="AE244" s="262"/>
      <c r="AF244" s="293"/>
    </row>
    <row r="245" spans="1:32" s="299" customFormat="1" ht="15" customHeight="1">
      <c r="A245" s="136" t="s">
        <v>351</v>
      </c>
      <c r="B245" s="136" t="s">
        <v>360</v>
      </c>
      <c r="C245" s="25">
        <v>163338</v>
      </c>
      <c r="D245" s="240">
        <v>4</v>
      </c>
      <c r="E245" s="297">
        <f t="shared" si="21"/>
        <v>96484</v>
      </c>
      <c r="F245" s="251">
        <f t="shared" si="20"/>
        <v>96692</v>
      </c>
      <c r="G245" s="262">
        <v>95114</v>
      </c>
      <c r="H245" s="255">
        <v>92824</v>
      </c>
      <c r="I245" s="262">
        <v>890</v>
      </c>
      <c r="J245" s="255">
        <v>2901</v>
      </c>
      <c r="K245" s="262">
        <v>480</v>
      </c>
      <c r="L245" s="298"/>
      <c r="M245" s="262"/>
      <c r="N245" s="264">
        <v>967</v>
      </c>
      <c r="O245" s="264"/>
      <c r="P245" s="264"/>
      <c r="Q245" s="262"/>
      <c r="R245" s="255"/>
      <c r="S245" s="297">
        <f t="shared" si="18"/>
        <v>7462</v>
      </c>
      <c r="T245" s="251">
        <f t="shared" si="19"/>
        <v>6346</v>
      </c>
      <c r="U245" s="262">
        <v>7216</v>
      </c>
      <c r="V245" s="255">
        <v>5585</v>
      </c>
      <c r="W245" s="262">
        <v>246</v>
      </c>
      <c r="X245" s="255">
        <v>698</v>
      </c>
      <c r="Y245" s="262"/>
      <c r="Z245" s="298"/>
      <c r="AA245" s="262"/>
      <c r="AB245" s="255">
        <v>63</v>
      </c>
      <c r="AC245" s="255"/>
      <c r="AD245" s="255"/>
      <c r="AE245" s="262"/>
      <c r="AF245" s="258"/>
    </row>
    <row r="246" spans="1:32" s="299" customFormat="1" ht="15" customHeight="1">
      <c r="A246" s="136" t="s">
        <v>351</v>
      </c>
      <c r="B246" s="390" t="s">
        <v>432</v>
      </c>
      <c r="C246" s="25">
        <v>162283</v>
      </c>
      <c r="D246" s="240">
        <v>5</v>
      </c>
      <c r="E246" s="297">
        <f t="shared" si="21"/>
        <v>0</v>
      </c>
      <c r="F246" s="251">
        <f t="shared" si="20"/>
        <v>86219</v>
      </c>
      <c r="G246" s="262"/>
      <c r="H246" s="255">
        <v>84170</v>
      </c>
      <c r="I246" s="262"/>
      <c r="J246" s="255"/>
      <c r="K246" s="262"/>
      <c r="L246" s="298"/>
      <c r="M246" s="262"/>
      <c r="N246" s="264">
        <v>2049</v>
      </c>
      <c r="O246" s="264"/>
      <c r="P246" s="264"/>
      <c r="Q246" s="262"/>
      <c r="R246" s="255"/>
      <c r="S246" s="297">
        <f t="shared" si="18"/>
        <v>0</v>
      </c>
      <c r="T246" s="251">
        <f t="shared" si="19"/>
        <v>9742</v>
      </c>
      <c r="U246" s="262"/>
      <c r="V246" s="255">
        <v>6721</v>
      </c>
      <c r="W246" s="262"/>
      <c r="X246" s="255">
        <v>3021</v>
      </c>
      <c r="Y246" s="262"/>
      <c r="Z246" s="298"/>
      <c r="AA246" s="262"/>
      <c r="AB246" s="255"/>
      <c r="AC246" s="255"/>
      <c r="AD246" s="255"/>
      <c r="AE246" s="262"/>
      <c r="AF246" s="258"/>
    </row>
    <row r="247" spans="1:32" s="299" customFormat="1" ht="15" customHeight="1">
      <c r="A247" s="136" t="s">
        <v>351</v>
      </c>
      <c r="B247" s="136" t="s">
        <v>361</v>
      </c>
      <c r="C247" s="25">
        <v>163912</v>
      </c>
      <c r="D247" s="240">
        <v>6</v>
      </c>
      <c r="E247" s="303">
        <f t="shared" si="21"/>
        <v>0</v>
      </c>
      <c r="F247" s="279">
        <f t="shared" si="20"/>
        <v>0</v>
      </c>
      <c r="G247" s="298"/>
      <c r="H247" s="252"/>
      <c r="I247" s="298"/>
      <c r="J247" s="252"/>
      <c r="K247" s="298"/>
      <c r="L247" s="298"/>
      <c r="M247" s="298"/>
      <c r="N247" s="241"/>
      <c r="O247" s="241"/>
      <c r="P247" s="241"/>
      <c r="Q247" s="298"/>
      <c r="R247" s="252"/>
      <c r="S247" s="303">
        <f t="shared" si="18"/>
        <v>0</v>
      </c>
      <c r="T247" s="279">
        <f t="shared" si="19"/>
        <v>0</v>
      </c>
      <c r="U247" s="298"/>
      <c r="V247" s="252"/>
      <c r="W247" s="298"/>
      <c r="X247" s="252"/>
      <c r="Y247" s="298"/>
      <c r="Z247" s="298"/>
      <c r="AA247" s="298"/>
      <c r="AB247" s="252"/>
      <c r="AC247" s="252"/>
      <c r="AD247" s="252"/>
      <c r="AE247" s="298"/>
      <c r="AF247" s="257"/>
    </row>
    <row r="248" spans="1:32" s="299" customFormat="1" ht="15" customHeight="1">
      <c r="A248" s="136" t="s">
        <v>351</v>
      </c>
      <c r="B248" s="136" t="s">
        <v>362</v>
      </c>
      <c r="C248" s="25">
        <v>161767</v>
      </c>
      <c r="D248" s="240">
        <v>8</v>
      </c>
      <c r="E248" s="303">
        <f t="shared" si="21"/>
        <v>252297</v>
      </c>
      <c r="F248" s="279">
        <f t="shared" si="20"/>
        <v>252509</v>
      </c>
      <c r="G248" s="298">
        <v>182934</v>
      </c>
      <c r="H248" s="252">
        <v>181026</v>
      </c>
      <c r="I248" s="298">
        <v>38880</v>
      </c>
      <c r="J248" s="252">
        <v>38877</v>
      </c>
      <c r="K248" s="298">
        <v>24874</v>
      </c>
      <c r="L248" s="298">
        <v>459</v>
      </c>
      <c r="M248" s="298">
        <v>5150</v>
      </c>
      <c r="N248" s="241">
        <v>27944</v>
      </c>
      <c r="O248" s="241">
        <v>456</v>
      </c>
      <c r="P248" s="241">
        <v>4206</v>
      </c>
      <c r="Q248" s="298"/>
      <c r="R248" s="252"/>
      <c r="S248" s="303">
        <f t="shared" si="18"/>
        <v>0</v>
      </c>
      <c r="T248" s="279">
        <f t="shared" si="19"/>
        <v>0</v>
      </c>
      <c r="U248" s="298"/>
      <c r="V248" s="252"/>
      <c r="W248" s="298"/>
      <c r="X248" s="252"/>
      <c r="Y248" s="298"/>
      <c r="Z248" s="298"/>
      <c r="AA248" s="298"/>
      <c r="AB248" s="252"/>
      <c r="AC248" s="252"/>
      <c r="AD248" s="252"/>
      <c r="AE248" s="298"/>
      <c r="AF248" s="257"/>
    </row>
    <row r="249" spans="1:32" s="299" customFormat="1" ht="15" customHeight="1">
      <c r="A249" s="136" t="s">
        <v>351</v>
      </c>
      <c r="B249" s="136" t="s">
        <v>363</v>
      </c>
      <c r="C249" s="27">
        <v>434672</v>
      </c>
      <c r="D249" s="240">
        <v>8</v>
      </c>
      <c r="E249" s="303">
        <f t="shared" si="21"/>
        <v>358986</v>
      </c>
      <c r="F249" s="279">
        <f t="shared" si="20"/>
        <v>360270</v>
      </c>
      <c r="G249" s="298">
        <v>326229</v>
      </c>
      <c r="H249" s="252">
        <v>317759</v>
      </c>
      <c r="I249" s="298">
        <v>11383</v>
      </c>
      <c r="J249" s="252">
        <v>17910</v>
      </c>
      <c r="K249" s="298">
        <v>21374</v>
      </c>
      <c r="L249" s="298"/>
      <c r="M249" s="300" t="s">
        <v>364</v>
      </c>
      <c r="N249" s="241">
        <v>24601</v>
      </c>
      <c r="O249" s="265"/>
      <c r="P249" s="265"/>
      <c r="Q249" s="300" t="s">
        <v>364</v>
      </c>
      <c r="R249" s="266"/>
      <c r="S249" s="303">
        <f t="shared" si="18"/>
        <v>0</v>
      </c>
      <c r="T249" s="279">
        <f t="shared" si="19"/>
        <v>0</v>
      </c>
      <c r="U249" s="298" t="s">
        <v>364</v>
      </c>
      <c r="V249" s="252"/>
      <c r="W249" s="298" t="s">
        <v>364</v>
      </c>
      <c r="X249" s="252"/>
      <c r="Y249" s="298" t="s">
        <v>364</v>
      </c>
      <c r="Z249" s="298"/>
      <c r="AA249" s="300" t="s">
        <v>364</v>
      </c>
      <c r="AB249" s="266"/>
      <c r="AC249" s="266"/>
      <c r="AD249" s="266"/>
      <c r="AE249" s="300" t="s">
        <v>364</v>
      </c>
      <c r="AF249" s="296"/>
    </row>
    <row r="250" spans="1:32" s="299" customFormat="1" ht="15" customHeight="1">
      <c r="A250" s="136" t="s">
        <v>351</v>
      </c>
      <c r="B250" s="136" t="s">
        <v>365</v>
      </c>
      <c r="C250" s="25">
        <v>163426</v>
      </c>
      <c r="D250" s="240">
        <v>8</v>
      </c>
      <c r="E250" s="303">
        <f t="shared" si="21"/>
        <v>423327</v>
      </c>
      <c r="F250" s="279">
        <f t="shared" si="20"/>
        <v>434586</v>
      </c>
      <c r="G250" s="298">
        <v>402422</v>
      </c>
      <c r="H250" s="252">
        <v>410512</v>
      </c>
      <c r="I250" s="298">
        <v>3143</v>
      </c>
      <c r="J250" s="252">
        <v>3116</v>
      </c>
      <c r="K250" s="298">
        <v>17762</v>
      </c>
      <c r="L250" s="298"/>
      <c r="M250" s="298"/>
      <c r="N250" s="241">
        <v>20958</v>
      </c>
      <c r="O250" s="241"/>
      <c r="P250" s="241"/>
      <c r="Q250" s="298"/>
      <c r="R250" s="252"/>
      <c r="S250" s="303">
        <f t="shared" si="18"/>
        <v>0</v>
      </c>
      <c r="T250" s="279">
        <f t="shared" si="19"/>
        <v>0</v>
      </c>
      <c r="U250" s="298"/>
      <c r="V250" s="252"/>
      <c r="W250" s="298"/>
      <c r="X250" s="252"/>
      <c r="Y250" s="298"/>
      <c r="Z250" s="298"/>
      <c r="AA250" s="298"/>
      <c r="AB250" s="252"/>
      <c r="AC250" s="252"/>
      <c r="AD250" s="252"/>
      <c r="AE250" s="298"/>
      <c r="AF250" s="257"/>
    </row>
    <row r="251" spans="1:32" s="299" customFormat="1" ht="15" customHeight="1">
      <c r="A251" s="136" t="s">
        <v>351</v>
      </c>
      <c r="B251" s="136" t="s">
        <v>366</v>
      </c>
      <c r="C251" s="25">
        <v>163657</v>
      </c>
      <c r="D251" s="240">
        <v>8</v>
      </c>
      <c r="E251" s="303">
        <f t="shared" si="21"/>
        <v>221472</v>
      </c>
      <c r="F251" s="279">
        <f t="shared" si="20"/>
        <v>0</v>
      </c>
      <c r="G251" s="298">
        <v>202560</v>
      </c>
      <c r="H251" s="252"/>
      <c r="I251" s="298"/>
      <c r="J251" s="252"/>
      <c r="K251" s="298">
        <v>16896</v>
      </c>
      <c r="L251" s="298">
        <v>2016</v>
      </c>
      <c r="M251" s="298"/>
      <c r="N251" s="241"/>
      <c r="O251" s="241"/>
      <c r="P251" s="241"/>
      <c r="Q251" s="298"/>
      <c r="R251" s="252"/>
      <c r="S251" s="303">
        <f t="shared" si="18"/>
        <v>0</v>
      </c>
      <c r="T251" s="279">
        <f t="shared" si="19"/>
        <v>0</v>
      </c>
      <c r="U251" s="298"/>
      <c r="V251" s="252"/>
      <c r="W251" s="298"/>
      <c r="X251" s="252"/>
      <c r="Y251" s="298"/>
      <c r="Z251" s="298"/>
      <c r="AA251" s="298"/>
      <c r="AB251" s="252"/>
      <c r="AC251" s="252"/>
      <c r="AD251" s="252"/>
      <c r="AE251" s="298"/>
      <c r="AF251" s="257"/>
    </row>
    <row r="252" spans="1:32" s="299" customFormat="1" ht="15" customHeight="1">
      <c r="A252" s="136" t="s">
        <v>351</v>
      </c>
      <c r="B252" s="136" t="s">
        <v>367</v>
      </c>
      <c r="C252" s="25">
        <v>161864</v>
      </c>
      <c r="D252" s="240">
        <v>9</v>
      </c>
      <c r="E252" s="303">
        <f t="shared" si="21"/>
        <v>127315</v>
      </c>
      <c r="F252" s="279">
        <f t="shared" si="20"/>
        <v>137675</v>
      </c>
      <c r="G252" s="298">
        <v>110826</v>
      </c>
      <c r="H252" s="252">
        <v>121981</v>
      </c>
      <c r="I252" s="298">
        <v>8512</v>
      </c>
      <c r="J252" s="252">
        <v>3243</v>
      </c>
      <c r="K252" s="298">
        <v>7977</v>
      </c>
      <c r="L252" s="298"/>
      <c r="M252" s="298"/>
      <c r="N252" s="241">
        <v>11524</v>
      </c>
      <c r="O252" s="241">
        <v>723</v>
      </c>
      <c r="P252" s="241">
        <v>204</v>
      </c>
      <c r="Q252" s="298"/>
      <c r="R252" s="252"/>
      <c r="S252" s="303">
        <f t="shared" si="18"/>
        <v>0</v>
      </c>
      <c r="T252" s="279">
        <f t="shared" si="19"/>
        <v>0</v>
      </c>
      <c r="U252" s="298"/>
      <c r="V252" s="252"/>
      <c r="W252" s="298"/>
      <c r="X252" s="252"/>
      <c r="Y252" s="298"/>
      <c r="Z252" s="298"/>
      <c r="AA252" s="298"/>
      <c r="AB252" s="252"/>
      <c r="AC252" s="252"/>
      <c r="AD252" s="252"/>
      <c r="AE252" s="298"/>
      <c r="AF252" s="257"/>
    </row>
    <row r="253" spans="1:32" s="299" customFormat="1" ht="15" customHeight="1">
      <c r="A253" s="136" t="s">
        <v>351</v>
      </c>
      <c r="B253" s="136" t="s">
        <v>368</v>
      </c>
      <c r="C253" s="25">
        <v>162122</v>
      </c>
      <c r="D253" s="240">
        <v>9</v>
      </c>
      <c r="E253" s="303">
        <f t="shared" si="21"/>
        <v>129616</v>
      </c>
      <c r="F253" s="279">
        <f t="shared" si="20"/>
        <v>135712</v>
      </c>
      <c r="G253" s="298">
        <v>108191</v>
      </c>
      <c r="H253" s="252">
        <v>113278</v>
      </c>
      <c r="I253" s="298">
        <v>1672</v>
      </c>
      <c r="J253" s="252">
        <v>1751</v>
      </c>
      <c r="K253" s="298">
        <v>13584</v>
      </c>
      <c r="L253" s="298">
        <v>2268</v>
      </c>
      <c r="M253" s="298">
        <v>2955</v>
      </c>
      <c r="N253" s="241">
        <v>14223</v>
      </c>
      <c r="O253" s="241">
        <v>2375</v>
      </c>
      <c r="P253" s="241">
        <v>3094</v>
      </c>
      <c r="Q253" s="298">
        <v>946</v>
      </c>
      <c r="R253" s="252">
        <v>991</v>
      </c>
      <c r="S253" s="303">
        <f t="shared" si="18"/>
        <v>0</v>
      </c>
      <c r="T253" s="279">
        <f t="shared" si="19"/>
        <v>0</v>
      </c>
      <c r="U253" s="298"/>
      <c r="V253" s="252"/>
      <c r="W253" s="298"/>
      <c r="X253" s="252"/>
      <c r="Y253" s="298"/>
      <c r="Z253" s="298"/>
      <c r="AA253" s="298"/>
      <c r="AB253" s="252"/>
      <c r="AC253" s="252"/>
      <c r="AD253" s="252"/>
      <c r="AE253" s="298"/>
      <c r="AF253" s="257"/>
    </row>
    <row r="254" spans="1:32" s="299" customFormat="1" ht="15" customHeight="1">
      <c r="A254" s="136" t="s">
        <v>351</v>
      </c>
      <c r="B254" s="136" t="s">
        <v>369</v>
      </c>
      <c r="C254" s="25">
        <v>162557</v>
      </c>
      <c r="D254" s="240">
        <v>9</v>
      </c>
      <c r="E254" s="303">
        <f t="shared" si="21"/>
        <v>84857</v>
      </c>
      <c r="F254" s="279">
        <f t="shared" si="20"/>
        <v>85607</v>
      </c>
      <c r="G254" s="298">
        <v>74397</v>
      </c>
      <c r="H254" s="252">
        <v>76181</v>
      </c>
      <c r="I254" s="298">
        <v>4825</v>
      </c>
      <c r="J254" s="252">
        <v>2881</v>
      </c>
      <c r="K254" s="298">
        <v>4504</v>
      </c>
      <c r="L254" s="298">
        <v>105</v>
      </c>
      <c r="M254" s="298">
        <v>1026</v>
      </c>
      <c r="N254" s="241">
        <v>5717</v>
      </c>
      <c r="O254" s="241">
        <v>0</v>
      </c>
      <c r="P254" s="241">
        <v>828</v>
      </c>
      <c r="Q254" s="298"/>
      <c r="R254" s="252"/>
      <c r="S254" s="303">
        <f t="shared" si="18"/>
        <v>0</v>
      </c>
      <c r="T254" s="279">
        <f t="shared" si="19"/>
        <v>0</v>
      </c>
      <c r="U254" s="298"/>
      <c r="V254" s="252"/>
      <c r="W254" s="298"/>
      <c r="X254" s="252"/>
      <c r="Y254" s="298"/>
      <c r="Z254" s="298"/>
      <c r="AA254" s="298"/>
      <c r="AB254" s="252"/>
      <c r="AC254" s="252"/>
      <c r="AD254" s="252"/>
      <c r="AE254" s="298"/>
      <c r="AF254" s="257"/>
    </row>
    <row r="255" spans="1:32" s="299" customFormat="1" ht="15" customHeight="1">
      <c r="A255" s="136" t="s">
        <v>351</v>
      </c>
      <c r="B255" s="136" t="s">
        <v>370</v>
      </c>
      <c r="C255" s="25">
        <v>162706</v>
      </c>
      <c r="D255" s="240">
        <v>9</v>
      </c>
      <c r="E255" s="303">
        <f t="shared" si="21"/>
        <v>96467</v>
      </c>
      <c r="F255" s="279">
        <f t="shared" si="20"/>
        <v>98667</v>
      </c>
      <c r="G255" s="298">
        <v>85522</v>
      </c>
      <c r="H255" s="252">
        <v>87726</v>
      </c>
      <c r="I255" s="298">
        <v>2545</v>
      </c>
      <c r="J255" s="252">
        <v>1597</v>
      </c>
      <c r="K255" s="298">
        <v>7905</v>
      </c>
      <c r="L255" s="298"/>
      <c r="M255" s="298">
        <v>495</v>
      </c>
      <c r="N255" s="241">
        <v>9056</v>
      </c>
      <c r="O255" s="241"/>
      <c r="P255" s="241">
        <v>288</v>
      </c>
      <c r="Q255" s="298"/>
      <c r="R255" s="252"/>
      <c r="S255" s="303">
        <f t="shared" si="18"/>
        <v>0</v>
      </c>
      <c r="T255" s="279">
        <f t="shared" si="19"/>
        <v>0</v>
      </c>
      <c r="U255" s="298"/>
      <c r="V255" s="252"/>
      <c r="W255" s="298"/>
      <c r="X255" s="252"/>
      <c r="Y255" s="298"/>
      <c r="Z255" s="298"/>
      <c r="AA255" s="298"/>
      <c r="AB255" s="252"/>
      <c r="AC255" s="252"/>
      <c r="AD255" s="252"/>
      <c r="AE255" s="298"/>
      <c r="AF255" s="257"/>
    </row>
    <row r="256" spans="1:32" s="299" customFormat="1" ht="15" customHeight="1">
      <c r="A256" s="136" t="s">
        <v>351</v>
      </c>
      <c r="B256" s="136" t="s">
        <v>371</v>
      </c>
      <c r="C256" s="25">
        <v>162779</v>
      </c>
      <c r="D256" s="240">
        <v>9</v>
      </c>
      <c r="E256" s="303">
        <f t="shared" si="21"/>
        <v>113312</v>
      </c>
      <c r="F256" s="279">
        <f t="shared" si="20"/>
        <v>118635</v>
      </c>
      <c r="G256" s="298">
        <v>103111</v>
      </c>
      <c r="H256" s="252">
        <v>107053</v>
      </c>
      <c r="I256" s="298">
        <v>2423</v>
      </c>
      <c r="J256" s="252">
        <v>3799</v>
      </c>
      <c r="K256" s="298">
        <v>6665</v>
      </c>
      <c r="L256" s="298">
        <v>186</v>
      </c>
      <c r="M256" s="298">
        <v>927</v>
      </c>
      <c r="N256" s="241">
        <v>6973</v>
      </c>
      <c r="O256" s="241">
        <v>192</v>
      </c>
      <c r="P256" s="241">
        <v>618</v>
      </c>
      <c r="Q256" s="298"/>
      <c r="R256" s="252"/>
      <c r="S256" s="303">
        <f t="shared" si="18"/>
        <v>0</v>
      </c>
      <c r="T256" s="279">
        <f t="shared" si="19"/>
        <v>0</v>
      </c>
      <c r="U256" s="298"/>
      <c r="V256" s="252"/>
      <c r="W256" s="298"/>
      <c r="X256" s="252"/>
      <c r="Y256" s="298"/>
      <c r="Z256" s="298"/>
      <c r="AA256" s="298"/>
      <c r="AB256" s="252"/>
      <c r="AC256" s="252"/>
      <c r="AD256" s="252"/>
      <c r="AE256" s="298"/>
      <c r="AF256" s="257"/>
    </row>
    <row r="257" spans="1:32" s="299" customFormat="1" ht="15" customHeight="1">
      <c r="A257" s="136" t="s">
        <v>351</v>
      </c>
      <c r="B257" s="390" t="s">
        <v>372</v>
      </c>
      <c r="C257" s="25">
        <v>161688</v>
      </c>
      <c r="D257" s="240">
        <v>10</v>
      </c>
      <c r="E257" s="303">
        <f t="shared" si="21"/>
        <v>74082</v>
      </c>
      <c r="F257" s="279">
        <f t="shared" si="20"/>
        <v>73700</v>
      </c>
      <c r="G257" s="298">
        <v>50904</v>
      </c>
      <c r="H257" s="252">
        <v>53211</v>
      </c>
      <c r="I257" s="298">
        <v>18952</v>
      </c>
      <c r="J257" s="252">
        <v>15713</v>
      </c>
      <c r="K257" s="298">
        <v>1650</v>
      </c>
      <c r="L257" s="298">
        <v>1619</v>
      </c>
      <c r="M257" s="298">
        <v>957</v>
      </c>
      <c r="N257" s="241">
        <v>2450</v>
      </c>
      <c r="O257" s="241">
        <v>1447</v>
      </c>
      <c r="P257" s="241">
        <v>879</v>
      </c>
      <c r="Q257" s="298"/>
      <c r="R257" s="252"/>
      <c r="S257" s="303">
        <f t="shared" si="18"/>
        <v>0</v>
      </c>
      <c r="T257" s="279">
        <f t="shared" si="19"/>
        <v>0</v>
      </c>
      <c r="U257" s="298"/>
      <c r="V257" s="252"/>
      <c r="W257" s="298"/>
      <c r="X257" s="252"/>
      <c r="Y257" s="298"/>
      <c r="Z257" s="298"/>
      <c r="AA257" s="298"/>
      <c r="AB257" s="252"/>
      <c r="AC257" s="252"/>
      <c r="AD257" s="252"/>
      <c r="AE257" s="298"/>
      <c r="AF257" s="257"/>
    </row>
    <row r="258" spans="1:32" s="299" customFormat="1" ht="15" customHeight="1">
      <c r="A258" s="136" t="s">
        <v>351</v>
      </c>
      <c r="B258" s="136" t="s">
        <v>373</v>
      </c>
      <c r="C258" s="25">
        <v>405872</v>
      </c>
      <c r="D258" s="240">
        <v>10</v>
      </c>
      <c r="E258" s="303">
        <f t="shared" si="21"/>
        <v>57585</v>
      </c>
      <c r="F258" s="279">
        <f t="shared" si="20"/>
        <v>59129</v>
      </c>
      <c r="G258" s="298">
        <v>53235</v>
      </c>
      <c r="H258" s="252">
        <v>53404</v>
      </c>
      <c r="I258" s="298">
        <v>461</v>
      </c>
      <c r="J258" s="252">
        <v>923</v>
      </c>
      <c r="K258" s="298">
        <v>3433</v>
      </c>
      <c r="L258" s="298">
        <v>186</v>
      </c>
      <c r="M258" s="298">
        <v>270</v>
      </c>
      <c r="N258" s="241">
        <v>4488</v>
      </c>
      <c r="O258" s="241">
        <v>170</v>
      </c>
      <c r="P258" s="241">
        <v>144</v>
      </c>
      <c r="Q258" s="298"/>
      <c r="R258" s="252"/>
      <c r="S258" s="303">
        <f t="shared" si="18"/>
        <v>0</v>
      </c>
      <c r="T258" s="279">
        <f t="shared" si="19"/>
        <v>0</v>
      </c>
      <c r="U258" s="298"/>
      <c r="V258" s="252"/>
      <c r="W258" s="298"/>
      <c r="X258" s="252"/>
      <c r="Y258" s="298"/>
      <c r="Z258" s="298"/>
      <c r="AA258" s="298"/>
      <c r="AB258" s="252"/>
      <c r="AC258" s="252"/>
      <c r="AD258" s="252"/>
      <c r="AE258" s="298"/>
      <c r="AF258" s="257"/>
    </row>
    <row r="259" spans="1:32" s="299" customFormat="1" ht="15" customHeight="1">
      <c r="A259" s="136" t="s">
        <v>351</v>
      </c>
      <c r="B259" s="136" t="s">
        <v>374</v>
      </c>
      <c r="C259" s="25">
        <v>162104</v>
      </c>
      <c r="D259" s="240">
        <v>10</v>
      </c>
      <c r="E259" s="303">
        <f t="shared" si="21"/>
        <v>29718</v>
      </c>
      <c r="F259" s="279">
        <f t="shared" si="20"/>
        <v>34730</v>
      </c>
      <c r="G259" s="298">
        <v>27980</v>
      </c>
      <c r="H259" s="252">
        <v>31559</v>
      </c>
      <c r="I259" s="298">
        <v>835</v>
      </c>
      <c r="J259" s="252">
        <v>937</v>
      </c>
      <c r="K259" s="298">
        <v>777</v>
      </c>
      <c r="L259" s="298"/>
      <c r="M259" s="298"/>
      <c r="N259" s="241">
        <v>1671</v>
      </c>
      <c r="O259" s="241"/>
      <c r="P259" s="241">
        <v>195</v>
      </c>
      <c r="Q259" s="298">
        <v>126</v>
      </c>
      <c r="R259" s="252">
        <v>368</v>
      </c>
      <c r="S259" s="303">
        <f t="shared" si="18"/>
        <v>0</v>
      </c>
      <c r="T259" s="279">
        <f t="shared" si="19"/>
        <v>0</v>
      </c>
      <c r="U259" s="298"/>
      <c r="V259" s="252"/>
      <c r="W259" s="298"/>
      <c r="X259" s="252"/>
      <c r="Y259" s="298"/>
      <c r="Z259" s="298"/>
      <c r="AA259" s="298"/>
      <c r="AB259" s="252"/>
      <c r="AC259" s="252"/>
      <c r="AD259" s="252"/>
      <c r="AE259" s="298"/>
      <c r="AF259" s="257"/>
    </row>
    <row r="260" spans="1:32" s="299" customFormat="1" ht="15" customHeight="1">
      <c r="A260" s="136" t="s">
        <v>351</v>
      </c>
      <c r="B260" s="136" t="s">
        <v>375</v>
      </c>
      <c r="C260" s="25">
        <v>162168</v>
      </c>
      <c r="D260" s="240">
        <v>10</v>
      </c>
      <c r="E260" s="303">
        <f t="shared" si="21"/>
        <v>41125</v>
      </c>
      <c r="F260" s="279">
        <f t="shared" si="20"/>
        <v>42713</v>
      </c>
      <c r="G260" s="262">
        <v>28151</v>
      </c>
      <c r="H260" s="254">
        <v>28136</v>
      </c>
      <c r="I260" s="262">
        <v>7392</v>
      </c>
      <c r="J260" s="254">
        <v>7611</v>
      </c>
      <c r="K260" s="262">
        <v>1939</v>
      </c>
      <c r="L260" s="298">
        <v>3011</v>
      </c>
      <c r="M260" s="262">
        <v>632</v>
      </c>
      <c r="N260" s="263">
        <v>3486</v>
      </c>
      <c r="O260" s="263">
        <v>3049</v>
      </c>
      <c r="P260" s="263">
        <v>431</v>
      </c>
      <c r="Q260" s="262"/>
      <c r="R260" s="254"/>
      <c r="S260" s="303">
        <f t="shared" si="18"/>
        <v>0</v>
      </c>
      <c r="T260" s="279">
        <f t="shared" si="19"/>
        <v>0</v>
      </c>
      <c r="U260" s="262"/>
      <c r="V260" s="254"/>
      <c r="W260" s="262"/>
      <c r="X260" s="254"/>
      <c r="Y260" s="262"/>
      <c r="Z260" s="298"/>
      <c r="AA260" s="262"/>
      <c r="AB260" s="254"/>
      <c r="AC260" s="254"/>
      <c r="AD260" s="254"/>
      <c r="AE260" s="262"/>
      <c r="AF260" s="293"/>
    </row>
    <row r="261" spans="1:32" s="299" customFormat="1" ht="15" customHeight="1">
      <c r="A261" s="136" t="s">
        <v>351</v>
      </c>
      <c r="B261" s="136" t="s">
        <v>376</v>
      </c>
      <c r="C261" s="25">
        <v>162609</v>
      </c>
      <c r="D261" s="240">
        <v>10</v>
      </c>
      <c r="E261" s="303">
        <f t="shared" si="21"/>
        <v>13359</v>
      </c>
      <c r="F261" s="279">
        <f t="shared" si="20"/>
        <v>14217</v>
      </c>
      <c r="G261" s="298">
        <v>11224</v>
      </c>
      <c r="H261" s="252">
        <v>11488</v>
      </c>
      <c r="I261" s="298">
        <v>918</v>
      </c>
      <c r="J261" s="252">
        <v>1247</v>
      </c>
      <c r="K261" s="298">
        <v>831</v>
      </c>
      <c r="L261" s="298">
        <v>386</v>
      </c>
      <c r="M261" s="298"/>
      <c r="N261" s="241">
        <v>1056</v>
      </c>
      <c r="O261" s="241">
        <v>384</v>
      </c>
      <c r="P261" s="241">
        <v>42</v>
      </c>
      <c r="Q261" s="298"/>
      <c r="R261" s="252"/>
      <c r="S261" s="303">
        <f t="shared" si="18"/>
        <v>0</v>
      </c>
      <c r="T261" s="279">
        <f t="shared" si="19"/>
        <v>0</v>
      </c>
      <c r="U261" s="298"/>
      <c r="V261" s="252"/>
      <c r="W261" s="298"/>
      <c r="X261" s="252"/>
      <c r="Y261" s="298"/>
      <c r="Z261" s="298"/>
      <c r="AA261" s="298"/>
      <c r="AB261" s="252"/>
      <c r="AC261" s="252"/>
      <c r="AD261" s="252"/>
      <c r="AE261" s="298"/>
      <c r="AF261" s="257"/>
    </row>
    <row r="262" spans="1:32" s="299" customFormat="1" ht="15" customHeight="1">
      <c r="A262" s="136" t="s">
        <v>351</v>
      </c>
      <c r="B262" s="390" t="s">
        <v>377</v>
      </c>
      <c r="C262" s="25">
        <v>162690</v>
      </c>
      <c r="D262" s="240">
        <v>10</v>
      </c>
      <c r="E262" s="303">
        <f t="shared" si="21"/>
        <v>61764</v>
      </c>
      <c r="F262" s="279">
        <f t="shared" si="20"/>
        <v>67116</v>
      </c>
      <c r="G262" s="298">
        <v>57379</v>
      </c>
      <c r="H262" s="252">
        <v>58725</v>
      </c>
      <c r="I262" s="298">
        <v>1927</v>
      </c>
      <c r="J262" s="252">
        <v>4477</v>
      </c>
      <c r="K262" s="298">
        <v>1867</v>
      </c>
      <c r="L262" s="298">
        <v>94</v>
      </c>
      <c r="M262" s="298">
        <v>344</v>
      </c>
      <c r="N262" s="241">
        <v>3406</v>
      </c>
      <c r="O262" s="241">
        <v>48</v>
      </c>
      <c r="P262" s="241">
        <v>321</v>
      </c>
      <c r="Q262" s="298">
        <v>153</v>
      </c>
      <c r="R262" s="252">
        <v>139</v>
      </c>
      <c r="S262" s="303">
        <f t="shared" si="18"/>
        <v>0</v>
      </c>
      <c r="T262" s="279">
        <f t="shared" si="19"/>
        <v>0</v>
      </c>
      <c r="U262" s="298"/>
      <c r="V262" s="252"/>
      <c r="W262" s="298"/>
      <c r="X262" s="252"/>
      <c r="Y262" s="298"/>
      <c r="Z262" s="298"/>
      <c r="AA262" s="298"/>
      <c r="AB262" s="252"/>
      <c r="AC262" s="252"/>
      <c r="AD262" s="252"/>
      <c r="AE262" s="298"/>
      <c r="AF262" s="257"/>
    </row>
    <row r="263" spans="1:32" s="299" customFormat="1" ht="15" customHeight="1">
      <c r="A263" s="136" t="s">
        <v>351</v>
      </c>
      <c r="B263" s="136" t="s">
        <v>378</v>
      </c>
      <c r="C263" s="25">
        <v>164313</v>
      </c>
      <c r="D263" s="240">
        <v>10</v>
      </c>
      <c r="E263" s="303">
        <f t="shared" si="21"/>
        <v>55318</v>
      </c>
      <c r="F263" s="279">
        <f t="shared" si="20"/>
        <v>55507</v>
      </c>
      <c r="G263" s="298">
        <v>51337</v>
      </c>
      <c r="H263" s="252">
        <v>51514</v>
      </c>
      <c r="I263" s="298">
        <v>707</v>
      </c>
      <c r="J263" s="252">
        <v>765</v>
      </c>
      <c r="K263" s="298">
        <v>2585</v>
      </c>
      <c r="L263" s="298">
        <v>168</v>
      </c>
      <c r="M263" s="298">
        <v>521</v>
      </c>
      <c r="N263" s="241">
        <v>2607</v>
      </c>
      <c r="O263" s="241">
        <v>156</v>
      </c>
      <c r="P263" s="241">
        <v>465</v>
      </c>
      <c r="Q263" s="298"/>
      <c r="R263" s="252"/>
      <c r="S263" s="303">
        <f t="shared" si="18"/>
        <v>0</v>
      </c>
      <c r="T263" s="279">
        <f t="shared" si="19"/>
        <v>0</v>
      </c>
      <c r="U263" s="298"/>
      <c r="V263" s="252"/>
      <c r="W263" s="298"/>
      <c r="X263" s="252"/>
      <c r="Y263" s="298"/>
      <c r="Z263" s="298"/>
      <c r="AA263" s="298"/>
      <c r="AB263" s="252"/>
      <c r="AC263" s="252"/>
      <c r="AD263" s="252"/>
      <c r="AE263" s="298"/>
      <c r="AF263" s="257"/>
    </row>
    <row r="264" spans="1:32" s="299" customFormat="1" ht="15" customHeight="1">
      <c r="A264" s="136" t="s">
        <v>351</v>
      </c>
      <c r="B264" s="136" t="s">
        <v>433</v>
      </c>
      <c r="C264" s="25">
        <v>163204</v>
      </c>
      <c r="D264" s="240">
        <v>15</v>
      </c>
      <c r="E264" s="303">
        <f t="shared" si="21"/>
        <v>307832</v>
      </c>
      <c r="F264" s="279">
        <f t="shared" si="20"/>
        <v>322184</v>
      </c>
      <c r="G264" s="298"/>
      <c r="H264" s="252"/>
      <c r="I264" s="298">
        <v>80107</v>
      </c>
      <c r="J264" s="252">
        <v>77324</v>
      </c>
      <c r="K264" s="298">
        <v>227725</v>
      </c>
      <c r="L264" s="298"/>
      <c r="M264" s="298"/>
      <c r="N264" s="552">
        <v>244860</v>
      </c>
      <c r="O264" s="241"/>
      <c r="P264" s="241"/>
      <c r="Q264" s="298"/>
      <c r="R264" s="252"/>
      <c r="S264" s="303">
        <f t="shared" si="18"/>
        <v>92615</v>
      </c>
      <c r="T264" s="279">
        <f t="shared" si="19"/>
        <v>98643</v>
      </c>
      <c r="U264" s="298"/>
      <c r="V264" s="252"/>
      <c r="W264" s="298">
        <v>16267</v>
      </c>
      <c r="X264" s="252">
        <v>16769</v>
      </c>
      <c r="Y264" s="298">
        <v>76348</v>
      </c>
      <c r="Z264" s="298"/>
      <c r="AA264" s="298"/>
      <c r="AB264" s="252">
        <v>81874</v>
      </c>
      <c r="AC264" s="252"/>
      <c r="AD264" s="252"/>
      <c r="AE264" s="298"/>
      <c r="AF264" s="257"/>
    </row>
    <row r="265" spans="1:32" s="308" customFormat="1" ht="12.75">
      <c r="A265" s="137" t="s">
        <v>24</v>
      </c>
      <c r="B265" s="137" t="s">
        <v>27</v>
      </c>
      <c r="C265" s="121">
        <v>176372</v>
      </c>
      <c r="D265" s="242">
        <v>1</v>
      </c>
      <c r="E265" s="303">
        <f t="shared" si="21"/>
        <v>345448</v>
      </c>
      <c r="F265" s="151">
        <f t="shared" si="20"/>
        <v>336422</v>
      </c>
      <c r="G265" s="243">
        <v>279899</v>
      </c>
      <c r="H265" s="244">
        <v>277149</v>
      </c>
      <c r="I265" s="300">
        <v>39631</v>
      </c>
      <c r="J265" s="244">
        <v>35961</v>
      </c>
      <c r="K265" s="309">
        <v>21648</v>
      </c>
      <c r="L265" s="309">
        <v>3168</v>
      </c>
      <c r="M265" s="309">
        <v>21</v>
      </c>
      <c r="N265" s="245">
        <v>20539</v>
      </c>
      <c r="O265" s="245">
        <v>1977</v>
      </c>
      <c r="P265" s="245">
        <v>60</v>
      </c>
      <c r="Q265" s="243">
        <v>1081</v>
      </c>
      <c r="R265" s="244">
        <v>736</v>
      </c>
      <c r="S265" s="303">
        <f aca="true" t="shared" si="26" ref="S265:S328">SUM(U265,W265,Y265,Z265,AA265,AE265)</f>
        <v>61361</v>
      </c>
      <c r="T265" s="279">
        <f aca="true" t="shared" si="27" ref="T265:T328">SUM(V265,X265,AB265,AC265,AD265,AF265)</f>
        <v>58845</v>
      </c>
      <c r="U265" s="243">
        <v>45418</v>
      </c>
      <c r="V265" s="244">
        <v>43896</v>
      </c>
      <c r="W265" s="243">
        <v>9297</v>
      </c>
      <c r="X265" s="244">
        <v>8744</v>
      </c>
      <c r="Y265" s="243">
        <v>4972</v>
      </c>
      <c r="Z265" s="298">
        <v>1639</v>
      </c>
      <c r="AA265" s="243" t="s">
        <v>14</v>
      </c>
      <c r="AB265" s="244">
        <v>4882</v>
      </c>
      <c r="AC265" s="244">
        <v>1317</v>
      </c>
      <c r="AD265" s="244">
        <v>0</v>
      </c>
      <c r="AE265" s="243">
        <v>35</v>
      </c>
      <c r="AF265" s="341">
        <v>6</v>
      </c>
    </row>
    <row r="266" spans="1:32" s="308" customFormat="1" ht="12.75">
      <c r="A266" s="137" t="s">
        <v>24</v>
      </c>
      <c r="B266" s="391" t="s">
        <v>28</v>
      </c>
      <c r="C266" s="121">
        <v>175856</v>
      </c>
      <c r="D266" s="242">
        <v>2</v>
      </c>
      <c r="E266" s="303">
        <f t="shared" si="21"/>
        <v>165524</v>
      </c>
      <c r="F266" s="151">
        <f t="shared" si="20"/>
        <v>165360</v>
      </c>
      <c r="G266" s="247">
        <v>157243</v>
      </c>
      <c r="H266" s="227">
        <v>160320</v>
      </c>
      <c r="I266" s="247">
        <v>5097</v>
      </c>
      <c r="J266" s="227">
        <v>2129</v>
      </c>
      <c r="K266" s="248">
        <v>690</v>
      </c>
      <c r="L266" s="248">
        <v>2420</v>
      </c>
      <c r="M266" s="248">
        <v>74</v>
      </c>
      <c r="N266" s="245">
        <v>1017</v>
      </c>
      <c r="O266" s="245">
        <v>1845</v>
      </c>
      <c r="P266" s="245">
        <v>49</v>
      </c>
      <c r="Q266" s="300" t="s">
        <v>14</v>
      </c>
      <c r="R266" s="227"/>
      <c r="S266" s="303">
        <f t="shared" si="26"/>
        <v>25650</v>
      </c>
      <c r="T266" s="279">
        <f t="shared" si="27"/>
        <v>27565</v>
      </c>
      <c r="U266" s="247">
        <v>20750</v>
      </c>
      <c r="V266" s="227">
        <v>23229</v>
      </c>
      <c r="W266" s="247">
        <v>4178</v>
      </c>
      <c r="X266" s="227">
        <v>3972</v>
      </c>
      <c r="Y266" s="247">
        <v>135</v>
      </c>
      <c r="Z266" s="268">
        <v>585</v>
      </c>
      <c r="AA266" s="247">
        <v>2</v>
      </c>
      <c r="AB266" s="227">
        <v>171</v>
      </c>
      <c r="AC266" s="227">
        <v>193</v>
      </c>
      <c r="AD266" s="227"/>
      <c r="AE266" s="300"/>
      <c r="AF266" s="295"/>
    </row>
    <row r="267" spans="1:32" s="308" customFormat="1" ht="12.75">
      <c r="A267" s="137" t="s">
        <v>24</v>
      </c>
      <c r="B267" s="391" t="s">
        <v>25</v>
      </c>
      <c r="C267" s="121">
        <v>176080</v>
      </c>
      <c r="D267" s="161">
        <v>2</v>
      </c>
      <c r="E267" s="303">
        <f t="shared" si="21"/>
        <v>348372</v>
      </c>
      <c r="F267" s="151">
        <f t="shared" si="20"/>
        <v>344737</v>
      </c>
      <c r="G267" s="300">
        <v>324121</v>
      </c>
      <c r="H267" s="227">
        <v>315113</v>
      </c>
      <c r="I267" s="300">
        <v>12488</v>
      </c>
      <c r="J267" s="227">
        <v>13017</v>
      </c>
      <c r="K267" s="309">
        <v>7952</v>
      </c>
      <c r="L267" s="309">
        <v>609</v>
      </c>
      <c r="M267" s="309">
        <v>3202</v>
      </c>
      <c r="N267" s="245">
        <v>10749</v>
      </c>
      <c r="O267" s="245">
        <v>549</v>
      </c>
      <c r="P267" s="245">
        <v>3044</v>
      </c>
      <c r="Q267" s="300" t="s">
        <v>14</v>
      </c>
      <c r="R267" s="227">
        <v>2265</v>
      </c>
      <c r="S267" s="303">
        <f t="shared" si="26"/>
        <v>57939</v>
      </c>
      <c r="T267" s="279">
        <f t="shared" si="27"/>
        <v>58078</v>
      </c>
      <c r="U267" s="300">
        <v>45632</v>
      </c>
      <c r="V267" s="227">
        <v>43331</v>
      </c>
      <c r="W267" s="300">
        <v>4780</v>
      </c>
      <c r="X267" s="227">
        <v>3595</v>
      </c>
      <c r="Y267" s="300">
        <v>5116</v>
      </c>
      <c r="Z267" s="298">
        <v>316</v>
      </c>
      <c r="AA267" s="300">
        <v>2095</v>
      </c>
      <c r="AB267" s="227">
        <v>10345</v>
      </c>
      <c r="AC267" s="227">
        <v>525</v>
      </c>
      <c r="AD267" s="227">
        <v>252</v>
      </c>
      <c r="AE267" s="300"/>
      <c r="AF267" s="295">
        <v>30</v>
      </c>
    </row>
    <row r="268" spans="1:32" s="308" customFormat="1" ht="12.75">
      <c r="A268" s="137" t="s">
        <v>24</v>
      </c>
      <c r="B268" s="137" t="s">
        <v>26</v>
      </c>
      <c r="C268" s="121">
        <v>176017</v>
      </c>
      <c r="D268" s="161">
        <v>2</v>
      </c>
      <c r="E268" s="303">
        <f t="shared" si="21"/>
        <v>335970</v>
      </c>
      <c r="F268" s="151">
        <f t="shared" si="20"/>
        <v>351565</v>
      </c>
      <c r="G268" s="243">
        <v>309690</v>
      </c>
      <c r="H268" s="244">
        <v>313941</v>
      </c>
      <c r="I268" s="300">
        <v>11474</v>
      </c>
      <c r="J268" s="244">
        <v>16180</v>
      </c>
      <c r="K268" s="309">
        <v>9018</v>
      </c>
      <c r="L268" s="309">
        <v>5788</v>
      </c>
      <c r="M268" s="309"/>
      <c r="N268" s="245">
        <v>15384</v>
      </c>
      <c r="O268" s="245">
        <v>6060</v>
      </c>
      <c r="P268" s="245"/>
      <c r="Q268" s="246" t="s">
        <v>14</v>
      </c>
      <c r="R268" s="244"/>
      <c r="S268" s="303">
        <f t="shared" si="26"/>
        <v>60134</v>
      </c>
      <c r="T268" s="279">
        <f t="shared" si="27"/>
        <v>60788</v>
      </c>
      <c r="U268" s="243">
        <v>54432</v>
      </c>
      <c r="V268" s="244">
        <v>54411</v>
      </c>
      <c r="W268" s="243">
        <v>4547</v>
      </c>
      <c r="X268" s="244">
        <v>5319</v>
      </c>
      <c r="Y268" s="243">
        <v>828</v>
      </c>
      <c r="Z268" s="298">
        <v>327</v>
      </c>
      <c r="AA268" s="243"/>
      <c r="AB268" s="244">
        <v>960</v>
      </c>
      <c r="AC268" s="244">
        <v>98</v>
      </c>
      <c r="AD268" s="244"/>
      <c r="AE268" s="243"/>
      <c r="AF268" s="341"/>
    </row>
    <row r="269" spans="1:32" s="308" customFormat="1" ht="12.75">
      <c r="A269" s="137" t="s">
        <v>24</v>
      </c>
      <c r="B269" s="137" t="s">
        <v>29</v>
      </c>
      <c r="C269" s="121">
        <v>175342</v>
      </c>
      <c r="D269" s="242">
        <v>4</v>
      </c>
      <c r="E269" s="303">
        <f t="shared" si="21"/>
        <v>80854</v>
      </c>
      <c r="F269" s="151">
        <f t="shared" si="20"/>
        <v>84838</v>
      </c>
      <c r="G269" s="300">
        <v>80118</v>
      </c>
      <c r="H269" s="227">
        <v>84092</v>
      </c>
      <c r="I269" s="300" t="s">
        <v>14</v>
      </c>
      <c r="J269" s="227"/>
      <c r="K269" s="309">
        <v>180</v>
      </c>
      <c r="L269" s="309" t="s">
        <v>14</v>
      </c>
      <c r="M269" s="309">
        <v>556</v>
      </c>
      <c r="N269" s="245">
        <v>520</v>
      </c>
      <c r="O269" s="245" t="s">
        <v>14</v>
      </c>
      <c r="P269" s="245">
        <v>226</v>
      </c>
      <c r="Q269" s="300" t="s">
        <v>14</v>
      </c>
      <c r="R269" s="227"/>
      <c r="S269" s="303">
        <f t="shared" si="26"/>
        <v>10652</v>
      </c>
      <c r="T269" s="279">
        <f t="shared" si="27"/>
        <v>10521</v>
      </c>
      <c r="U269" s="300">
        <v>10198</v>
      </c>
      <c r="V269" s="227">
        <v>9919</v>
      </c>
      <c r="W269" s="300" t="s">
        <v>14</v>
      </c>
      <c r="X269" s="227"/>
      <c r="Y269" s="300">
        <v>399</v>
      </c>
      <c r="Z269" s="298"/>
      <c r="AA269" s="300">
        <v>55</v>
      </c>
      <c r="AB269" s="227">
        <v>482</v>
      </c>
      <c r="AC269" s="227"/>
      <c r="AD269" s="227">
        <v>120</v>
      </c>
      <c r="AE269" s="300"/>
      <c r="AF269" s="295"/>
    </row>
    <row r="270" spans="1:32" s="308" customFormat="1" ht="12.75">
      <c r="A270" s="137" t="s">
        <v>24</v>
      </c>
      <c r="B270" s="137" t="s">
        <v>30</v>
      </c>
      <c r="C270" s="121">
        <v>175616</v>
      </c>
      <c r="D270" s="242">
        <v>4</v>
      </c>
      <c r="E270" s="303">
        <f t="shared" si="21"/>
        <v>84780</v>
      </c>
      <c r="F270" s="151">
        <f t="shared" si="20"/>
        <v>84629</v>
      </c>
      <c r="G270" s="300">
        <v>80386</v>
      </c>
      <c r="H270" s="227">
        <v>80690</v>
      </c>
      <c r="I270" s="300">
        <v>1436</v>
      </c>
      <c r="J270" s="227">
        <v>1617</v>
      </c>
      <c r="K270" s="309">
        <v>2217</v>
      </c>
      <c r="L270" s="309">
        <v>21</v>
      </c>
      <c r="M270" s="309">
        <v>720</v>
      </c>
      <c r="N270" s="245">
        <v>2001</v>
      </c>
      <c r="O270" s="245">
        <v>321</v>
      </c>
      <c r="P270" s="245"/>
      <c r="Q270" s="300" t="s">
        <v>14</v>
      </c>
      <c r="R270" s="227"/>
      <c r="S270" s="303">
        <f t="shared" si="26"/>
        <v>13199</v>
      </c>
      <c r="T270" s="279">
        <f t="shared" si="27"/>
        <v>13868</v>
      </c>
      <c r="U270" s="300">
        <v>10549</v>
      </c>
      <c r="V270" s="227">
        <v>11007</v>
      </c>
      <c r="W270" s="300">
        <v>1185</v>
      </c>
      <c r="X270" s="227">
        <v>1149</v>
      </c>
      <c r="Y270" s="300">
        <v>1321</v>
      </c>
      <c r="Z270" s="298">
        <v>48</v>
      </c>
      <c r="AA270" s="300">
        <v>96</v>
      </c>
      <c r="AB270" s="227">
        <v>1712</v>
      </c>
      <c r="AC270" s="227"/>
      <c r="AD270" s="227"/>
      <c r="AE270" s="300" t="s">
        <v>14</v>
      </c>
      <c r="AF270" s="295"/>
    </row>
    <row r="271" spans="1:32" s="308" customFormat="1" ht="12.75">
      <c r="A271" s="138" t="s">
        <v>24</v>
      </c>
      <c r="B271" s="138" t="s">
        <v>31</v>
      </c>
      <c r="C271" s="30">
        <v>176035</v>
      </c>
      <c r="D271" s="242">
        <v>5</v>
      </c>
      <c r="E271" s="333">
        <f t="shared" si="21"/>
        <v>55539</v>
      </c>
      <c r="F271" s="325">
        <f t="shared" si="20"/>
        <v>58068</v>
      </c>
      <c r="G271" s="327">
        <v>53008</v>
      </c>
      <c r="H271" s="328">
        <v>55215</v>
      </c>
      <c r="I271" s="327">
        <v>674</v>
      </c>
      <c r="J271" s="328">
        <v>936</v>
      </c>
      <c r="K271" s="336">
        <v>1857</v>
      </c>
      <c r="L271" s="336"/>
      <c r="M271" s="336"/>
      <c r="N271" s="339">
        <v>1917</v>
      </c>
      <c r="O271" s="339"/>
      <c r="P271" s="339"/>
      <c r="Q271" s="327" t="s">
        <v>14</v>
      </c>
      <c r="R271" s="328"/>
      <c r="S271" s="333">
        <f t="shared" si="26"/>
        <v>3179</v>
      </c>
      <c r="T271" s="334">
        <f t="shared" si="27"/>
        <v>3981</v>
      </c>
      <c r="U271" s="327">
        <v>2993</v>
      </c>
      <c r="V271" s="328">
        <v>3816</v>
      </c>
      <c r="W271" s="327" t="s">
        <v>14</v>
      </c>
      <c r="X271" s="328"/>
      <c r="Y271" s="327">
        <v>186</v>
      </c>
      <c r="Z271" s="326" t="s">
        <v>14</v>
      </c>
      <c r="AA271" s="327"/>
      <c r="AB271" s="328">
        <v>165</v>
      </c>
      <c r="AC271" s="328"/>
      <c r="AD271" s="328"/>
      <c r="AE271" s="327"/>
      <c r="AF271" s="328"/>
    </row>
    <row r="272" spans="1:32" s="308" customFormat="1" ht="12.75">
      <c r="A272" s="138" t="s">
        <v>24</v>
      </c>
      <c r="B272" s="138" t="s">
        <v>32</v>
      </c>
      <c r="C272" s="30">
        <v>176044</v>
      </c>
      <c r="D272" s="242">
        <v>5</v>
      </c>
      <c r="E272" s="297">
        <f t="shared" si="21"/>
        <v>91357</v>
      </c>
      <c r="F272" s="267">
        <f t="shared" si="20"/>
        <v>92809</v>
      </c>
      <c r="G272" s="300">
        <v>85626</v>
      </c>
      <c r="H272" s="227">
        <v>86299</v>
      </c>
      <c r="I272" s="300">
        <v>3920</v>
      </c>
      <c r="J272" s="227">
        <v>5022</v>
      </c>
      <c r="K272" s="335"/>
      <c r="L272" s="336"/>
      <c r="M272" s="337">
        <v>563</v>
      </c>
      <c r="N272" s="338"/>
      <c r="O272" s="339"/>
      <c r="P272" s="340">
        <v>533</v>
      </c>
      <c r="Q272" s="300">
        <v>1248</v>
      </c>
      <c r="R272" s="227">
        <v>955</v>
      </c>
      <c r="S272" s="297">
        <f t="shared" si="26"/>
        <v>9179</v>
      </c>
      <c r="T272" s="251">
        <f t="shared" si="27"/>
        <v>7089</v>
      </c>
      <c r="U272" s="300">
        <v>4361</v>
      </c>
      <c r="V272" s="227">
        <v>3894</v>
      </c>
      <c r="W272" s="300">
        <v>4548</v>
      </c>
      <c r="X272" s="227">
        <v>2991</v>
      </c>
      <c r="Y272" s="363"/>
      <c r="Z272" s="326" t="s">
        <v>14</v>
      </c>
      <c r="AA272" s="364">
        <v>270</v>
      </c>
      <c r="AB272" s="295"/>
      <c r="AC272" s="328"/>
      <c r="AD272" s="365">
        <v>204</v>
      </c>
      <c r="AE272" s="300"/>
      <c r="AF272" s="295"/>
    </row>
    <row r="273" spans="1:32" s="299" customFormat="1" ht="12.75">
      <c r="A273" s="139" t="s">
        <v>24</v>
      </c>
      <c r="B273" s="392" t="s">
        <v>379</v>
      </c>
      <c r="C273" s="28">
        <v>175786</v>
      </c>
      <c r="D273" s="230">
        <v>8</v>
      </c>
      <c r="E273" s="278">
        <f t="shared" si="21"/>
        <v>246188</v>
      </c>
      <c r="F273" s="267">
        <f t="shared" si="20"/>
        <v>249425</v>
      </c>
      <c r="G273" s="298">
        <v>227771</v>
      </c>
      <c r="H273" s="252">
        <v>227148</v>
      </c>
      <c r="I273" s="298"/>
      <c r="J273" s="252"/>
      <c r="K273" s="298">
        <v>18417</v>
      </c>
      <c r="L273" s="298"/>
      <c r="M273" s="298"/>
      <c r="N273" s="252">
        <v>22277</v>
      </c>
      <c r="O273" s="252"/>
      <c r="P273" s="252"/>
      <c r="Q273" s="298"/>
      <c r="R273" s="252"/>
      <c r="S273" s="297">
        <f t="shared" si="26"/>
        <v>0</v>
      </c>
      <c r="T273" s="267">
        <f t="shared" si="27"/>
        <v>0</v>
      </c>
      <c r="U273" s="298"/>
      <c r="V273" s="252"/>
      <c r="W273" s="298"/>
      <c r="X273" s="252"/>
      <c r="Y273" s="298"/>
      <c r="Z273" s="298"/>
      <c r="AA273" s="298"/>
      <c r="AB273" s="252"/>
      <c r="AC273" s="252"/>
      <c r="AD273" s="252"/>
      <c r="AE273" s="298"/>
      <c r="AF273" s="257"/>
    </row>
    <row r="274" spans="1:32" s="299" customFormat="1" ht="12.75">
      <c r="A274" s="139" t="s">
        <v>24</v>
      </c>
      <c r="B274" s="139" t="s">
        <v>380</v>
      </c>
      <c r="C274" s="28">
        <v>176071</v>
      </c>
      <c r="D274" s="230">
        <v>8</v>
      </c>
      <c r="E274" s="278">
        <f t="shared" si="21"/>
        <v>246821</v>
      </c>
      <c r="F274" s="267">
        <f t="shared" si="20"/>
        <v>221575</v>
      </c>
      <c r="G274" s="298">
        <v>224401</v>
      </c>
      <c r="H274" s="252">
        <v>197029</v>
      </c>
      <c r="I274" s="298"/>
      <c r="J274" s="252"/>
      <c r="K274" s="298">
        <v>22420</v>
      </c>
      <c r="L274" s="298"/>
      <c r="M274" s="298"/>
      <c r="N274" s="252">
        <v>24546</v>
      </c>
      <c r="O274" s="252"/>
      <c r="P274" s="252"/>
      <c r="Q274" s="298"/>
      <c r="R274" s="252"/>
      <c r="S274" s="297">
        <f t="shared" si="26"/>
        <v>0</v>
      </c>
      <c r="T274" s="267">
        <f t="shared" si="27"/>
        <v>0</v>
      </c>
      <c r="U274" s="298"/>
      <c r="V274" s="252"/>
      <c r="W274" s="298"/>
      <c r="X274" s="252"/>
      <c r="Y274" s="298"/>
      <c r="Z274" s="298"/>
      <c r="AA274" s="298"/>
      <c r="AB274" s="252"/>
      <c r="AC274" s="252"/>
      <c r="AD274" s="252"/>
      <c r="AE274" s="298"/>
      <c r="AF274" s="257"/>
    </row>
    <row r="275" spans="1:32" s="299" customFormat="1" ht="15" customHeight="1">
      <c r="A275" s="139" t="s">
        <v>24</v>
      </c>
      <c r="B275" s="392" t="s">
        <v>389</v>
      </c>
      <c r="C275" s="28">
        <v>176178</v>
      </c>
      <c r="D275" s="230">
        <v>8</v>
      </c>
      <c r="E275" s="278">
        <f t="shared" si="21"/>
        <v>156866</v>
      </c>
      <c r="F275" s="267">
        <f aca="true" t="shared" si="28" ref="F275:F338">SUM(H275,J275,N275,O275,P275,R275)</f>
        <v>157985</v>
      </c>
      <c r="G275" s="298">
        <v>153067</v>
      </c>
      <c r="H275" s="252">
        <v>151911</v>
      </c>
      <c r="I275" s="298"/>
      <c r="J275" s="252"/>
      <c r="K275" s="298">
        <v>3799</v>
      </c>
      <c r="L275" s="298"/>
      <c r="M275" s="298"/>
      <c r="N275" s="252">
        <v>6074</v>
      </c>
      <c r="O275" s="252"/>
      <c r="P275" s="252"/>
      <c r="Q275" s="298"/>
      <c r="R275" s="252"/>
      <c r="S275" s="297">
        <f t="shared" si="26"/>
        <v>0</v>
      </c>
      <c r="T275" s="267">
        <f t="shared" si="27"/>
        <v>0</v>
      </c>
      <c r="U275" s="298"/>
      <c r="V275" s="252"/>
      <c r="W275" s="298"/>
      <c r="X275" s="252"/>
      <c r="Y275" s="298"/>
      <c r="Z275" s="298"/>
      <c r="AA275" s="298"/>
      <c r="AB275" s="252"/>
      <c r="AC275" s="252"/>
      <c r="AD275" s="252"/>
      <c r="AE275" s="298"/>
      <c r="AF275" s="257"/>
    </row>
    <row r="276" spans="1:32" s="299" customFormat="1" ht="12.75">
      <c r="A276" s="139" t="s">
        <v>24</v>
      </c>
      <c r="B276" s="392" t="s">
        <v>381</v>
      </c>
      <c r="C276" s="28">
        <v>175573</v>
      </c>
      <c r="D276" s="230">
        <v>9</v>
      </c>
      <c r="E276" s="278">
        <f t="shared" si="21"/>
        <v>80178</v>
      </c>
      <c r="F276" s="267">
        <f t="shared" si="28"/>
        <v>78519</v>
      </c>
      <c r="G276" s="298">
        <v>72550</v>
      </c>
      <c r="H276" s="252">
        <v>69484</v>
      </c>
      <c r="I276" s="298"/>
      <c r="J276" s="252"/>
      <c r="K276" s="298">
        <v>7628</v>
      </c>
      <c r="L276" s="298"/>
      <c r="M276" s="298"/>
      <c r="N276" s="252">
        <v>9035</v>
      </c>
      <c r="O276" s="252"/>
      <c r="P276" s="252"/>
      <c r="Q276" s="298"/>
      <c r="R276" s="252"/>
      <c r="S276" s="297">
        <f t="shared" si="26"/>
        <v>0</v>
      </c>
      <c r="T276" s="267">
        <f t="shared" si="27"/>
        <v>0</v>
      </c>
      <c r="U276" s="298"/>
      <c r="V276" s="252"/>
      <c r="W276" s="298"/>
      <c r="X276" s="252"/>
      <c r="Y276" s="298"/>
      <c r="Z276" s="298"/>
      <c r="AA276" s="298"/>
      <c r="AB276" s="252"/>
      <c r="AC276" s="252"/>
      <c r="AD276" s="252"/>
      <c r="AE276" s="298"/>
      <c r="AF276" s="257"/>
    </row>
    <row r="277" spans="1:32" s="299" customFormat="1" ht="12.75">
      <c r="A277" s="139" t="s">
        <v>24</v>
      </c>
      <c r="B277" s="139" t="s">
        <v>392</v>
      </c>
      <c r="C277" s="28">
        <v>175643</v>
      </c>
      <c r="D277" s="230">
        <v>9</v>
      </c>
      <c r="E277" s="278">
        <f t="shared" si="21"/>
        <v>66985</v>
      </c>
      <c r="F277" s="267">
        <f t="shared" si="28"/>
        <v>65056</v>
      </c>
      <c r="G277" s="298">
        <v>62715</v>
      </c>
      <c r="H277" s="252">
        <v>60987</v>
      </c>
      <c r="I277" s="298"/>
      <c r="J277" s="252"/>
      <c r="K277" s="298">
        <v>4270</v>
      </c>
      <c r="L277" s="298"/>
      <c r="M277" s="298"/>
      <c r="N277" s="252">
        <v>4069</v>
      </c>
      <c r="O277" s="252"/>
      <c r="P277" s="252"/>
      <c r="Q277" s="298"/>
      <c r="R277" s="252"/>
      <c r="S277" s="297">
        <f t="shared" si="26"/>
        <v>0</v>
      </c>
      <c r="T277" s="267">
        <f t="shared" si="27"/>
        <v>0</v>
      </c>
      <c r="U277" s="298"/>
      <c r="V277" s="252"/>
      <c r="W277" s="298"/>
      <c r="X277" s="252"/>
      <c r="Y277" s="298"/>
      <c r="Z277" s="298"/>
      <c r="AA277" s="298"/>
      <c r="AB277" s="252"/>
      <c r="AC277" s="252"/>
      <c r="AD277" s="252"/>
      <c r="AE277" s="298"/>
      <c r="AF277" s="257"/>
    </row>
    <row r="278" spans="1:32" s="299" customFormat="1" ht="12.75">
      <c r="A278" s="139" t="s">
        <v>24</v>
      </c>
      <c r="B278" s="139" t="s">
        <v>382</v>
      </c>
      <c r="C278" s="28">
        <v>175652</v>
      </c>
      <c r="D278" s="230">
        <v>9</v>
      </c>
      <c r="E278" s="278">
        <f t="shared" si="21"/>
        <v>107548</v>
      </c>
      <c r="F278" s="267">
        <f t="shared" si="28"/>
        <v>107546</v>
      </c>
      <c r="G278" s="298">
        <v>92554</v>
      </c>
      <c r="H278" s="252">
        <v>84869</v>
      </c>
      <c r="I278" s="298"/>
      <c r="J278" s="252"/>
      <c r="K278" s="298">
        <v>14994</v>
      </c>
      <c r="L278" s="298"/>
      <c r="M278" s="298"/>
      <c r="N278" s="252">
        <v>22677</v>
      </c>
      <c r="O278" s="252"/>
      <c r="P278" s="252"/>
      <c r="Q278" s="298"/>
      <c r="R278" s="252"/>
      <c r="S278" s="297">
        <f t="shared" si="26"/>
        <v>0</v>
      </c>
      <c r="T278" s="267">
        <f t="shared" si="27"/>
        <v>0</v>
      </c>
      <c r="U278" s="298"/>
      <c r="V278" s="252"/>
      <c r="W278" s="298"/>
      <c r="X278" s="252"/>
      <c r="Y278" s="298"/>
      <c r="Z278" s="298"/>
      <c r="AA278" s="298"/>
      <c r="AB278" s="252"/>
      <c r="AC278" s="252"/>
      <c r="AD278" s="252"/>
      <c r="AE278" s="298"/>
      <c r="AF278" s="257"/>
    </row>
    <row r="279" spans="1:32" s="299" customFormat="1" ht="12.75">
      <c r="A279" s="139" t="s">
        <v>24</v>
      </c>
      <c r="B279" s="139" t="s">
        <v>383</v>
      </c>
      <c r="C279" s="28">
        <v>175810</v>
      </c>
      <c r="D279" s="230">
        <v>9</v>
      </c>
      <c r="E279" s="278">
        <f t="shared" si="21"/>
        <v>110485</v>
      </c>
      <c r="F279" s="267">
        <f t="shared" si="28"/>
        <v>124358</v>
      </c>
      <c r="G279" s="298">
        <v>99592</v>
      </c>
      <c r="H279" s="252">
        <v>111561</v>
      </c>
      <c r="I279" s="298"/>
      <c r="J279" s="252"/>
      <c r="K279" s="298">
        <v>10893</v>
      </c>
      <c r="L279" s="298"/>
      <c r="M279" s="298"/>
      <c r="N279" s="252">
        <v>12797</v>
      </c>
      <c r="O279" s="252"/>
      <c r="P279" s="252"/>
      <c r="Q279" s="298"/>
      <c r="R279" s="252"/>
      <c r="S279" s="297">
        <f t="shared" si="26"/>
        <v>0</v>
      </c>
      <c r="T279" s="267">
        <f t="shared" si="27"/>
        <v>0</v>
      </c>
      <c r="U279" s="298"/>
      <c r="V279" s="252"/>
      <c r="W279" s="298"/>
      <c r="X279" s="252"/>
      <c r="Y279" s="298"/>
      <c r="Z279" s="298"/>
      <c r="AA279" s="298"/>
      <c r="AB279" s="252"/>
      <c r="AC279" s="252"/>
      <c r="AD279" s="252"/>
      <c r="AE279" s="298"/>
      <c r="AF279" s="257"/>
    </row>
    <row r="280" spans="1:32" s="299" customFormat="1" ht="12.75">
      <c r="A280" s="139" t="s">
        <v>24</v>
      </c>
      <c r="B280" s="139" t="s">
        <v>384</v>
      </c>
      <c r="C280" s="28">
        <v>175829</v>
      </c>
      <c r="D280" s="230">
        <v>9</v>
      </c>
      <c r="E280" s="278">
        <f t="shared" si="21"/>
        <v>117477</v>
      </c>
      <c r="F280" s="267">
        <f t="shared" si="28"/>
        <v>126193</v>
      </c>
      <c r="G280" s="298">
        <v>100297</v>
      </c>
      <c r="H280" s="252">
        <v>102190</v>
      </c>
      <c r="I280" s="298"/>
      <c r="J280" s="252"/>
      <c r="K280" s="298">
        <v>17180</v>
      </c>
      <c r="L280" s="298"/>
      <c r="M280" s="298"/>
      <c r="N280" s="252">
        <v>24003</v>
      </c>
      <c r="O280" s="252"/>
      <c r="P280" s="252"/>
      <c r="Q280" s="298"/>
      <c r="R280" s="252"/>
      <c r="S280" s="297">
        <f t="shared" si="26"/>
        <v>0</v>
      </c>
      <c r="T280" s="267">
        <f t="shared" si="27"/>
        <v>0</v>
      </c>
      <c r="U280" s="298"/>
      <c r="V280" s="252"/>
      <c r="W280" s="298"/>
      <c r="X280" s="252"/>
      <c r="Y280" s="298"/>
      <c r="Z280" s="298"/>
      <c r="AA280" s="298"/>
      <c r="AB280" s="252"/>
      <c r="AC280" s="252"/>
      <c r="AD280" s="252"/>
      <c r="AE280" s="298"/>
      <c r="AF280" s="257"/>
    </row>
    <row r="281" spans="1:32" s="299" customFormat="1" ht="15" customHeight="1">
      <c r="A281" s="139" t="s">
        <v>24</v>
      </c>
      <c r="B281" s="139" t="s">
        <v>385</v>
      </c>
      <c r="C281" s="28">
        <v>175883</v>
      </c>
      <c r="D281" s="230">
        <v>9</v>
      </c>
      <c r="E281" s="278">
        <f t="shared" si="21"/>
        <v>137582</v>
      </c>
      <c r="F281" s="267">
        <f t="shared" si="28"/>
        <v>134805</v>
      </c>
      <c r="G281" s="298">
        <v>137582</v>
      </c>
      <c r="H281" s="252">
        <v>134805</v>
      </c>
      <c r="I281" s="298"/>
      <c r="J281" s="252"/>
      <c r="K281" s="298"/>
      <c r="L281" s="298"/>
      <c r="M281" s="298"/>
      <c r="N281" s="252">
        <v>0</v>
      </c>
      <c r="O281" s="252"/>
      <c r="P281" s="252"/>
      <c r="Q281" s="298"/>
      <c r="R281" s="252"/>
      <c r="S281" s="297">
        <f t="shared" si="26"/>
        <v>0</v>
      </c>
      <c r="T281" s="267">
        <f t="shared" si="27"/>
        <v>0</v>
      </c>
      <c r="U281" s="298"/>
      <c r="V281" s="252"/>
      <c r="W281" s="298"/>
      <c r="X281" s="252"/>
      <c r="Y281" s="298"/>
      <c r="Z281" s="298"/>
      <c r="AA281" s="298"/>
      <c r="AB281" s="252"/>
      <c r="AC281" s="252"/>
      <c r="AD281" s="252"/>
      <c r="AE281" s="298"/>
      <c r="AF281" s="257"/>
    </row>
    <row r="282" spans="1:32" s="299" customFormat="1" ht="15" customHeight="1">
      <c r="A282" s="139" t="s">
        <v>24</v>
      </c>
      <c r="B282" s="139" t="s">
        <v>386</v>
      </c>
      <c r="C282" s="28">
        <v>175935</v>
      </c>
      <c r="D282" s="230">
        <v>9</v>
      </c>
      <c r="E282" s="278">
        <f t="shared" si="21"/>
        <v>89528</v>
      </c>
      <c r="F282" s="267">
        <f t="shared" si="28"/>
        <v>85561</v>
      </c>
      <c r="G282" s="298">
        <v>84812</v>
      </c>
      <c r="H282" s="252">
        <v>80018</v>
      </c>
      <c r="I282" s="298"/>
      <c r="J282" s="252"/>
      <c r="K282" s="298">
        <v>4716</v>
      </c>
      <c r="L282" s="298"/>
      <c r="M282" s="298"/>
      <c r="N282" s="252">
        <v>5543</v>
      </c>
      <c r="O282" s="252"/>
      <c r="P282" s="252"/>
      <c r="Q282" s="298"/>
      <c r="R282" s="252"/>
      <c r="S282" s="297">
        <f t="shared" si="26"/>
        <v>0</v>
      </c>
      <c r="T282" s="267">
        <f t="shared" si="27"/>
        <v>0</v>
      </c>
      <c r="U282" s="298"/>
      <c r="V282" s="252"/>
      <c r="W282" s="298"/>
      <c r="X282" s="252"/>
      <c r="Y282" s="298"/>
      <c r="Z282" s="298"/>
      <c r="AA282" s="298"/>
      <c r="AB282" s="252"/>
      <c r="AC282" s="252"/>
      <c r="AD282" s="252"/>
      <c r="AE282" s="298"/>
      <c r="AF282" s="257"/>
    </row>
    <row r="283" spans="1:32" s="299" customFormat="1" ht="15" customHeight="1">
      <c r="A283" s="139" t="s">
        <v>24</v>
      </c>
      <c r="B283" s="139" t="s">
        <v>387</v>
      </c>
      <c r="C283" s="28">
        <v>176008</v>
      </c>
      <c r="D283" s="230">
        <v>9</v>
      </c>
      <c r="E283" s="278">
        <f t="shared" si="21"/>
        <v>82829</v>
      </c>
      <c r="F283" s="267">
        <f t="shared" si="28"/>
        <v>78697</v>
      </c>
      <c r="G283" s="298">
        <v>75865</v>
      </c>
      <c r="H283" s="252">
        <v>71137</v>
      </c>
      <c r="I283" s="298"/>
      <c r="J283" s="252"/>
      <c r="K283" s="298">
        <v>6964</v>
      </c>
      <c r="L283" s="298"/>
      <c r="M283" s="298"/>
      <c r="N283" s="252">
        <v>7560</v>
      </c>
      <c r="O283" s="252"/>
      <c r="P283" s="252"/>
      <c r="Q283" s="298"/>
      <c r="R283" s="252"/>
      <c r="S283" s="297">
        <f t="shared" si="26"/>
        <v>0</v>
      </c>
      <c r="T283" s="267">
        <f t="shared" si="27"/>
        <v>0</v>
      </c>
      <c r="U283" s="298"/>
      <c r="V283" s="252"/>
      <c r="W283" s="298"/>
      <c r="X283" s="252"/>
      <c r="Y283" s="298"/>
      <c r="Z283" s="298"/>
      <c r="AA283" s="298"/>
      <c r="AB283" s="252"/>
      <c r="AC283" s="252"/>
      <c r="AD283" s="252"/>
      <c r="AE283" s="298"/>
      <c r="AF283" s="257"/>
    </row>
    <row r="284" spans="1:32" s="299" customFormat="1" ht="15" customHeight="1">
      <c r="A284" s="139" t="s">
        <v>24</v>
      </c>
      <c r="B284" s="139" t="s">
        <v>388</v>
      </c>
      <c r="C284" s="28">
        <v>176169</v>
      </c>
      <c r="D284" s="230">
        <v>9</v>
      </c>
      <c r="E284" s="278">
        <f t="shared" si="21"/>
        <v>88810</v>
      </c>
      <c r="F284" s="267">
        <f t="shared" si="28"/>
        <v>87253</v>
      </c>
      <c r="G284" s="298">
        <v>85414</v>
      </c>
      <c r="H284" s="252">
        <v>82121</v>
      </c>
      <c r="I284" s="298"/>
      <c r="J284" s="252"/>
      <c r="K284" s="298">
        <v>3396</v>
      </c>
      <c r="L284" s="298"/>
      <c r="M284" s="298"/>
      <c r="N284" s="252">
        <v>5132</v>
      </c>
      <c r="O284" s="252"/>
      <c r="P284" s="252"/>
      <c r="Q284" s="298"/>
      <c r="R284" s="252"/>
      <c r="S284" s="297">
        <f t="shared" si="26"/>
        <v>0</v>
      </c>
      <c r="T284" s="267">
        <f t="shared" si="27"/>
        <v>0</v>
      </c>
      <c r="U284" s="298"/>
      <c r="V284" s="252"/>
      <c r="W284" s="298"/>
      <c r="X284" s="252"/>
      <c r="Y284" s="298"/>
      <c r="Z284" s="298"/>
      <c r="AA284" s="298"/>
      <c r="AB284" s="252"/>
      <c r="AC284" s="252"/>
      <c r="AD284" s="252"/>
      <c r="AE284" s="298"/>
      <c r="AF284" s="257"/>
    </row>
    <row r="285" spans="1:32" s="299" customFormat="1" ht="15" customHeight="1">
      <c r="A285" s="139" t="s">
        <v>24</v>
      </c>
      <c r="B285" s="392" t="s">
        <v>390</v>
      </c>
      <c r="C285" s="28">
        <v>176239</v>
      </c>
      <c r="D285" s="230">
        <v>9</v>
      </c>
      <c r="E285" s="278">
        <f t="shared" si="21"/>
        <v>95222</v>
      </c>
      <c r="F285" s="267">
        <f t="shared" si="28"/>
        <v>95519</v>
      </c>
      <c r="G285" s="298">
        <v>89513</v>
      </c>
      <c r="H285" s="252">
        <v>88401</v>
      </c>
      <c r="I285" s="298"/>
      <c r="J285" s="252"/>
      <c r="K285" s="298">
        <v>5709</v>
      </c>
      <c r="L285" s="298"/>
      <c r="M285" s="298"/>
      <c r="N285" s="252">
        <v>7118</v>
      </c>
      <c r="O285" s="252"/>
      <c r="P285" s="252"/>
      <c r="Q285" s="298"/>
      <c r="R285" s="252"/>
      <c r="S285" s="297">
        <f t="shared" si="26"/>
        <v>0</v>
      </c>
      <c r="T285" s="267">
        <f t="shared" si="27"/>
        <v>0</v>
      </c>
      <c r="U285" s="298"/>
      <c r="V285" s="252"/>
      <c r="W285" s="298"/>
      <c r="X285" s="252"/>
      <c r="Y285" s="298"/>
      <c r="Z285" s="298"/>
      <c r="AA285" s="298"/>
      <c r="AB285" s="252"/>
      <c r="AC285" s="252"/>
      <c r="AD285" s="252"/>
      <c r="AE285" s="298"/>
      <c r="AF285" s="257"/>
    </row>
    <row r="286" spans="1:32" s="299" customFormat="1" ht="15" customHeight="1">
      <c r="A286" s="139" t="s">
        <v>24</v>
      </c>
      <c r="B286" s="139" t="s">
        <v>391</v>
      </c>
      <c r="C286" s="28">
        <v>175519</v>
      </c>
      <c r="D286" s="230">
        <v>10</v>
      </c>
      <c r="E286" s="278">
        <f t="shared" si="21"/>
        <v>52268</v>
      </c>
      <c r="F286" s="267">
        <f t="shared" si="28"/>
        <v>49947</v>
      </c>
      <c r="G286" s="298">
        <v>47604</v>
      </c>
      <c r="H286" s="252">
        <v>44706</v>
      </c>
      <c r="I286" s="298"/>
      <c r="J286" s="252"/>
      <c r="K286" s="298">
        <v>4664</v>
      </c>
      <c r="L286" s="298"/>
      <c r="M286" s="298"/>
      <c r="N286" s="252">
        <v>5241</v>
      </c>
      <c r="O286" s="252"/>
      <c r="P286" s="252"/>
      <c r="Q286" s="298"/>
      <c r="R286" s="252"/>
      <c r="S286" s="297">
        <f t="shared" si="26"/>
        <v>0</v>
      </c>
      <c r="T286" s="267">
        <f t="shared" si="27"/>
        <v>0</v>
      </c>
      <c r="U286" s="298"/>
      <c r="V286" s="252"/>
      <c r="W286" s="298"/>
      <c r="X286" s="252"/>
      <c r="Y286" s="298"/>
      <c r="Z286" s="298"/>
      <c r="AA286" s="298"/>
      <c r="AB286" s="252"/>
      <c r="AC286" s="252"/>
      <c r="AD286" s="252"/>
      <c r="AE286" s="298"/>
      <c r="AF286" s="257"/>
    </row>
    <row r="287" spans="1:32" s="299" customFormat="1" ht="15" customHeight="1">
      <c r="A287" s="139" t="s">
        <v>24</v>
      </c>
      <c r="B287" s="139" t="s">
        <v>393</v>
      </c>
      <c r="C287" s="28">
        <v>176354</v>
      </c>
      <c r="D287" s="230">
        <v>10</v>
      </c>
      <c r="E287" s="278">
        <f t="shared" si="21"/>
        <v>53551</v>
      </c>
      <c r="F287" s="267">
        <f t="shared" si="28"/>
        <v>50062</v>
      </c>
      <c r="G287" s="298">
        <v>47604</v>
      </c>
      <c r="H287" s="252">
        <v>43682</v>
      </c>
      <c r="I287" s="298"/>
      <c r="J287" s="252"/>
      <c r="K287" s="298">
        <v>5947</v>
      </c>
      <c r="L287" s="298"/>
      <c r="M287" s="298"/>
      <c r="N287" s="252">
        <v>6380</v>
      </c>
      <c r="O287" s="252"/>
      <c r="P287" s="252"/>
      <c r="Q287" s="298"/>
      <c r="R287" s="252"/>
      <c r="S287" s="297">
        <f t="shared" si="26"/>
        <v>0</v>
      </c>
      <c r="T287" s="267">
        <f t="shared" si="27"/>
        <v>0</v>
      </c>
      <c r="U287" s="298"/>
      <c r="V287" s="252"/>
      <c r="W287" s="298"/>
      <c r="X287" s="252"/>
      <c r="Y287" s="298"/>
      <c r="Z287" s="298"/>
      <c r="AA287" s="298"/>
      <c r="AB287" s="252"/>
      <c r="AC287" s="252"/>
      <c r="AD287" s="252"/>
      <c r="AE287" s="298"/>
      <c r="AF287" s="257"/>
    </row>
    <row r="288" spans="1:32" s="299" customFormat="1" ht="15" customHeight="1">
      <c r="A288" s="141" t="s">
        <v>34</v>
      </c>
      <c r="B288" s="141" t="s">
        <v>394</v>
      </c>
      <c r="C288" s="122">
        <v>199193</v>
      </c>
      <c r="D288" s="273">
        <v>1</v>
      </c>
      <c r="E288" s="278">
        <f t="shared" si="21"/>
        <v>640559</v>
      </c>
      <c r="F288" s="267">
        <f t="shared" si="28"/>
        <v>641850</v>
      </c>
      <c r="G288" s="298">
        <v>619747</v>
      </c>
      <c r="H288" s="694">
        <v>604575</v>
      </c>
      <c r="I288" s="298">
        <v>20812</v>
      </c>
      <c r="J288" s="694">
        <v>13832</v>
      </c>
      <c r="K288" s="298"/>
      <c r="L288" s="298"/>
      <c r="M288" s="298"/>
      <c r="N288" s="694">
        <v>18982</v>
      </c>
      <c r="O288" s="253"/>
      <c r="P288" s="694">
        <v>4461</v>
      </c>
      <c r="Q288" s="298"/>
      <c r="R288" s="252"/>
      <c r="S288" s="297">
        <f t="shared" si="26"/>
        <v>101333</v>
      </c>
      <c r="T288" s="267">
        <f t="shared" si="27"/>
        <v>107478</v>
      </c>
      <c r="U288" s="298">
        <v>92163</v>
      </c>
      <c r="V288" s="694">
        <v>97204</v>
      </c>
      <c r="W288" s="698">
        <v>8243</v>
      </c>
      <c r="X288" s="694">
        <v>4045</v>
      </c>
      <c r="Y288" s="298">
        <v>822</v>
      </c>
      <c r="Z288" s="298"/>
      <c r="AA288" s="298">
        <v>105</v>
      </c>
      <c r="AB288" s="694">
        <v>5862</v>
      </c>
      <c r="AC288" s="253"/>
      <c r="AD288" s="694">
        <v>367</v>
      </c>
      <c r="AE288" s="298"/>
      <c r="AF288" s="257"/>
    </row>
    <row r="289" spans="1:32" s="299" customFormat="1" ht="15" customHeight="1">
      <c r="A289" s="141" t="s">
        <v>34</v>
      </c>
      <c r="B289" s="141" t="s">
        <v>395</v>
      </c>
      <c r="C289" s="122">
        <v>199120</v>
      </c>
      <c r="D289" s="273">
        <v>1</v>
      </c>
      <c r="E289" s="278">
        <f aca="true" t="shared" si="29" ref="E289:E352">SUM(G289,I289,K289,L289,M289,Q289)</f>
        <v>467282</v>
      </c>
      <c r="F289" s="267">
        <f t="shared" si="28"/>
        <v>494571</v>
      </c>
      <c r="G289" s="298">
        <v>456067</v>
      </c>
      <c r="H289" s="253">
        <v>482253</v>
      </c>
      <c r="I289" s="298">
        <v>4563</v>
      </c>
      <c r="J289" s="253">
        <v>2909</v>
      </c>
      <c r="K289" s="298">
        <v>6652</v>
      </c>
      <c r="L289" s="298"/>
      <c r="M289" s="298"/>
      <c r="N289" s="252">
        <v>9409</v>
      </c>
      <c r="O289" s="252"/>
      <c r="P289" s="252"/>
      <c r="Q289" s="298"/>
      <c r="R289" s="252"/>
      <c r="S289" s="297">
        <f t="shared" si="26"/>
        <v>120441</v>
      </c>
      <c r="T289" s="267">
        <f t="shared" si="27"/>
        <v>163467</v>
      </c>
      <c r="U289" s="298">
        <v>108705</v>
      </c>
      <c r="V289" s="253">
        <v>148275</v>
      </c>
      <c r="W289" s="698">
        <v>10002</v>
      </c>
      <c r="X289" s="253">
        <v>10029</v>
      </c>
      <c r="Y289" s="298">
        <v>1734</v>
      </c>
      <c r="Z289" s="298"/>
      <c r="AA289" s="298"/>
      <c r="AB289" s="253">
        <v>4816</v>
      </c>
      <c r="AC289" s="253"/>
      <c r="AD289" s="253">
        <v>347</v>
      </c>
      <c r="AE289" s="298"/>
      <c r="AF289" s="257"/>
    </row>
    <row r="290" spans="1:32" s="299" customFormat="1" ht="15" customHeight="1">
      <c r="A290" s="141" t="s">
        <v>34</v>
      </c>
      <c r="B290" s="141" t="s">
        <v>396</v>
      </c>
      <c r="C290" s="122">
        <v>199148</v>
      </c>
      <c r="D290" s="273">
        <v>2</v>
      </c>
      <c r="E290" s="278">
        <f t="shared" si="29"/>
        <v>319532</v>
      </c>
      <c r="F290" s="267">
        <f t="shared" si="28"/>
        <v>333975</v>
      </c>
      <c r="G290" s="298">
        <v>305404</v>
      </c>
      <c r="H290" s="253">
        <v>307342</v>
      </c>
      <c r="I290" s="298">
        <v>7716</v>
      </c>
      <c r="J290" s="253">
        <v>5739</v>
      </c>
      <c r="K290" s="298">
        <v>6311</v>
      </c>
      <c r="L290" s="298">
        <v>101</v>
      </c>
      <c r="M290" s="298"/>
      <c r="N290" s="252">
        <v>20764</v>
      </c>
      <c r="O290" s="252">
        <v>130</v>
      </c>
      <c r="P290" s="252"/>
      <c r="Q290" s="298"/>
      <c r="R290" s="252"/>
      <c r="S290" s="297">
        <f t="shared" si="26"/>
        <v>64630</v>
      </c>
      <c r="T290" s="267">
        <f t="shared" si="27"/>
        <v>68929</v>
      </c>
      <c r="U290" s="298">
        <v>53377</v>
      </c>
      <c r="V290" s="253">
        <v>53291</v>
      </c>
      <c r="W290" s="698">
        <v>5783</v>
      </c>
      <c r="X290" s="253">
        <v>7332</v>
      </c>
      <c r="Y290" s="298">
        <v>4807</v>
      </c>
      <c r="Z290" s="298">
        <v>624</v>
      </c>
      <c r="AA290" s="298">
        <v>39</v>
      </c>
      <c r="AB290" s="253">
        <v>7592</v>
      </c>
      <c r="AC290" s="253">
        <v>702</v>
      </c>
      <c r="AD290" s="253">
        <v>12</v>
      </c>
      <c r="AE290" s="298"/>
      <c r="AF290" s="257"/>
    </row>
    <row r="291" spans="1:32" s="299" customFormat="1" ht="15" customHeight="1">
      <c r="A291" s="141" t="s">
        <v>34</v>
      </c>
      <c r="B291" s="141" t="s">
        <v>397</v>
      </c>
      <c r="C291" s="122">
        <v>197869</v>
      </c>
      <c r="D291" s="273">
        <v>3</v>
      </c>
      <c r="E291" s="278">
        <f t="shared" si="29"/>
        <v>383933</v>
      </c>
      <c r="F291" s="267">
        <f t="shared" si="28"/>
        <v>386104</v>
      </c>
      <c r="G291" s="298">
        <v>376544</v>
      </c>
      <c r="H291" s="694">
        <v>379385</v>
      </c>
      <c r="I291" s="298">
        <v>7152</v>
      </c>
      <c r="J291" s="694">
        <v>6128</v>
      </c>
      <c r="K291" s="298">
        <v>216</v>
      </c>
      <c r="L291" s="298"/>
      <c r="M291" s="298">
        <v>21</v>
      </c>
      <c r="N291" s="252">
        <v>531</v>
      </c>
      <c r="O291" s="252">
        <v>60</v>
      </c>
      <c r="P291" s="252"/>
      <c r="Q291" s="298"/>
      <c r="R291" s="252"/>
      <c r="S291" s="297">
        <f t="shared" si="26"/>
        <v>28817</v>
      </c>
      <c r="T291" s="267">
        <f t="shared" si="27"/>
        <v>31178</v>
      </c>
      <c r="U291" s="298">
        <v>19908</v>
      </c>
      <c r="V291" s="694">
        <v>19623</v>
      </c>
      <c r="W291" s="698">
        <v>8279</v>
      </c>
      <c r="X291" s="694">
        <v>10565</v>
      </c>
      <c r="Y291" s="298">
        <v>600</v>
      </c>
      <c r="Z291" s="298">
        <v>30</v>
      </c>
      <c r="AA291" s="298"/>
      <c r="AB291" s="694">
        <v>990</v>
      </c>
      <c r="AC291" s="253"/>
      <c r="AD291" s="253"/>
      <c r="AE291" s="298"/>
      <c r="AF291" s="257"/>
    </row>
    <row r="292" spans="1:32" s="299" customFormat="1" ht="15" customHeight="1">
      <c r="A292" s="141" t="s">
        <v>34</v>
      </c>
      <c r="B292" s="141" t="s">
        <v>398</v>
      </c>
      <c r="C292" s="122">
        <v>198464</v>
      </c>
      <c r="D292" s="273">
        <v>3</v>
      </c>
      <c r="E292" s="278">
        <f t="shared" si="29"/>
        <v>522278</v>
      </c>
      <c r="F292" s="267">
        <f t="shared" si="28"/>
        <v>509582</v>
      </c>
      <c r="G292" s="298">
        <v>479272</v>
      </c>
      <c r="H292" s="253">
        <v>465007</v>
      </c>
      <c r="I292" s="298">
        <v>16920</v>
      </c>
      <c r="J292" s="253">
        <v>1220</v>
      </c>
      <c r="K292" s="298">
        <v>25937</v>
      </c>
      <c r="L292" s="298">
        <v>143</v>
      </c>
      <c r="M292" s="298">
        <v>6</v>
      </c>
      <c r="N292" s="252">
        <v>42624</v>
      </c>
      <c r="O292" s="252">
        <v>590</v>
      </c>
      <c r="P292" s="252">
        <v>141</v>
      </c>
      <c r="Q292" s="298"/>
      <c r="R292" s="252"/>
      <c r="S292" s="297">
        <f t="shared" si="26"/>
        <v>93907</v>
      </c>
      <c r="T292" s="267">
        <f t="shared" si="27"/>
        <v>85852</v>
      </c>
      <c r="U292" s="298">
        <v>51281</v>
      </c>
      <c r="V292" s="253">
        <v>49979</v>
      </c>
      <c r="W292" s="698">
        <v>21082</v>
      </c>
      <c r="X292" s="253">
        <v>3534</v>
      </c>
      <c r="Y292" s="298">
        <v>21400</v>
      </c>
      <c r="Z292" s="298">
        <v>12</v>
      </c>
      <c r="AA292" s="298">
        <v>132</v>
      </c>
      <c r="AB292" s="253">
        <v>32216</v>
      </c>
      <c r="AC292" s="253">
        <v>18</v>
      </c>
      <c r="AD292" s="253">
        <v>105</v>
      </c>
      <c r="AE292" s="298"/>
      <c r="AF292" s="257"/>
    </row>
    <row r="293" spans="1:32" s="299" customFormat="1" ht="15" customHeight="1">
      <c r="A293" s="141" t="s">
        <v>34</v>
      </c>
      <c r="B293" s="141" t="s">
        <v>399</v>
      </c>
      <c r="C293" s="122">
        <v>199102</v>
      </c>
      <c r="D293" s="273">
        <v>3</v>
      </c>
      <c r="E293" s="278">
        <f t="shared" si="29"/>
        <v>279391</v>
      </c>
      <c r="F293" s="267">
        <f t="shared" si="28"/>
        <v>284861</v>
      </c>
      <c r="G293" s="298">
        <v>268577</v>
      </c>
      <c r="H293" s="694">
        <v>274339</v>
      </c>
      <c r="I293" s="298">
        <v>7767</v>
      </c>
      <c r="J293" s="694">
        <v>942</v>
      </c>
      <c r="K293" s="298">
        <v>3047</v>
      </c>
      <c r="L293" s="298"/>
      <c r="M293" s="298"/>
      <c r="N293" s="694">
        <v>9580</v>
      </c>
      <c r="O293" s="252"/>
      <c r="P293" s="252"/>
      <c r="Q293" s="298"/>
      <c r="R293" s="252"/>
      <c r="S293" s="297">
        <f t="shared" si="26"/>
        <v>27723</v>
      </c>
      <c r="T293" s="267">
        <f t="shared" si="27"/>
        <v>29370</v>
      </c>
      <c r="U293" s="298">
        <v>23153</v>
      </c>
      <c r="V293" s="694">
        <v>24652</v>
      </c>
      <c r="W293" s="698">
        <v>2963</v>
      </c>
      <c r="X293" s="694">
        <v>725</v>
      </c>
      <c r="Y293" s="298">
        <v>1607</v>
      </c>
      <c r="Z293" s="298"/>
      <c r="AA293" s="298"/>
      <c r="AB293" s="694">
        <v>3993</v>
      </c>
      <c r="AC293" s="253"/>
      <c r="AD293" s="253"/>
      <c r="AE293" s="298"/>
      <c r="AF293" s="257"/>
    </row>
    <row r="294" spans="1:32" s="299" customFormat="1" ht="15" customHeight="1">
      <c r="A294" s="141" t="s">
        <v>34</v>
      </c>
      <c r="B294" s="141" t="s">
        <v>400</v>
      </c>
      <c r="C294" s="122">
        <v>199157</v>
      </c>
      <c r="D294" s="273">
        <v>3</v>
      </c>
      <c r="E294" s="278">
        <f t="shared" si="29"/>
        <v>163113</v>
      </c>
      <c r="F294" s="267">
        <f t="shared" si="28"/>
        <v>174203</v>
      </c>
      <c r="G294" s="298">
        <v>154888</v>
      </c>
      <c r="H294" s="284">
        <v>164654</v>
      </c>
      <c r="I294" s="298">
        <v>6848</v>
      </c>
      <c r="J294" s="284">
        <v>5498</v>
      </c>
      <c r="K294" s="298">
        <v>1371</v>
      </c>
      <c r="L294" s="298">
        <v>6</v>
      </c>
      <c r="M294" s="298"/>
      <c r="N294" s="252">
        <v>4051</v>
      </c>
      <c r="O294" s="252"/>
      <c r="P294" s="252"/>
      <c r="Q294" s="298"/>
      <c r="R294" s="252"/>
      <c r="S294" s="297">
        <f t="shared" si="26"/>
        <v>28564</v>
      </c>
      <c r="T294" s="267">
        <f t="shared" si="27"/>
        <v>33845</v>
      </c>
      <c r="U294" s="298">
        <v>25948</v>
      </c>
      <c r="V294" s="284">
        <v>30388</v>
      </c>
      <c r="W294" s="298">
        <v>2091</v>
      </c>
      <c r="X294" s="284">
        <v>1428</v>
      </c>
      <c r="Y294" s="298">
        <v>522</v>
      </c>
      <c r="Z294" s="298">
        <v>3</v>
      </c>
      <c r="AA294" s="298"/>
      <c r="AB294" s="252">
        <v>1771</v>
      </c>
      <c r="AC294" s="252">
        <v>258</v>
      </c>
      <c r="AD294" s="252"/>
      <c r="AE294" s="298"/>
      <c r="AF294" s="257"/>
    </row>
    <row r="295" spans="1:32" s="299" customFormat="1" ht="15" customHeight="1">
      <c r="A295" s="141" t="s">
        <v>34</v>
      </c>
      <c r="B295" s="393" t="s">
        <v>401</v>
      </c>
      <c r="C295" s="122">
        <v>199139</v>
      </c>
      <c r="D295" s="273">
        <v>3</v>
      </c>
      <c r="E295" s="278">
        <f t="shared" si="29"/>
        <v>423206</v>
      </c>
      <c r="F295" s="267">
        <f t="shared" si="28"/>
        <v>441888</v>
      </c>
      <c r="G295" s="298">
        <v>420677</v>
      </c>
      <c r="H295" s="252">
        <v>437954</v>
      </c>
      <c r="I295" s="298">
        <v>548</v>
      </c>
      <c r="J295" s="252">
        <v>273</v>
      </c>
      <c r="K295" s="298">
        <v>1963</v>
      </c>
      <c r="L295" s="298">
        <v>18</v>
      </c>
      <c r="M295" s="298"/>
      <c r="N295" s="252">
        <v>3631</v>
      </c>
      <c r="O295" s="252">
        <v>30</v>
      </c>
      <c r="P295" s="252"/>
      <c r="Q295" s="298"/>
      <c r="R295" s="252"/>
      <c r="S295" s="297">
        <f t="shared" si="26"/>
        <v>53697</v>
      </c>
      <c r="T295" s="267">
        <f t="shared" si="27"/>
        <v>57221</v>
      </c>
      <c r="U295" s="298">
        <v>48328</v>
      </c>
      <c r="V295" s="252">
        <v>50772</v>
      </c>
      <c r="W295" s="298">
        <v>3225</v>
      </c>
      <c r="X295" s="252">
        <v>3351</v>
      </c>
      <c r="Y295" s="298">
        <v>1803</v>
      </c>
      <c r="Z295" s="298">
        <v>341</v>
      </c>
      <c r="AA295" s="298"/>
      <c r="AB295" s="252">
        <v>2768</v>
      </c>
      <c r="AC295" s="252">
        <v>249</v>
      </c>
      <c r="AD295" s="252">
        <v>81</v>
      </c>
      <c r="AE295" s="298"/>
      <c r="AF295" s="257"/>
    </row>
    <row r="296" spans="1:32" s="299" customFormat="1" ht="15" customHeight="1">
      <c r="A296" s="141" t="s">
        <v>34</v>
      </c>
      <c r="B296" s="141" t="s">
        <v>402</v>
      </c>
      <c r="C296" s="122">
        <v>199218</v>
      </c>
      <c r="D296" s="273">
        <v>3</v>
      </c>
      <c r="E296" s="278">
        <f t="shared" si="29"/>
        <v>298797</v>
      </c>
      <c r="F296" s="267">
        <f t="shared" si="28"/>
        <v>308540</v>
      </c>
      <c r="G296" s="298">
        <v>284716</v>
      </c>
      <c r="H296" s="252">
        <v>278221</v>
      </c>
      <c r="I296" s="298">
        <v>3586</v>
      </c>
      <c r="J296" s="252">
        <v>2847</v>
      </c>
      <c r="K296" s="298">
        <v>6166</v>
      </c>
      <c r="L296" s="298">
        <v>30</v>
      </c>
      <c r="M296" s="298">
        <v>4299</v>
      </c>
      <c r="N296" s="252">
        <v>8617</v>
      </c>
      <c r="O296" s="252">
        <v>108</v>
      </c>
      <c r="P296" s="252">
        <v>18747</v>
      </c>
      <c r="Q296" s="298"/>
      <c r="R296" s="252"/>
      <c r="S296" s="297">
        <f t="shared" si="26"/>
        <v>15406</v>
      </c>
      <c r="T296" s="267">
        <f t="shared" si="27"/>
        <v>16280</v>
      </c>
      <c r="U296" s="298">
        <v>14123</v>
      </c>
      <c r="V296" s="252">
        <v>14251</v>
      </c>
      <c r="W296" s="298">
        <v>534</v>
      </c>
      <c r="X296" s="252">
        <v>649</v>
      </c>
      <c r="Y296" s="298">
        <v>541</v>
      </c>
      <c r="Z296" s="298">
        <v>21</v>
      </c>
      <c r="AA296" s="298">
        <v>187</v>
      </c>
      <c r="AB296" s="252">
        <v>485</v>
      </c>
      <c r="AC296" s="252">
        <v>6</v>
      </c>
      <c r="AD296" s="252">
        <v>889</v>
      </c>
      <c r="AE296" s="298"/>
      <c r="AF296" s="257"/>
    </row>
    <row r="297" spans="1:32" s="299" customFormat="1" ht="15" customHeight="1">
      <c r="A297" s="141" t="s">
        <v>34</v>
      </c>
      <c r="B297" s="141" t="s">
        <v>403</v>
      </c>
      <c r="C297" s="122">
        <v>200004</v>
      </c>
      <c r="D297" s="273">
        <v>3</v>
      </c>
      <c r="E297" s="278">
        <f t="shared" si="29"/>
        <v>184440</v>
      </c>
      <c r="F297" s="267">
        <f t="shared" si="28"/>
        <v>196106</v>
      </c>
      <c r="G297" s="298">
        <v>174817</v>
      </c>
      <c r="H297" s="252">
        <v>182707</v>
      </c>
      <c r="I297" s="298">
        <v>8847</v>
      </c>
      <c r="J297" s="252">
        <v>12440</v>
      </c>
      <c r="K297" s="298">
        <v>2</v>
      </c>
      <c r="L297" s="298">
        <v>774</v>
      </c>
      <c r="M297" s="298"/>
      <c r="N297" s="252">
        <v>614</v>
      </c>
      <c r="O297" s="252">
        <v>345</v>
      </c>
      <c r="P297" s="252"/>
      <c r="Q297" s="298"/>
      <c r="R297" s="252"/>
      <c r="S297" s="297">
        <f t="shared" si="26"/>
        <v>25136</v>
      </c>
      <c r="T297" s="267">
        <f t="shared" si="27"/>
        <v>26881</v>
      </c>
      <c r="U297" s="298">
        <v>10883</v>
      </c>
      <c r="V297" s="252">
        <v>10516</v>
      </c>
      <c r="W297" s="298">
        <v>14086</v>
      </c>
      <c r="X297" s="252">
        <v>15216</v>
      </c>
      <c r="Y297" s="298">
        <v>88</v>
      </c>
      <c r="Z297" s="298">
        <v>79</v>
      </c>
      <c r="AA297" s="298"/>
      <c r="AB297" s="252">
        <v>885</v>
      </c>
      <c r="AC297" s="252">
        <v>183</v>
      </c>
      <c r="AD297" s="252">
        <v>81</v>
      </c>
      <c r="AE297" s="298"/>
      <c r="AF297" s="257"/>
    </row>
    <row r="298" spans="1:32" s="299" customFormat="1" ht="15" customHeight="1">
      <c r="A298" s="141" t="s">
        <v>34</v>
      </c>
      <c r="B298" s="141" t="s">
        <v>404</v>
      </c>
      <c r="C298" s="122">
        <v>198543</v>
      </c>
      <c r="D298" s="273">
        <v>4</v>
      </c>
      <c r="E298" s="278">
        <f t="shared" si="29"/>
        <v>136246</v>
      </c>
      <c r="F298" s="267">
        <f t="shared" si="28"/>
        <v>144605</v>
      </c>
      <c r="G298" s="298">
        <v>129588</v>
      </c>
      <c r="H298" s="252">
        <v>131263</v>
      </c>
      <c r="I298" s="298">
        <v>3612</v>
      </c>
      <c r="J298" s="252">
        <v>7539</v>
      </c>
      <c r="K298" s="298">
        <v>3046</v>
      </c>
      <c r="L298" s="298"/>
      <c r="M298" s="298"/>
      <c r="N298" s="252">
        <v>5803</v>
      </c>
      <c r="O298" s="252"/>
      <c r="P298" s="252"/>
      <c r="Q298" s="298"/>
      <c r="R298" s="252"/>
      <c r="S298" s="297">
        <f t="shared" si="26"/>
        <v>8580</v>
      </c>
      <c r="T298" s="267">
        <f t="shared" si="27"/>
        <v>9775</v>
      </c>
      <c r="U298" s="298">
        <v>6466</v>
      </c>
      <c r="V298" s="252">
        <v>6461</v>
      </c>
      <c r="W298" s="298">
        <v>594</v>
      </c>
      <c r="X298" s="252">
        <v>2216</v>
      </c>
      <c r="Y298" s="298">
        <v>1520</v>
      </c>
      <c r="Z298" s="298"/>
      <c r="AA298" s="298"/>
      <c r="AB298" s="252">
        <v>1098</v>
      </c>
      <c r="AC298" s="252"/>
      <c r="AD298" s="252"/>
      <c r="AE298" s="298"/>
      <c r="AF298" s="257"/>
    </row>
    <row r="299" spans="1:32" s="299" customFormat="1" ht="15" customHeight="1">
      <c r="A299" s="141" t="s">
        <v>34</v>
      </c>
      <c r="B299" s="141" t="s">
        <v>405</v>
      </c>
      <c r="C299" s="122">
        <v>199281</v>
      </c>
      <c r="D299" s="273">
        <v>5</v>
      </c>
      <c r="E299" s="278">
        <f t="shared" si="29"/>
        <v>118767</v>
      </c>
      <c r="F299" s="267">
        <f t="shared" si="28"/>
        <v>128493</v>
      </c>
      <c r="G299" s="298">
        <v>103523</v>
      </c>
      <c r="H299" s="252">
        <v>111817</v>
      </c>
      <c r="I299" s="298">
        <v>7247</v>
      </c>
      <c r="J299" s="252">
        <v>3783</v>
      </c>
      <c r="K299" s="298">
        <v>7997</v>
      </c>
      <c r="L299" s="298"/>
      <c r="M299" s="298"/>
      <c r="N299" s="252">
        <v>12778</v>
      </c>
      <c r="O299" s="252">
        <v>115</v>
      </c>
      <c r="P299" s="252"/>
      <c r="Q299" s="298"/>
      <c r="R299" s="252"/>
      <c r="S299" s="297">
        <f t="shared" si="26"/>
        <v>7168</v>
      </c>
      <c r="T299" s="267">
        <f t="shared" si="27"/>
        <v>9545</v>
      </c>
      <c r="U299" s="298">
        <v>5258</v>
      </c>
      <c r="V299" s="252">
        <v>5454</v>
      </c>
      <c r="W299" s="298">
        <v>1334</v>
      </c>
      <c r="X299" s="252">
        <v>1364</v>
      </c>
      <c r="Y299" s="298">
        <v>576</v>
      </c>
      <c r="Z299" s="298"/>
      <c r="AA299" s="298"/>
      <c r="AB299" s="252">
        <v>2727</v>
      </c>
      <c r="AC299" s="252"/>
      <c r="AD299" s="252"/>
      <c r="AE299" s="298"/>
      <c r="AF299" s="257"/>
    </row>
    <row r="300" spans="1:32" s="299" customFormat="1" ht="15" customHeight="1">
      <c r="A300" s="141" t="s">
        <v>34</v>
      </c>
      <c r="B300" s="141" t="s">
        <v>406</v>
      </c>
      <c r="C300" s="122">
        <v>198507</v>
      </c>
      <c r="D300" s="273">
        <v>6</v>
      </c>
      <c r="E300" s="278">
        <f t="shared" si="29"/>
        <v>69680</v>
      </c>
      <c r="F300" s="267">
        <f t="shared" si="28"/>
        <v>76261</v>
      </c>
      <c r="G300" s="298">
        <v>66977</v>
      </c>
      <c r="H300" s="252">
        <v>71087</v>
      </c>
      <c r="I300" s="298">
        <v>554</v>
      </c>
      <c r="J300" s="252">
        <v>762</v>
      </c>
      <c r="K300" s="298">
        <v>2099</v>
      </c>
      <c r="L300" s="298">
        <v>50</v>
      </c>
      <c r="M300" s="298"/>
      <c r="N300" s="252">
        <v>4340</v>
      </c>
      <c r="O300" s="252">
        <v>72</v>
      </c>
      <c r="P300" s="252"/>
      <c r="Q300" s="298"/>
      <c r="R300" s="252"/>
      <c r="S300" s="297">
        <f t="shared" si="26"/>
        <v>413</v>
      </c>
      <c r="T300" s="267">
        <f t="shared" si="27"/>
        <v>787</v>
      </c>
      <c r="U300" s="298">
        <v>410</v>
      </c>
      <c r="V300" s="252">
        <v>730</v>
      </c>
      <c r="W300" s="298">
        <v>3</v>
      </c>
      <c r="X300" s="252"/>
      <c r="Y300" s="298"/>
      <c r="Z300" s="298"/>
      <c r="AA300" s="298"/>
      <c r="AB300" s="252">
        <v>57</v>
      </c>
      <c r="AC300" s="252"/>
      <c r="AD300" s="252"/>
      <c r="AE300" s="298"/>
      <c r="AF300" s="257"/>
    </row>
    <row r="301" spans="1:32" s="299" customFormat="1" ht="12.75">
      <c r="A301" s="141" t="s">
        <v>34</v>
      </c>
      <c r="B301" s="141" t="s">
        <v>407</v>
      </c>
      <c r="C301" s="122">
        <v>199111</v>
      </c>
      <c r="D301" s="273">
        <v>6</v>
      </c>
      <c r="E301" s="278">
        <f t="shared" si="29"/>
        <v>92992</v>
      </c>
      <c r="F301" s="267">
        <f t="shared" si="28"/>
        <v>92975</v>
      </c>
      <c r="G301" s="298">
        <v>91962</v>
      </c>
      <c r="H301" s="252">
        <v>91971</v>
      </c>
      <c r="I301" s="298">
        <v>729</v>
      </c>
      <c r="J301" s="284">
        <v>1004</v>
      </c>
      <c r="K301" s="298"/>
      <c r="L301" s="298">
        <v>301</v>
      </c>
      <c r="M301" s="298"/>
      <c r="N301" s="252"/>
      <c r="O301" s="252"/>
      <c r="P301" s="252"/>
      <c r="Q301" s="298"/>
      <c r="R301" s="252"/>
      <c r="S301" s="297">
        <f t="shared" si="26"/>
        <v>363</v>
      </c>
      <c r="T301" s="267">
        <f t="shared" si="27"/>
        <v>355</v>
      </c>
      <c r="U301" s="298">
        <v>363</v>
      </c>
      <c r="V301" s="252">
        <v>355</v>
      </c>
      <c r="W301" s="298"/>
      <c r="X301" s="252"/>
      <c r="Y301" s="298"/>
      <c r="Z301" s="298"/>
      <c r="AA301" s="298"/>
      <c r="AB301" s="252"/>
      <c r="AC301" s="252"/>
      <c r="AD301" s="252"/>
      <c r="AE301" s="298"/>
      <c r="AF301" s="257"/>
    </row>
    <row r="302" spans="1:32" s="299" customFormat="1" ht="12.75">
      <c r="A302" s="141" t="s">
        <v>34</v>
      </c>
      <c r="B302" s="393" t="s">
        <v>408</v>
      </c>
      <c r="C302" s="122">
        <v>199999</v>
      </c>
      <c r="D302" s="273">
        <v>6</v>
      </c>
      <c r="E302" s="278">
        <f t="shared" si="29"/>
        <v>125049</v>
      </c>
      <c r="F302" s="267">
        <f t="shared" si="28"/>
        <v>142311</v>
      </c>
      <c r="G302" s="298">
        <v>118146</v>
      </c>
      <c r="H302" s="284">
        <v>133412</v>
      </c>
      <c r="I302" s="298">
        <v>5864</v>
      </c>
      <c r="J302" s="284">
        <v>7795</v>
      </c>
      <c r="K302" s="298">
        <v>1039</v>
      </c>
      <c r="L302" s="298"/>
      <c r="M302" s="298"/>
      <c r="N302" s="284">
        <v>1104</v>
      </c>
      <c r="O302" s="252"/>
      <c r="P302" s="252"/>
      <c r="Q302" s="298"/>
      <c r="R302" s="252"/>
      <c r="S302" s="297">
        <f t="shared" si="26"/>
        <v>5200</v>
      </c>
      <c r="T302" s="267">
        <f t="shared" si="27"/>
        <v>5971</v>
      </c>
      <c r="U302" s="298">
        <v>4972</v>
      </c>
      <c r="V302" s="284">
        <v>5839</v>
      </c>
      <c r="W302" s="298">
        <v>228</v>
      </c>
      <c r="X302" s="252">
        <v>132</v>
      </c>
      <c r="Y302" s="298"/>
      <c r="Z302" s="298"/>
      <c r="AA302" s="298"/>
      <c r="AB302" s="252"/>
      <c r="AC302" s="252"/>
      <c r="AD302" s="252"/>
      <c r="AE302" s="298"/>
      <c r="AF302" s="257"/>
    </row>
    <row r="303" spans="1:32" s="299" customFormat="1" ht="12.75">
      <c r="A303" s="140" t="s">
        <v>34</v>
      </c>
      <c r="B303" s="140" t="s">
        <v>89</v>
      </c>
      <c r="C303" s="29">
        <v>197887</v>
      </c>
      <c r="D303" s="231">
        <v>8</v>
      </c>
      <c r="E303" s="278">
        <f t="shared" si="29"/>
        <v>181800</v>
      </c>
      <c r="F303" s="267">
        <f t="shared" si="28"/>
        <v>202659.60000000003</v>
      </c>
      <c r="G303" s="262">
        <v>152219.49494344016</v>
      </c>
      <c r="H303" s="280">
        <v>175272.3</v>
      </c>
      <c r="I303" s="262">
        <v>15151.894090547103</v>
      </c>
      <c r="J303" s="280">
        <v>18488.7</v>
      </c>
      <c r="K303" s="298">
        <v>6347.019584000548</v>
      </c>
      <c r="L303" s="298">
        <v>918.5041831151149</v>
      </c>
      <c r="M303" s="298">
        <v>7163.087198897062</v>
      </c>
      <c r="N303" s="280">
        <v>8047.2</v>
      </c>
      <c r="O303" s="280">
        <v>703.2</v>
      </c>
      <c r="P303" s="280">
        <v>148.2</v>
      </c>
      <c r="Q303" s="269"/>
      <c r="R303" s="271"/>
      <c r="S303" s="297">
        <f t="shared" si="26"/>
        <v>0</v>
      </c>
      <c r="T303" s="267">
        <f t="shared" si="27"/>
        <v>0</v>
      </c>
      <c r="U303" s="262"/>
      <c r="V303" s="255"/>
      <c r="W303" s="262"/>
      <c r="X303" s="255"/>
      <c r="Y303" s="298"/>
      <c r="Z303" s="298"/>
      <c r="AA303" s="298"/>
      <c r="AB303" s="252"/>
      <c r="AC303" s="252"/>
      <c r="AD303" s="252"/>
      <c r="AE303" s="269"/>
      <c r="AF303" s="294"/>
    </row>
    <row r="304" spans="1:32" s="299" customFormat="1" ht="12.75">
      <c r="A304" s="140" t="s">
        <v>34</v>
      </c>
      <c r="B304" s="140" t="s">
        <v>84</v>
      </c>
      <c r="C304" s="29">
        <v>198154</v>
      </c>
      <c r="D304" s="231">
        <v>8</v>
      </c>
      <c r="E304" s="278">
        <f t="shared" si="29"/>
        <v>216960</v>
      </c>
      <c r="F304" s="267">
        <f t="shared" si="28"/>
        <v>226980.30000000002</v>
      </c>
      <c r="G304" s="262">
        <v>187204.35091442708</v>
      </c>
      <c r="H304" s="280">
        <v>191177.1</v>
      </c>
      <c r="I304" s="262">
        <v>20673.246559873547</v>
      </c>
      <c r="J304" s="280">
        <v>24071.1</v>
      </c>
      <c r="K304" s="298">
        <v>8124.710657134642</v>
      </c>
      <c r="L304" s="298"/>
      <c r="M304" s="298">
        <v>957.6918685647377</v>
      </c>
      <c r="N304" s="280">
        <v>9868.2</v>
      </c>
      <c r="O304" s="280">
        <v>0</v>
      </c>
      <c r="P304" s="280">
        <v>1863.9</v>
      </c>
      <c r="Q304" s="269"/>
      <c r="R304" s="271"/>
      <c r="S304" s="297">
        <f t="shared" si="26"/>
        <v>0</v>
      </c>
      <c r="T304" s="267">
        <f t="shared" si="27"/>
        <v>0</v>
      </c>
      <c r="U304" s="262"/>
      <c r="V304" s="255"/>
      <c r="W304" s="262"/>
      <c r="X304" s="255"/>
      <c r="Y304" s="298"/>
      <c r="Z304" s="298"/>
      <c r="AA304" s="298"/>
      <c r="AB304" s="252"/>
      <c r="AC304" s="252"/>
      <c r="AD304" s="252"/>
      <c r="AE304" s="269"/>
      <c r="AF304" s="294"/>
    </row>
    <row r="305" spans="1:32" s="299" customFormat="1" ht="12.75">
      <c r="A305" s="140" t="s">
        <v>34</v>
      </c>
      <c r="B305" s="394" t="s">
        <v>82</v>
      </c>
      <c r="C305" s="29">
        <v>198233</v>
      </c>
      <c r="D305" s="231">
        <v>8</v>
      </c>
      <c r="E305" s="278">
        <f t="shared" si="29"/>
        <v>157110</v>
      </c>
      <c r="F305" s="267">
        <f t="shared" si="28"/>
        <v>169659.60000000003</v>
      </c>
      <c r="G305" s="262">
        <v>116401.10122445683</v>
      </c>
      <c r="H305" s="280">
        <v>125507.7</v>
      </c>
      <c r="I305" s="262">
        <v>17865.783632219154</v>
      </c>
      <c r="J305" s="280">
        <v>19564.5</v>
      </c>
      <c r="K305" s="298">
        <v>13529.2776107962</v>
      </c>
      <c r="L305" s="298">
        <v>1562.764831662397</v>
      </c>
      <c r="M305" s="298">
        <v>7751.07270086539</v>
      </c>
      <c r="N305" s="280">
        <v>11697.6</v>
      </c>
      <c r="O305" s="280">
        <v>992.7</v>
      </c>
      <c r="P305" s="280">
        <v>11897.1</v>
      </c>
      <c r="Q305" s="269"/>
      <c r="R305" s="271"/>
      <c r="S305" s="297">
        <f t="shared" si="26"/>
        <v>0</v>
      </c>
      <c r="T305" s="267">
        <f t="shared" si="27"/>
        <v>0</v>
      </c>
      <c r="U305" s="262"/>
      <c r="V305" s="255"/>
      <c r="W305" s="262"/>
      <c r="X305" s="255"/>
      <c r="Y305" s="298"/>
      <c r="Z305" s="298"/>
      <c r="AA305" s="298"/>
      <c r="AB305" s="252"/>
      <c r="AC305" s="252"/>
      <c r="AD305" s="252"/>
      <c r="AE305" s="269"/>
      <c r="AF305" s="294"/>
    </row>
    <row r="306" spans="1:32" s="299" customFormat="1" ht="12.75">
      <c r="A306" s="140" t="s">
        <v>34</v>
      </c>
      <c r="B306" s="140" t="s">
        <v>81</v>
      </c>
      <c r="C306" s="29">
        <v>198251</v>
      </c>
      <c r="D306" s="231">
        <v>8</v>
      </c>
      <c r="E306" s="278">
        <f t="shared" si="29"/>
        <v>168000</v>
      </c>
      <c r="F306" s="267">
        <f t="shared" si="28"/>
        <v>170637</v>
      </c>
      <c r="G306" s="262">
        <v>89736.25350010382</v>
      </c>
      <c r="H306" s="280">
        <v>91831.8</v>
      </c>
      <c r="I306" s="262">
        <v>60985.69656975798</v>
      </c>
      <c r="J306" s="280">
        <v>60270.3</v>
      </c>
      <c r="K306" s="298">
        <v>9325.634507797024</v>
      </c>
      <c r="L306" s="298"/>
      <c r="M306" s="298">
        <v>7952.415422341182</v>
      </c>
      <c r="N306" s="280">
        <v>12441.6</v>
      </c>
      <c r="O306" s="280">
        <v>0</v>
      </c>
      <c r="P306" s="280">
        <v>6093.3</v>
      </c>
      <c r="Q306" s="269"/>
      <c r="R306" s="271"/>
      <c r="S306" s="297">
        <f t="shared" si="26"/>
        <v>0</v>
      </c>
      <c r="T306" s="267">
        <f t="shared" si="27"/>
        <v>0</v>
      </c>
      <c r="U306" s="262"/>
      <c r="V306" s="255"/>
      <c r="W306" s="262"/>
      <c r="X306" s="255"/>
      <c r="Y306" s="298"/>
      <c r="Z306" s="298"/>
      <c r="AA306" s="298"/>
      <c r="AB306" s="252"/>
      <c r="AC306" s="252"/>
      <c r="AD306" s="252"/>
      <c r="AE306" s="269"/>
      <c r="AF306" s="294"/>
    </row>
    <row r="307" spans="1:32" s="299" customFormat="1" ht="12.75">
      <c r="A307" s="140" t="s">
        <v>34</v>
      </c>
      <c r="B307" s="140" t="s">
        <v>80</v>
      </c>
      <c r="C307" s="29">
        <v>198260</v>
      </c>
      <c r="D307" s="231">
        <v>8</v>
      </c>
      <c r="E307" s="278">
        <f t="shared" si="29"/>
        <v>398010</v>
      </c>
      <c r="F307" s="267">
        <f t="shared" si="28"/>
        <v>422825.4</v>
      </c>
      <c r="G307" s="262">
        <v>265505.029850045</v>
      </c>
      <c r="H307" s="280">
        <v>330332.7</v>
      </c>
      <c r="I307" s="262">
        <v>88493.50176342868</v>
      </c>
      <c r="J307" s="280">
        <v>33674.4</v>
      </c>
      <c r="K307" s="298">
        <v>38441.63430825766</v>
      </c>
      <c r="L307" s="298"/>
      <c r="M307" s="298">
        <v>5569.834078268659</v>
      </c>
      <c r="N307" s="280">
        <v>51377.7</v>
      </c>
      <c r="O307" s="280">
        <v>103.5</v>
      </c>
      <c r="P307" s="280">
        <v>7337.1</v>
      </c>
      <c r="Q307" s="269"/>
      <c r="R307" s="271"/>
      <c r="S307" s="297">
        <f t="shared" si="26"/>
        <v>0</v>
      </c>
      <c r="T307" s="267">
        <f t="shared" si="27"/>
        <v>0</v>
      </c>
      <c r="U307" s="262"/>
      <c r="V307" s="255"/>
      <c r="W307" s="262"/>
      <c r="X307" s="255"/>
      <c r="Y307" s="298"/>
      <c r="Z307" s="298"/>
      <c r="AA307" s="298"/>
      <c r="AB307" s="252"/>
      <c r="AC307" s="252"/>
      <c r="AD307" s="252"/>
      <c r="AE307" s="269"/>
      <c r="AF307" s="294"/>
    </row>
    <row r="308" spans="1:32" s="299" customFormat="1" ht="12.75">
      <c r="A308" s="140" t="s">
        <v>34</v>
      </c>
      <c r="B308" s="140" t="s">
        <v>72</v>
      </c>
      <c r="C308" s="29">
        <v>198534</v>
      </c>
      <c r="D308" s="231">
        <v>8</v>
      </c>
      <c r="E308" s="278">
        <f t="shared" si="29"/>
        <v>336240</v>
      </c>
      <c r="F308" s="267">
        <f t="shared" si="28"/>
        <v>351774.3</v>
      </c>
      <c r="G308" s="262">
        <v>227373.96943695698</v>
      </c>
      <c r="H308" s="280">
        <v>243267.3</v>
      </c>
      <c r="I308" s="262">
        <v>61234.82898226999</v>
      </c>
      <c r="J308" s="280">
        <v>55195.2</v>
      </c>
      <c r="K308" s="298">
        <v>45028.671699653125</v>
      </c>
      <c r="L308" s="298">
        <v>1002.3155317389577</v>
      </c>
      <c r="M308" s="298">
        <v>1600.2143493808996</v>
      </c>
      <c r="N308" s="280">
        <v>50298</v>
      </c>
      <c r="O308" s="280">
        <v>1014.3</v>
      </c>
      <c r="P308" s="280">
        <v>1999.5</v>
      </c>
      <c r="Q308" s="269"/>
      <c r="R308" s="271"/>
      <c r="S308" s="297">
        <f t="shared" si="26"/>
        <v>0</v>
      </c>
      <c r="T308" s="267">
        <f t="shared" si="27"/>
        <v>0</v>
      </c>
      <c r="U308" s="262"/>
      <c r="V308" s="255"/>
      <c r="W308" s="262"/>
      <c r="X308" s="255"/>
      <c r="Y308" s="298"/>
      <c r="Z308" s="298"/>
      <c r="AA308" s="298"/>
      <c r="AB308" s="252"/>
      <c r="AC308" s="252"/>
      <c r="AD308" s="252"/>
      <c r="AE308" s="269"/>
      <c r="AF308" s="294"/>
    </row>
    <row r="309" spans="1:32" s="299" customFormat="1" ht="12.75">
      <c r="A309" s="140" t="s">
        <v>34</v>
      </c>
      <c r="B309" s="140" t="s">
        <v>71</v>
      </c>
      <c r="C309" s="29">
        <v>198552</v>
      </c>
      <c r="D309" s="231">
        <v>8</v>
      </c>
      <c r="E309" s="278">
        <f t="shared" si="29"/>
        <v>212940.00000000003</v>
      </c>
      <c r="F309" s="267">
        <f t="shared" si="28"/>
        <v>233321.1</v>
      </c>
      <c r="G309" s="262">
        <v>140064.1529113006</v>
      </c>
      <c r="H309" s="280">
        <v>156840</v>
      </c>
      <c r="I309" s="262">
        <v>40305.258479956465</v>
      </c>
      <c r="J309" s="280">
        <v>40080.9</v>
      </c>
      <c r="K309" s="298">
        <v>29409.971714583706</v>
      </c>
      <c r="L309" s="298">
        <v>1100.512680255759</v>
      </c>
      <c r="M309" s="298">
        <v>2060.1042139035007</v>
      </c>
      <c r="N309" s="280">
        <v>23358.6</v>
      </c>
      <c r="O309" s="280">
        <v>1252.5</v>
      </c>
      <c r="P309" s="280">
        <v>11789.1</v>
      </c>
      <c r="Q309" s="269"/>
      <c r="R309" s="271"/>
      <c r="S309" s="297">
        <f t="shared" si="26"/>
        <v>0</v>
      </c>
      <c r="T309" s="267">
        <f t="shared" si="27"/>
        <v>0</v>
      </c>
      <c r="U309" s="262"/>
      <c r="V309" s="255"/>
      <c r="W309" s="262"/>
      <c r="X309" s="255"/>
      <c r="Y309" s="298"/>
      <c r="Z309" s="298"/>
      <c r="AA309" s="298"/>
      <c r="AB309" s="252"/>
      <c r="AC309" s="252"/>
      <c r="AD309" s="252"/>
      <c r="AE309" s="269"/>
      <c r="AF309" s="294"/>
    </row>
    <row r="310" spans="1:32" s="299" customFormat="1" ht="12.75">
      <c r="A310" s="140" t="s">
        <v>34</v>
      </c>
      <c r="B310" s="140" t="s">
        <v>69</v>
      </c>
      <c r="C310" s="29">
        <v>198622</v>
      </c>
      <c r="D310" s="231">
        <v>8</v>
      </c>
      <c r="E310" s="278">
        <f t="shared" si="29"/>
        <v>265170</v>
      </c>
      <c r="F310" s="267">
        <f t="shared" si="28"/>
        <v>288152.10000000003</v>
      </c>
      <c r="G310" s="262">
        <v>227679.70574717937</v>
      </c>
      <c r="H310" s="280">
        <v>253856.7</v>
      </c>
      <c r="I310" s="262">
        <v>19363.199564598897</v>
      </c>
      <c r="J310" s="280">
        <v>15463.2</v>
      </c>
      <c r="K310" s="298">
        <v>15424.890625629921</v>
      </c>
      <c r="L310" s="298">
        <v>166.15790777098826</v>
      </c>
      <c r="M310" s="298">
        <v>2536.0461548208004</v>
      </c>
      <c r="N310" s="280">
        <v>16550.1</v>
      </c>
      <c r="O310" s="280">
        <v>185.7</v>
      </c>
      <c r="P310" s="280">
        <v>2096.4</v>
      </c>
      <c r="Q310" s="269"/>
      <c r="R310" s="271"/>
      <c r="S310" s="297">
        <f t="shared" si="26"/>
        <v>0</v>
      </c>
      <c r="T310" s="267">
        <f t="shared" si="27"/>
        <v>0</v>
      </c>
      <c r="U310" s="262"/>
      <c r="V310" s="255"/>
      <c r="W310" s="262"/>
      <c r="X310" s="255"/>
      <c r="Y310" s="298"/>
      <c r="Z310" s="298"/>
      <c r="AA310" s="298"/>
      <c r="AB310" s="252"/>
      <c r="AC310" s="252"/>
      <c r="AD310" s="252"/>
      <c r="AE310" s="269"/>
      <c r="AF310" s="294"/>
    </row>
    <row r="311" spans="1:32" s="299" customFormat="1" ht="12.75">
      <c r="A311" s="140" t="s">
        <v>34</v>
      </c>
      <c r="B311" s="140" t="s">
        <v>54</v>
      </c>
      <c r="C311" s="29">
        <v>199333</v>
      </c>
      <c r="D311" s="231">
        <v>8</v>
      </c>
      <c r="E311" s="278">
        <f t="shared" si="29"/>
        <v>178680</v>
      </c>
      <c r="F311" s="267">
        <f t="shared" si="28"/>
        <v>187968.9</v>
      </c>
      <c r="G311" s="262">
        <v>132514.17524939336</v>
      </c>
      <c r="H311" s="280">
        <v>140191.2</v>
      </c>
      <c r="I311" s="262">
        <v>28016.9059719601</v>
      </c>
      <c r="J311" s="280">
        <v>26307.9</v>
      </c>
      <c r="K311" s="298">
        <v>18007.70665947695</v>
      </c>
      <c r="L311" s="298">
        <v>141.2121191695875</v>
      </c>
      <c r="M311" s="298">
        <v>0</v>
      </c>
      <c r="N311" s="280">
        <v>18720.9</v>
      </c>
      <c r="O311" s="280">
        <v>0</v>
      </c>
      <c r="P311" s="280">
        <v>2748.9</v>
      </c>
      <c r="Q311" s="269"/>
      <c r="R311" s="271"/>
      <c r="S311" s="297">
        <f t="shared" si="26"/>
        <v>0</v>
      </c>
      <c r="T311" s="267">
        <f t="shared" si="27"/>
        <v>0</v>
      </c>
      <c r="U311" s="262"/>
      <c r="V311" s="255"/>
      <c r="W311" s="262"/>
      <c r="X311" s="255"/>
      <c r="Y311" s="298"/>
      <c r="Z311" s="298"/>
      <c r="AA311" s="298"/>
      <c r="AB311" s="252"/>
      <c r="AC311" s="252"/>
      <c r="AD311" s="252"/>
      <c r="AE311" s="269"/>
      <c r="AF311" s="294"/>
    </row>
    <row r="312" spans="1:32" s="299" customFormat="1" ht="12.75">
      <c r="A312" s="140" t="s">
        <v>34</v>
      </c>
      <c r="B312" s="140" t="s">
        <v>38</v>
      </c>
      <c r="C312" s="29">
        <v>199856</v>
      </c>
      <c r="D312" s="231">
        <v>8</v>
      </c>
      <c r="E312" s="278">
        <f t="shared" si="29"/>
        <v>343500</v>
      </c>
      <c r="F312" s="267">
        <f t="shared" si="28"/>
        <v>367463.39999999997</v>
      </c>
      <c r="G312" s="262">
        <v>251052.17114926496</v>
      </c>
      <c r="H312" s="280">
        <v>264359.1</v>
      </c>
      <c r="I312" s="262">
        <v>69617.74601097831</v>
      </c>
      <c r="J312" s="280">
        <v>71971.2</v>
      </c>
      <c r="K312" s="298">
        <v>19505.13119821413</v>
      </c>
      <c r="L312" s="298">
        <v>0</v>
      </c>
      <c r="M312" s="298">
        <v>3324.9516415426046</v>
      </c>
      <c r="N312" s="280">
        <v>23538</v>
      </c>
      <c r="O312" s="280">
        <v>0</v>
      </c>
      <c r="P312" s="280">
        <v>7595.1</v>
      </c>
      <c r="Q312" s="269"/>
      <c r="R312" s="271"/>
      <c r="S312" s="297">
        <f t="shared" si="26"/>
        <v>0</v>
      </c>
      <c r="T312" s="267">
        <f t="shared" si="27"/>
        <v>0</v>
      </c>
      <c r="U312" s="262"/>
      <c r="V312" s="255"/>
      <c r="W312" s="262"/>
      <c r="X312" s="255"/>
      <c r="Y312" s="298"/>
      <c r="Z312" s="298"/>
      <c r="AA312" s="298"/>
      <c r="AB312" s="252"/>
      <c r="AC312" s="252"/>
      <c r="AD312" s="252"/>
      <c r="AE312" s="269"/>
      <c r="AF312" s="294"/>
    </row>
    <row r="313" spans="1:32" s="299" customFormat="1" ht="12.75">
      <c r="A313" s="140" t="s">
        <v>34</v>
      </c>
      <c r="B313" s="140" t="s">
        <v>90</v>
      </c>
      <c r="C313" s="29">
        <v>199786</v>
      </c>
      <c r="D313" s="231">
        <v>9</v>
      </c>
      <c r="E313" s="278">
        <f t="shared" si="29"/>
        <v>121530</v>
      </c>
      <c r="F313" s="267">
        <f t="shared" si="28"/>
        <v>131825.7</v>
      </c>
      <c r="G313" s="262">
        <v>98042.4409311979</v>
      </c>
      <c r="H313" s="280">
        <v>106311.3</v>
      </c>
      <c r="I313" s="262">
        <v>16481.661250319645</v>
      </c>
      <c r="J313" s="280">
        <v>17502</v>
      </c>
      <c r="K313" s="298">
        <v>6119.449593215374</v>
      </c>
      <c r="L313" s="298">
        <v>0</v>
      </c>
      <c r="M313" s="298">
        <v>886.4482252670728</v>
      </c>
      <c r="N313" s="280">
        <v>6351.9</v>
      </c>
      <c r="O313" s="280">
        <v>0</v>
      </c>
      <c r="P313" s="280">
        <v>1660.5</v>
      </c>
      <c r="Q313" s="269"/>
      <c r="R313" s="271"/>
      <c r="S313" s="297">
        <f t="shared" si="26"/>
        <v>0</v>
      </c>
      <c r="T313" s="267">
        <f t="shared" si="27"/>
        <v>0</v>
      </c>
      <c r="U313" s="262"/>
      <c r="V313" s="255"/>
      <c r="W313" s="262"/>
      <c r="X313" s="255"/>
      <c r="Y313" s="298"/>
      <c r="Z313" s="298"/>
      <c r="AA313" s="298"/>
      <c r="AB313" s="252"/>
      <c r="AC313" s="252"/>
      <c r="AD313" s="252"/>
      <c r="AE313" s="269"/>
      <c r="AF313" s="294"/>
    </row>
    <row r="314" spans="1:32" s="299" customFormat="1" ht="12.75">
      <c r="A314" s="140" t="s">
        <v>34</v>
      </c>
      <c r="B314" s="394" t="s">
        <v>88</v>
      </c>
      <c r="C314" s="29">
        <v>197996</v>
      </c>
      <c r="D314" s="231">
        <v>9</v>
      </c>
      <c r="E314" s="278">
        <f t="shared" si="29"/>
        <v>60810</v>
      </c>
      <c r="F314" s="267">
        <f t="shared" si="28"/>
        <v>64071.299999999996</v>
      </c>
      <c r="G314" s="262">
        <v>40990.45118066668</v>
      </c>
      <c r="H314" s="280">
        <v>43255.5</v>
      </c>
      <c r="I314" s="262">
        <v>15244.104592561574</v>
      </c>
      <c r="J314" s="280">
        <v>15918.6</v>
      </c>
      <c r="K314" s="298">
        <v>3040.6970345002915</v>
      </c>
      <c r="L314" s="298">
        <v>1367.1163020233591</v>
      </c>
      <c r="M314" s="298">
        <v>167.63089024809705</v>
      </c>
      <c r="N314" s="280">
        <v>3424.2</v>
      </c>
      <c r="O314" s="280">
        <v>945.9</v>
      </c>
      <c r="P314" s="280">
        <v>527.1</v>
      </c>
      <c r="Q314" s="269"/>
      <c r="R314" s="271"/>
      <c r="S314" s="297">
        <f t="shared" si="26"/>
        <v>0</v>
      </c>
      <c r="T314" s="267">
        <f t="shared" si="27"/>
        <v>0</v>
      </c>
      <c r="U314" s="262"/>
      <c r="V314" s="255"/>
      <c r="W314" s="262"/>
      <c r="X314" s="255"/>
      <c r="Y314" s="298"/>
      <c r="Z314" s="298"/>
      <c r="AA314" s="298"/>
      <c r="AB314" s="252"/>
      <c r="AC314" s="252"/>
      <c r="AD314" s="252"/>
      <c r="AE314" s="269"/>
      <c r="AF314" s="294"/>
    </row>
    <row r="315" spans="1:32" s="299" customFormat="1" ht="12.75">
      <c r="A315" s="140" t="s">
        <v>34</v>
      </c>
      <c r="B315" s="140" t="s">
        <v>86</v>
      </c>
      <c r="C315" s="29">
        <v>198039</v>
      </c>
      <c r="D315" s="231">
        <v>9</v>
      </c>
      <c r="E315" s="278">
        <f t="shared" si="29"/>
        <v>77790</v>
      </c>
      <c r="F315" s="267">
        <f t="shared" si="28"/>
        <v>83451.6</v>
      </c>
      <c r="G315" s="262">
        <v>61651.26893341287</v>
      </c>
      <c r="H315" s="280">
        <v>64392.3</v>
      </c>
      <c r="I315" s="262">
        <v>9642.659040668093</v>
      </c>
      <c r="J315" s="280">
        <v>11078.4</v>
      </c>
      <c r="K315" s="298">
        <v>4867.732201129865</v>
      </c>
      <c r="L315" s="298">
        <v>1148.54217107033</v>
      </c>
      <c r="M315" s="298">
        <v>479.79765371884395</v>
      </c>
      <c r="N315" s="280">
        <v>5662.5</v>
      </c>
      <c r="O315" s="280">
        <v>556.8</v>
      </c>
      <c r="P315" s="280">
        <v>1761.6</v>
      </c>
      <c r="Q315" s="269"/>
      <c r="R315" s="271"/>
      <c r="S315" s="297">
        <f t="shared" si="26"/>
        <v>0</v>
      </c>
      <c r="T315" s="267">
        <f t="shared" si="27"/>
        <v>0</v>
      </c>
      <c r="U315" s="262"/>
      <c r="V315" s="255"/>
      <c r="W315" s="262"/>
      <c r="X315" s="255"/>
      <c r="Y315" s="298"/>
      <c r="Z315" s="298"/>
      <c r="AA315" s="298"/>
      <c r="AB315" s="252"/>
      <c r="AC315" s="252"/>
      <c r="AD315" s="252"/>
      <c r="AE315" s="269"/>
      <c r="AF315" s="294"/>
    </row>
    <row r="316" spans="1:32" s="299" customFormat="1" ht="12.75">
      <c r="A316" s="140" t="s">
        <v>34</v>
      </c>
      <c r="B316" s="140" t="s">
        <v>409</v>
      </c>
      <c r="C316" s="29">
        <v>198118</v>
      </c>
      <c r="D316" s="231">
        <v>9</v>
      </c>
      <c r="E316" s="278">
        <f t="shared" si="29"/>
        <v>120389.99999999999</v>
      </c>
      <c r="F316" s="267">
        <f t="shared" si="28"/>
        <v>136061.09999999998</v>
      </c>
      <c r="G316" s="262">
        <v>81908.55901320584</v>
      </c>
      <c r="H316" s="280">
        <v>98137.2</v>
      </c>
      <c r="I316" s="262">
        <v>27016.07363593547</v>
      </c>
      <c r="J316" s="280">
        <v>25066.5</v>
      </c>
      <c r="K316" s="298">
        <v>4614.9727016068555</v>
      </c>
      <c r="L316" s="298">
        <v>1273.0849946981916</v>
      </c>
      <c r="M316" s="298">
        <v>5577.309654553635</v>
      </c>
      <c r="N316" s="280">
        <v>5514.9</v>
      </c>
      <c r="O316" s="280">
        <v>1210.2</v>
      </c>
      <c r="P316" s="280">
        <v>6132.3</v>
      </c>
      <c r="Q316" s="269"/>
      <c r="R316" s="271"/>
      <c r="S316" s="297">
        <f t="shared" si="26"/>
        <v>0</v>
      </c>
      <c r="T316" s="267">
        <f t="shared" si="27"/>
        <v>0</v>
      </c>
      <c r="U316" s="262"/>
      <c r="V316" s="255"/>
      <c r="W316" s="262"/>
      <c r="X316" s="255"/>
      <c r="Y316" s="298"/>
      <c r="Z316" s="298"/>
      <c r="AA316" s="298"/>
      <c r="AB316" s="252"/>
      <c r="AC316" s="252"/>
      <c r="AD316" s="252"/>
      <c r="AE316" s="269"/>
      <c r="AF316" s="294"/>
    </row>
    <row r="317" spans="1:32" s="299" customFormat="1" ht="15" customHeight="1">
      <c r="A317" s="140" t="s">
        <v>34</v>
      </c>
      <c r="B317" s="140" t="s">
        <v>79</v>
      </c>
      <c r="C317" s="29">
        <v>198321</v>
      </c>
      <c r="D317" s="277">
        <v>9</v>
      </c>
      <c r="E317" s="324">
        <f t="shared" si="29"/>
        <v>89580</v>
      </c>
      <c r="F317" s="325">
        <f t="shared" si="28"/>
        <v>96832.2</v>
      </c>
      <c r="G317" s="342">
        <v>69802.47664521486</v>
      </c>
      <c r="H317" s="343">
        <v>73906.8</v>
      </c>
      <c r="I317" s="342">
        <v>15393.816121665875</v>
      </c>
      <c r="J317" s="343">
        <v>14447.4</v>
      </c>
      <c r="K317" s="326">
        <v>4383.707233119262</v>
      </c>
      <c r="L317" s="326">
        <v>0</v>
      </c>
      <c r="M317" s="326">
        <v>0</v>
      </c>
      <c r="N317" s="343">
        <v>7657.2</v>
      </c>
      <c r="O317" s="343">
        <v>0</v>
      </c>
      <c r="P317" s="343">
        <v>820.8</v>
      </c>
      <c r="Q317" s="344"/>
      <c r="R317" s="292"/>
      <c r="S317" s="301">
        <f t="shared" si="26"/>
        <v>0</v>
      </c>
      <c r="T317" s="325">
        <f t="shared" si="27"/>
        <v>0</v>
      </c>
      <c r="U317" s="342"/>
      <c r="V317" s="345"/>
      <c r="W317" s="342"/>
      <c r="X317" s="345"/>
      <c r="Y317" s="326"/>
      <c r="Z317" s="326"/>
      <c r="AA317" s="326"/>
      <c r="AB317" s="282"/>
      <c r="AC317" s="282"/>
      <c r="AD317" s="282"/>
      <c r="AE317" s="344"/>
      <c r="AF317" s="292"/>
    </row>
    <row r="318" spans="1:32" s="299" customFormat="1" ht="15" customHeight="1">
      <c r="A318" s="140" t="s">
        <v>34</v>
      </c>
      <c r="B318" s="394" t="s">
        <v>78</v>
      </c>
      <c r="C318" s="29">
        <v>198330</v>
      </c>
      <c r="D318" s="231">
        <v>9</v>
      </c>
      <c r="E318" s="278">
        <f t="shared" si="29"/>
        <v>145440</v>
      </c>
      <c r="F318" s="267">
        <f t="shared" si="28"/>
        <v>152667.90000000002</v>
      </c>
      <c r="G318" s="262">
        <v>111606.20117298303</v>
      </c>
      <c r="H318" s="280">
        <v>114975.3</v>
      </c>
      <c r="I318" s="262">
        <v>23610.78121164236</v>
      </c>
      <c r="J318" s="280">
        <v>25562.4</v>
      </c>
      <c r="K318" s="329">
        <v>10059.499739039125</v>
      </c>
      <c r="L318" s="326">
        <v>67.20734733788966</v>
      </c>
      <c r="M318" s="330">
        <v>96.3105289976008</v>
      </c>
      <c r="N318" s="346">
        <v>11867.1</v>
      </c>
      <c r="O318" s="343">
        <v>75</v>
      </c>
      <c r="P318" s="347">
        <v>188.1</v>
      </c>
      <c r="Q318" s="269"/>
      <c r="R318" s="271"/>
      <c r="S318" s="297">
        <f t="shared" si="26"/>
        <v>0</v>
      </c>
      <c r="T318" s="267">
        <f t="shared" si="27"/>
        <v>0</v>
      </c>
      <c r="U318" s="262"/>
      <c r="V318" s="255"/>
      <c r="W318" s="262"/>
      <c r="X318" s="255"/>
      <c r="Y318" s="329"/>
      <c r="Z318" s="326"/>
      <c r="AA318" s="330"/>
      <c r="AB318" s="257"/>
      <c r="AC318" s="282"/>
      <c r="AD318" s="331"/>
      <c r="AE318" s="269"/>
      <c r="AF318" s="294"/>
    </row>
    <row r="319" spans="1:32" s="299" customFormat="1" ht="15" customHeight="1">
      <c r="A319" s="140" t="s">
        <v>34</v>
      </c>
      <c r="B319" s="140" t="s">
        <v>77</v>
      </c>
      <c r="C319" s="29">
        <v>197814</v>
      </c>
      <c r="D319" s="231">
        <v>9</v>
      </c>
      <c r="E319" s="278">
        <f t="shared" si="29"/>
        <v>69870</v>
      </c>
      <c r="F319" s="267">
        <f t="shared" si="28"/>
        <v>70715.09999999999</v>
      </c>
      <c r="G319" s="262">
        <v>39199.38322389764</v>
      </c>
      <c r="H319" s="280">
        <v>43652.7</v>
      </c>
      <c r="I319" s="262">
        <v>17053.906205393057</v>
      </c>
      <c r="J319" s="280">
        <v>14814.6</v>
      </c>
      <c r="K319" s="298">
        <v>12432.293997041343</v>
      </c>
      <c r="L319" s="298">
        <v>1039.046741584698</v>
      </c>
      <c r="M319" s="298">
        <v>145.36983208325762</v>
      </c>
      <c r="N319" s="280">
        <v>10487.1</v>
      </c>
      <c r="O319" s="280">
        <v>1155.9</v>
      </c>
      <c r="P319" s="280">
        <v>604.8</v>
      </c>
      <c r="Q319" s="269"/>
      <c r="R319" s="271"/>
      <c r="S319" s="297">
        <f t="shared" si="26"/>
        <v>0</v>
      </c>
      <c r="T319" s="267">
        <f t="shared" si="27"/>
        <v>0</v>
      </c>
      <c r="U319" s="262"/>
      <c r="V319" s="255"/>
      <c r="W319" s="262"/>
      <c r="X319" s="255"/>
      <c r="Y319" s="298"/>
      <c r="Z319" s="298"/>
      <c r="AA319" s="298"/>
      <c r="AB319" s="252"/>
      <c r="AC319" s="252"/>
      <c r="AD319" s="252"/>
      <c r="AE319" s="269"/>
      <c r="AF319" s="294"/>
    </row>
    <row r="320" spans="1:32" s="299" customFormat="1" ht="15" customHeight="1">
      <c r="A320" s="140" t="s">
        <v>34</v>
      </c>
      <c r="B320" s="140" t="s">
        <v>76</v>
      </c>
      <c r="C320" s="29">
        <v>198367</v>
      </c>
      <c r="D320" s="231">
        <v>9</v>
      </c>
      <c r="E320" s="278">
        <f t="shared" si="29"/>
        <v>94380.00000000001</v>
      </c>
      <c r="F320" s="267">
        <f t="shared" si="28"/>
        <v>102177.6</v>
      </c>
      <c r="G320" s="262">
        <v>60364.722686138186</v>
      </c>
      <c r="H320" s="280">
        <v>69045.6</v>
      </c>
      <c r="I320" s="262">
        <v>22209.68229308269</v>
      </c>
      <c r="J320" s="280">
        <v>18347.7</v>
      </c>
      <c r="K320" s="298">
        <v>10083.035693478852</v>
      </c>
      <c r="L320" s="298">
        <v>0</v>
      </c>
      <c r="M320" s="298">
        <v>1722.559327300268</v>
      </c>
      <c r="N320" s="280">
        <v>12858.6</v>
      </c>
      <c r="O320" s="280">
        <v>0</v>
      </c>
      <c r="P320" s="280">
        <v>1925.7</v>
      </c>
      <c r="Q320" s="269"/>
      <c r="R320" s="271"/>
      <c r="S320" s="297">
        <f t="shared" si="26"/>
        <v>0</v>
      </c>
      <c r="T320" s="267">
        <f t="shared" si="27"/>
        <v>0</v>
      </c>
      <c r="U320" s="262"/>
      <c r="V320" s="255"/>
      <c r="W320" s="262"/>
      <c r="X320" s="255"/>
      <c r="Y320" s="298"/>
      <c r="Z320" s="298"/>
      <c r="AA320" s="298"/>
      <c r="AB320" s="252"/>
      <c r="AC320" s="252"/>
      <c r="AD320" s="252"/>
      <c r="AE320" s="269"/>
      <c r="AF320" s="294"/>
    </row>
    <row r="321" spans="1:32" s="299" customFormat="1" ht="15" customHeight="1">
      <c r="A321" s="140" t="s">
        <v>34</v>
      </c>
      <c r="B321" s="140" t="s">
        <v>75</v>
      </c>
      <c r="C321" s="29">
        <v>198376</v>
      </c>
      <c r="D321" s="231">
        <v>9</v>
      </c>
      <c r="E321" s="278">
        <f t="shared" si="29"/>
        <v>114570.00000000001</v>
      </c>
      <c r="F321" s="267">
        <f t="shared" si="28"/>
        <v>119265</v>
      </c>
      <c r="G321" s="262">
        <v>93217.73868694363</v>
      </c>
      <c r="H321" s="280">
        <v>96588</v>
      </c>
      <c r="I321" s="262">
        <v>12920.086583298007</v>
      </c>
      <c r="J321" s="280">
        <v>12593.4</v>
      </c>
      <c r="K321" s="298">
        <v>7082.917496820686</v>
      </c>
      <c r="L321" s="298">
        <v>0</v>
      </c>
      <c r="M321" s="298">
        <v>1349.2572329376856</v>
      </c>
      <c r="N321" s="280">
        <v>8192.1</v>
      </c>
      <c r="O321" s="280">
        <v>59.1</v>
      </c>
      <c r="P321" s="280">
        <v>1832.4</v>
      </c>
      <c r="Q321" s="269"/>
      <c r="R321" s="271"/>
      <c r="S321" s="297">
        <f t="shared" si="26"/>
        <v>0</v>
      </c>
      <c r="T321" s="267">
        <f t="shared" si="27"/>
        <v>0</v>
      </c>
      <c r="U321" s="262"/>
      <c r="V321" s="255"/>
      <c r="W321" s="262"/>
      <c r="X321" s="255"/>
      <c r="Y321" s="298"/>
      <c r="Z321" s="298"/>
      <c r="AA321" s="298"/>
      <c r="AB321" s="252"/>
      <c r="AC321" s="252"/>
      <c r="AD321" s="252"/>
      <c r="AE321" s="269"/>
      <c r="AF321" s="294"/>
    </row>
    <row r="322" spans="1:32" s="299" customFormat="1" ht="15" customHeight="1">
      <c r="A322" s="140" t="s">
        <v>34</v>
      </c>
      <c r="B322" s="394" t="s">
        <v>74</v>
      </c>
      <c r="C322" s="29">
        <v>198455</v>
      </c>
      <c r="D322" s="157">
        <v>9</v>
      </c>
      <c r="E322" s="233">
        <f t="shared" si="29"/>
        <v>153600</v>
      </c>
      <c r="F322" s="151">
        <f t="shared" si="28"/>
        <v>166211.69999999998</v>
      </c>
      <c r="G322" s="149">
        <v>126111.0526924657</v>
      </c>
      <c r="H322" s="281">
        <v>133848.9</v>
      </c>
      <c r="I322" s="149">
        <v>16535.156633330807</v>
      </c>
      <c r="J322" s="281">
        <v>24267.6</v>
      </c>
      <c r="K322" s="302">
        <v>7625.7426769479935</v>
      </c>
      <c r="L322" s="302">
        <v>0</v>
      </c>
      <c r="M322" s="302">
        <v>3328.047997255476</v>
      </c>
      <c r="N322" s="281">
        <v>6009.3</v>
      </c>
      <c r="O322" s="281">
        <v>0</v>
      </c>
      <c r="P322" s="281">
        <v>2085.9</v>
      </c>
      <c r="Q322" s="152"/>
      <c r="R322" s="153"/>
      <c r="S322" s="303">
        <f t="shared" si="26"/>
        <v>0</v>
      </c>
      <c r="T322" s="151">
        <f t="shared" si="27"/>
        <v>0</v>
      </c>
      <c r="U322" s="149"/>
      <c r="V322" s="147"/>
      <c r="W322" s="149"/>
      <c r="X322" s="147"/>
      <c r="Y322" s="302"/>
      <c r="Z322" s="302"/>
      <c r="AA322" s="302"/>
      <c r="AB322" s="146"/>
      <c r="AC322" s="146"/>
      <c r="AD322" s="146"/>
      <c r="AE322" s="152"/>
      <c r="AF322" s="175"/>
    </row>
    <row r="323" spans="1:32" s="299" customFormat="1" ht="15" customHeight="1">
      <c r="A323" s="140" t="s">
        <v>34</v>
      </c>
      <c r="B323" s="140" t="s">
        <v>73</v>
      </c>
      <c r="C323" s="29">
        <v>198491</v>
      </c>
      <c r="D323" s="157">
        <v>9</v>
      </c>
      <c r="E323" s="233">
        <f t="shared" si="29"/>
        <v>84000</v>
      </c>
      <c r="F323" s="151">
        <f t="shared" si="28"/>
        <v>85399.50000000001</v>
      </c>
      <c r="G323" s="149">
        <v>57280.04904511722</v>
      </c>
      <c r="H323" s="281">
        <v>57605.4</v>
      </c>
      <c r="I323" s="149">
        <v>23207.65046799592</v>
      </c>
      <c r="J323" s="281">
        <v>23488.2</v>
      </c>
      <c r="K323" s="302">
        <v>2824.5710334405007</v>
      </c>
      <c r="L323" s="302">
        <v>336.8287484227861</v>
      </c>
      <c r="M323" s="302">
        <v>350.9007050235602</v>
      </c>
      <c r="N323" s="281">
        <v>3024.6</v>
      </c>
      <c r="O323" s="281">
        <v>345</v>
      </c>
      <c r="P323" s="281">
        <v>936.3</v>
      </c>
      <c r="Q323" s="152"/>
      <c r="R323" s="153"/>
      <c r="S323" s="303">
        <f t="shared" si="26"/>
        <v>0</v>
      </c>
      <c r="T323" s="151">
        <f t="shared" si="27"/>
        <v>0</v>
      </c>
      <c r="U323" s="149"/>
      <c r="V323" s="147"/>
      <c r="W323" s="149"/>
      <c r="X323" s="147"/>
      <c r="Y323" s="302"/>
      <c r="Z323" s="302"/>
      <c r="AA323" s="302"/>
      <c r="AB323" s="146"/>
      <c r="AC323" s="146"/>
      <c r="AD323" s="146"/>
      <c r="AE323" s="152"/>
      <c r="AF323" s="175"/>
    </row>
    <row r="324" spans="1:32" s="299" customFormat="1" ht="15" customHeight="1">
      <c r="A324" s="140" t="s">
        <v>34</v>
      </c>
      <c r="B324" s="394" t="s">
        <v>70</v>
      </c>
      <c r="C324" s="29">
        <v>198570</v>
      </c>
      <c r="D324" s="157">
        <v>9</v>
      </c>
      <c r="E324" s="233">
        <f t="shared" si="29"/>
        <v>149280</v>
      </c>
      <c r="F324" s="151">
        <f t="shared" si="28"/>
        <v>158371.80000000002</v>
      </c>
      <c r="G324" s="149">
        <v>105733.36323169003</v>
      </c>
      <c r="H324" s="281">
        <v>113322</v>
      </c>
      <c r="I324" s="149">
        <v>31429.03852886748</v>
      </c>
      <c r="J324" s="281">
        <v>29666.7</v>
      </c>
      <c r="K324" s="302">
        <v>6763.592804388057</v>
      </c>
      <c r="L324" s="302">
        <v>650.5069938813958</v>
      </c>
      <c r="M324" s="302">
        <v>4703.498441173038</v>
      </c>
      <c r="N324" s="281">
        <v>7429.2</v>
      </c>
      <c r="O324" s="281">
        <v>531.6</v>
      </c>
      <c r="P324" s="281">
        <v>7422.3</v>
      </c>
      <c r="Q324" s="152"/>
      <c r="R324" s="153"/>
      <c r="S324" s="303">
        <f t="shared" si="26"/>
        <v>0</v>
      </c>
      <c r="T324" s="151">
        <f t="shared" si="27"/>
        <v>0</v>
      </c>
      <c r="U324" s="149"/>
      <c r="V324" s="147"/>
      <c r="W324" s="149"/>
      <c r="X324" s="147"/>
      <c r="Y324" s="302"/>
      <c r="Z324" s="302"/>
      <c r="AA324" s="302"/>
      <c r="AB324" s="146"/>
      <c r="AC324" s="146"/>
      <c r="AD324" s="146"/>
      <c r="AE324" s="152"/>
      <c r="AF324" s="175"/>
    </row>
    <row r="325" spans="1:32" s="299" customFormat="1" ht="15" customHeight="1">
      <c r="A325" s="140" t="s">
        <v>34</v>
      </c>
      <c r="B325" s="394" t="s">
        <v>67</v>
      </c>
      <c r="C325" s="29">
        <v>198668</v>
      </c>
      <c r="D325" s="157">
        <v>9</v>
      </c>
      <c r="E325" s="233">
        <f t="shared" si="29"/>
        <v>60720</v>
      </c>
      <c r="F325" s="151">
        <f t="shared" si="28"/>
        <v>62306.700000000004</v>
      </c>
      <c r="G325" s="149">
        <v>50270.75004870446</v>
      </c>
      <c r="H325" s="281">
        <v>51126.3</v>
      </c>
      <c r="I325" s="149">
        <v>4229.140553582401</v>
      </c>
      <c r="J325" s="281">
        <v>5831.4</v>
      </c>
      <c r="K325" s="302">
        <v>5577.381947878734</v>
      </c>
      <c r="L325" s="302">
        <v>0</v>
      </c>
      <c r="M325" s="302">
        <v>642.7274498344049</v>
      </c>
      <c r="N325" s="281">
        <v>5258.1</v>
      </c>
      <c r="O325" s="281">
        <v>0</v>
      </c>
      <c r="P325" s="281">
        <v>90.9</v>
      </c>
      <c r="Q325" s="152"/>
      <c r="R325" s="153"/>
      <c r="S325" s="303">
        <f t="shared" si="26"/>
        <v>0</v>
      </c>
      <c r="T325" s="151">
        <f t="shared" si="27"/>
        <v>0</v>
      </c>
      <c r="U325" s="149"/>
      <c r="V325" s="147"/>
      <c r="W325" s="149"/>
      <c r="X325" s="147"/>
      <c r="Y325" s="302"/>
      <c r="Z325" s="302"/>
      <c r="AA325" s="302"/>
      <c r="AB325" s="146"/>
      <c r="AC325" s="146"/>
      <c r="AD325" s="146"/>
      <c r="AE325" s="152"/>
      <c r="AF325" s="175"/>
    </row>
    <row r="326" spans="1:32" s="299" customFormat="1" ht="15" customHeight="1">
      <c r="A326" s="140" t="s">
        <v>34</v>
      </c>
      <c r="B326" s="140" t="s">
        <v>66</v>
      </c>
      <c r="C326" s="29">
        <v>198710</v>
      </c>
      <c r="D326" s="157">
        <v>9</v>
      </c>
      <c r="E326" s="233">
        <f t="shared" si="29"/>
        <v>74550</v>
      </c>
      <c r="F326" s="151">
        <f t="shared" si="28"/>
        <v>75304.5</v>
      </c>
      <c r="G326" s="149">
        <v>64707.99104124407</v>
      </c>
      <c r="H326" s="281">
        <v>64760.4</v>
      </c>
      <c r="I326" s="149">
        <v>7009.389790398918</v>
      </c>
      <c r="J326" s="281">
        <v>7243.5</v>
      </c>
      <c r="K326" s="302">
        <v>2804.415990534145</v>
      </c>
      <c r="L326" s="302">
        <v>0</v>
      </c>
      <c r="M326" s="302">
        <v>28.20317782285328</v>
      </c>
      <c r="N326" s="281">
        <v>3300.6</v>
      </c>
      <c r="O326" s="281">
        <v>0</v>
      </c>
      <c r="P326" s="281">
        <v>0</v>
      </c>
      <c r="Q326" s="152"/>
      <c r="R326" s="153"/>
      <c r="S326" s="303">
        <f t="shared" si="26"/>
        <v>0</v>
      </c>
      <c r="T326" s="151">
        <f t="shared" si="27"/>
        <v>0</v>
      </c>
      <c r="U326" s="149"/>
      <c r="V326" s="147"/>
      <c r="W326" s="149"/>
      <c r="X326" s="147"/>
      <c r="Y326" s="302"/>
      <c r="Z326" s="302"/>
      <c r="AA326" s="302"/>
      <c r="AB326" s="146"/>
      <c r="AC326" s="146"/>
      <c r="AD326" s="146"/>
      <c r="AE326" s="152"/>
      <c r="AF326" s="175"/>
    </row>
    <row r="327" spans="1:32" s="299" customFormat="1" ht="15" customHeight="1">
      <c r="A327" s="140" t="s">
        <v>34</v>
      </c>
      <c r="B327" s="140" t="s">
        <v>64</v>
      </c>
      <c r="C327" s="29">
        <v>198774</v>
      </c>
      <c r="D327" s="157">
        <v>9</v>
      </c>
      <c r="E327" s="233">
        <f t="shared" si="29"/>
        <v>119759.99999999999</v>
      </c>
      <c r="F327" s="151">
        <f t="shared" si="28"/>
        <v>130037.99999999999</v>
      </c>
      <c r="G327" s="149">
        <v>74320.38148924014</v>
      </c>
      <c r="H327" s="281">
        <v>82901.7</v>
      </c>
      <c r="I327" s="149">
        <v>39480.27941344506</v>
      </c>
      <c r="J327" s="281">
        <v>39449.1</v>
      </c>
      <c r="K327" s="302">
        <v>4155.450771281661</v>
      </c>
      <c r="L327" s="302">
        <v>685.1248143210818</v>
      </c>
      <c r="M327" s="302">
        <v>1118.7635117120549</v>
      </c>
      <c r="N327" s="281">
        <v>5750.4</v>
      </c>
      <c r="O327" s="281">
        <v>794.1</v>
      </c>
      <c r="P327" s="281">
        <v>1142.7</v>
      </c>
      <c r="Q327" s="152"/>
      <c r="R327" s="153"/>
      <c r="S327" s="303">
        <f t="shared" si="26"/>
        <v>0</v>
      </c>
      <c r="T327" s="151">
        <f t="shared" si="27"/>
        <v>0</v>
      </c>
      <c r="U327" s="149"/>
      <c r="V327" s="147"/>
      <c r="W327" s="149"/>
      <c r="X327" s="147"/>
      <c r="Y327" s="302"/>
      <c r="Z327" s="302"/>
      <c r="AA327" s="302"/>
      <c r="AB327" s="146"/>
      <c r="AC327" s="146"/>
      <c r="AD327" s="146"/>
      <c r="AE327" s="152"/>
      <c r="AF327" s="175"/>
    </row>
    <row r="328" spans="1:32" s="299" customFormat="1" ht="15" customHeight="1">
      <c r="A328" s="140" t="s">
        <v>34</v>
      </c>
      <c r="B328" s="140" t="s">
        <v>63</v>
      </c>
      <c r="C328" s="29">
        <v>198817</v>
      </c>
      <c r="D328" s="157">
        <v>9</v>
      </c>
      <c r="E328" s="233">
        <f t="shared" si="29"/>
        <v>99420</v>
      </c>
      <c r="F328" s="151">
        <f t="shared" si="28"/>
        <v>109287.6</v>
      </c>
      <c r="G328" s="149">
        <v>68850.88540684554</v>
      </c>
      <c r="H328" s="281">
        <v>78542.1</v>
      </c>
      <c r="I328" s="149">
        <v>24459.04111338877</v>
      </c>
      <c r="J328" s="281">
        <v>22077.6</v>
      </c>
      <c r="K328" s="302">
        <v>4764.508725722176</v>
      </c>
      <c r="L328" s="302">
        <v>63.19618732474041</v>
      </c>
      <c r="M328" s="302">
        <v>1282.3685667187756</v>
      </c>
      <c r="N328" s="281">
        <v>7354.5</v>
      </c>
      <c r="O328" s="281">
        <v>221.4</v>
      </c>
      <c r="P328" s="281">
        <v>1092</v>
      </c>
      <c r="Q328" s="152"/>
      <c r="R328" s="153"/>
      <c r="S328" s="303">
        <f t="shared" si="26"/>
        <v>0</v>
      </c>
      <c r="T328" s="151">
        <f t="shared" si="27"/>
        <v>0</v>
      </c>
      <c r="U328" s="149"/>
      <c r="V328" s="147"/>
      <c r="W328" s="149"/>
      <c r="X328" s="147"/>
      <c r="Y328" s="302"/>
      <c r="Z328" s="302"/>
      <c r="AA328" s="302"/>
      <c r="AB328" s="146"/>
      <c r="AC328" s="146"/>
      <c r="AD328" s="146"/>
      <c r="AE328" s="152"/>
      <c r="AF328" s="175"/>
    </row>
    <row r="329" spans="1:32" s="299" customFormat="1" ht="15" customHeight="1">
      <c r="A329" s="140" t="s">
        <v>34</v>
      </c>
      <c r="B329" s="140" t="s">
        <v>59</v>
      </c>
      <c r="C329" s="29">
        <v>198987</v>
      </c>
      <c r="D329" s="157">
        <v>9</v>
      </c>
      <c r="E329" s="233">
        <f t="shared" si="29"/>
        <v>73980</v>
      </c>
      <c r="F329" s="151">
        <f t="shared" si="28"/>
        <v>75687.3</v>
      </c>
      <c r="G329" s="149">
        <v>59265.15268583567</v>
      </c>
      <c r="H329" s="281">
        <v>54638.1</v>
      </c>
      <c r="I329" s="149">
        <v>12438.913342224636</v>
      </c>
      <c r="J329" s="281">
        <v>17710.2</v>
      </c>
      <c r="K329" s="302">
        <v>2275.933971939696</v>
      </c>
      <c r="L329" s="302">
        <v>0</v>
      </c>
      <c r="M329" s="302">
        <v>0</v>
      </c>
      <c r="N329" s="281">
        <v>2500.8</v>
      </c>
      <c r="O329" s="281">
        <v>0</v>
      </c>
      <c r="P329" s="281">
        <v>838.2</v>
      </c>
      <c r="Q329" s="152"/>
      <c r="R329" s="153"/>
      <c r="S329" s="303">
        <f aca="true" t="shared" si="30" ref="S329:S390">SUM(U329,W329,Y329,Z329,AA329,AE329)</f>
        <v>0</v>
      </c>
      <c r="T329" s="151">
        <f aca="true" t="shared" si="31" ref="T329:T390">SUM(V329,X329,AB329,AC329,AD329,AF329)</f>
        <v>0</v>
      </c>
      <c r="U329" s="149"/>
      <c r="V329" s="147"/>
      <c r="W329" s="149"/>
      <c r="X329" s="147"/>
      <c r="Y329" s="302"/>
      <c r="Z329" s="302"/>
      <c r="AA329" s="302"/>
      <c r="AB329" s="146"/>
      <c r="AC329" s="146"/>
      <c r="AD329" s="146"/>
      <c r="AE329" s="152"/>
      <c r="AF329" s="175"/>
    </row>
    <row r="330" spans="1:32" s="299" customFormat="1" ht="15" customHeight="1">
      <c r="A330" s="140" t="s">
        <v>34</v>
      </c>
      <c r="B330" s="140" t="s">
        <v>57</v>
      </c>
      <c r="C330" s="29">
        <v>199087</v>
      </c>
      <c r="D330" s="157">
        <v>9</v>
      </c>
      <c r="E330" s="233">
        <f t="shared" si="29"/>
        <v>75690</v>
      </c>
      <c r="F330" s="151">
        <f t="shared" si="28"/>
        <v>75845.70000000001</v>
      </c>
      <c r="G330" s="149">
        <v>60383.20203283631</v>
      </c>
      <c r="H330" s="281">
        <v>53866.8</v>
      </c>
      <c r="I330" s="149">
        <v>10634.988695504639</v>
      </c>
      <c r="J330" s="281">
        <v>18080.4</v>
      </c>
      <c r="K330" s="302">
        <v>4563.697339399225</v>
      </c>
      <c r="L330" s="302">
        <v>0</v>
      </c>
      <c r="M330" s="302">
        <v>108.11193225983374</v>
      </c>
      <c r="N330" s="281">
        <v>3730.5</v>
      </c>
      <c r="O330" s="281">
        <v>0</v>
      </c>
      <c r="P330" s="281">
        <v>168</v>
      </c>
      <c r="Q330" s="152"/>
      <c r="R330" s="153"/>
      <c r="S330" s="303">
        <f t="shared" si="30"/>
        <v>0</v>
      </c>
      <c r="T330" s="151">
        <f t="shared" si="31"/>
        <v>0</v>
      </c>
      <c r="U330" s="149"/>
      <c r="V330" s="147"/>
      <c r="W330" s="149"/>
      <c r="X330" s="147"/>
      <c r="Y330" s="302"/>
      <c r="Z330" s="302"/>
      <c r="AA330" s="302"/>
      <c r="AB330" s="146"/>
      <c r="AC330" s="146"/>
      <c r="AD330" s="146"/>
      <c r="AE330" s="152"/>
      <c r="AF330" s="175"/>
    </row>
    <row r="331" spans="1:32" s="299" customFormat="1" ht="15" customHeight="1">
      <c r="A331" s="140" t="s">
        <v>34</v>
      </c>
      <c r="B331" s="140" t="s">
        <v>55</v>
      </c>
      <c r="C331" s="29">
        <v>199324</v>
      </c>
      <c r="D331" s="157">
        <v>9</v>
      </c>
      <c r="E331" s="233">
        <f t="shared" si="29"/>
        <v>76050</v>
      </c>
      <c r="F331" s="151">
        <f t="shared" si="28"/>
        <v>81063</v>
      </c>
      <c r="G331" s="149">
        <v>41586.04301698229</v>
      </c>
      <c r="H331" s="281">
        <v>45256.5</v>
      </c>
      <c r="I331" s="149">
        <v>22272.238114205014</v>
      </c>
      <c r="J331" s="281">
        <v>22560.9</v>
      </c>
      <c r="K331" s="302">
        <v>8566.88090668791</v>
      </c>
      <c r="L331" s="302">
        <v>2316.8121084839045</v>
      </c>
      <c r="M331" s="302">
        <v>1308.0258536408733</v>
      </c>
      <c r="N331" s="281">
        <v>10165.8</v>
      </c>
      <c r="O331" s="281">
        <v>2697.3</v>
      </c>
      <c r="P331" s="281">
        <v>382.5</v>
      </c>
      <c r="Q331" s="152"/>
      <c r="R331" s="153"/>
      <c r="S331" s="303">
        <f t="shared" si="30"/>
        <v>0</v>
      </c>
      <c r="T331" s="151">
        <f t="shared" si="31"/>
        <v>0</v>
      </c>
      <c r="U331" s="149"/>
      <c r="V331" s="147"/>
      <c r="W331" s="149"/>
      <c r="X331" s="147"/>
      <c r="Y331" s="302"/>
      <c r="Z331" s="302"/>
      <c r="AA331" s="302"/>
      <c r="AB331" s="146"/>
      <c r="AC331" s="146"/>
      <c r="AD331" s="146"/>
      <c r="AE331" s="152"/>
      <c r="AF331" s="175"/>
    </row>
    <row r="332" spans="1:32" s="299" customFormat="1" ht="15" customHeight="1">
      <c r="A332" s="140" t="s">
        <v>34</v>
      </c>
      <c r="B332" s="140" t="s">
        <v>53</v>
      </c>
      <c r="C332" s="29">
        <v>199421</v>
      </c>
      <c r="D332" s="157">
        <v>9</v>
      </c>
      <c r="E332" s="233">
        <f t="shared" si="29"/>
        <v>85350</v>
      </c>
      <c r="F332" s="151">
        <f t="shared" si="28"/>
        <v>91861.5</v>
      </c>
      <c r="G332" s="149">
        <v>61630.8546406104</v>
      </c>
      <c r="H332" s="281">
        <v>68679</v>
      </c>
      <c r="I332" s="149">
        <v>12462.071578353805</v>
      </c>
      <c r="J332" s="281">
        <v>11961.9</v>
      </c>
      <c r="K332" s="302">
        <v>10956.275529084212</v>
      </c>
      <c r="L332" s="302">
        <v>0</v>
      </c>
      <c r="M332" s="302">
        <v>300.7982519515763</v>
      </c>
      <c r="N332" s="281">
        <v>10460.1</v>
      </c>
      <c r="O332" s="281">
        <v>0</v>
      </c>
      <c r="P332" s="281">
        <v>760.5</v>
      </c>
      <c r="Q332" s="152"/>
      <c r="R332" s="153"/>
      <c r="S332" s="303">
        <f t="shared" si="30"/>
        <v>0</v>
      </c>
      <c r="T332" s="151">
        <f t="shared" si="31"/>
        <v>0</v>
      </c>
      <c r="U332" s="149"/>
      <c r="V332" s="147"/>
      <c r="W332" s="149"/>
      <c r="X332" s="147"/>
      <c r="Y332" s="302"/>
      <c r="Z332" s="302"/>
      <c r="AA332" s="302"/>
      <c r="AB332" s="146"/>
      <c r="AC332" s="146"/>
      <c r="AD332" s="146"/>
      <c r="AE332" s="152"/>
      <c r="AF332" s="175"/>
    </row>
    <row r="333" spans="1:32" s="299" customFormat="1" ht="15" customHeight="1">
      <c r="A333" s="140" t="s">
        <v>34</v>
      </c>
      <c r="B333" s="394" t="s">
        <v>52</v>
      </c>
      <c r="C333" s="29">
        <v>199449</v>
      </c>
      <c r="D333" s="157">
        <v>9</v>
      </c>
      <c r="E333" s="233">
        <f t="shared" si="29"/>
        <v>64859.99999999999</v>
      </c>
      <c r="F333" s="151">
        <f t="shared" si="28"/>
        <v>59121.3</v>
      </c>
      <c r="G333" s="149">
        <v>45216.67530814513</v>
      </c>
      <c r="H333" s="281">
        <v>43369.8</v>
      </c>
      <c r="I333" s="149">
        <v>16953.901019195313</v>
      </c>
      <c r="J333" s="281">
        <v>12867.9</v>
      </c>
      <c r="K333" s="302">
        <v>1914.556430102294</v>
      </c>
      <c r="L333" s="302">
        <v>0</v>
      </c>
      <c r="M333" s="302">
        <v>774.8672425572537</v>
      </c>
      <c r="N333" s="281">
        <v>1616.1</v>
      </c>
      <c r="O333" s="281">
        <v>0</v>
      </c>
      <c r="P333" s="281">
        <v>1267.5</v>
      </c>
      <c r="Q333" s="152"/>
      <c r="R333" s="153"/>
      <c r="S333" s="303">
        <f t="shared" si="30"/>
        <v>0</v>
      </c>
      <c r="T333" s="151">
        <f t="shared" si="31"/>
        <v>0</v>
      </c>
      <c r="U333" s="149"/>
      <c r="V333" s="147"/>
      <c r="W333" s="149"/>
      <c r="X333" s="147"/>
      <c r="Y333" s="302"/>
      <c r="Z333" s="302"/>
      <c r="AA333" s="302"/>
      <c r="AB333" s="146"/>
      <c r="AC333" s="146"/>
      <c r="AD333" s="146"/>
      <c r="AE333" s="152"/>
      <c r="AF333" s="175"/>
    </row>
    <row r="334" spans="1:32" s="299" customFormat="1" ht="15" customHeight="1">
      <c r="A334" s="140" t="s">
        <v>34</v>
      </c>
      <c r="B334" s="140" t="s">
        <v>50</v>
      </c>
      <c r="C334" s="29">
        <v>199476</v>
      </c>
      <c r="D334" s="157">
        <v>9</v>
      </c>
      <c r="E334" s="233">
        <f t="shared" si="29"/>
        <v>108540</v>
      </c>
      <c r="F334" s="151">
        <f t="shared" si="28"/>
        <v>117484.2</v>
      </c>
      <c r="G334" s="149">
        <v>69066.96013380734</v>
      </c>
      <c r="H334" s="281">
        <v>77756.4</v>
      </c>
      <c r="I334" s="149">
        <v>38236.689483097434</v>
      </c>
      <c r="J334" s="281">
        <v>36489</v>
      </c>
      <c r="K334" s="302">
        <v>1209.0889619996026</v>
      </c>
      <c r="L334" s="302">
        <v>0</v>
      </c>
      <c r="M334" s="302">
        <v>27.261421095630286</v>
      </c>
      <c r="N334" s="281">
        <v>3074.7</v>
      </c>
      <c r="O334" s="281">
        <v>81.6</v>
      </c>
      <c r="P334" s="281">
        <v>82.5</v>
      </c>
      <c r="Q334" s="152"/>
      <c r="R334" s="153"/>
      <c r="S334" s="303">
        <f t="shared" si="30"/>
        <v>0</v>
      </c>
      <c r="T334" s="151">
        <f t="shared" si="31"/>
        <v>0</v>
      </c>
      <c r="U334" s="149"/>
      <c r="V334" s="147"/>
      <c r="W334" s="149"/>
      <c r="X334" s="147"/>
      <c r="Y334" s="302"/>
      <c r="Z334" s="302"/>
      <c r="AA334" s="302"/>
      <c r="AB334" s="146"/>
      <c r="AC334" s="146"/>
      <c r="AD334" s="146"/>
      <c r="AE334" s="152"/>
      <c r="AF334" s="175"/>
    </row>
    <row r="335" spans="1:32" s="299" customFormat="1" ht="15" customHeight="1">
      <c r="A335" s="140" t="s">
        <v>34</v>
      </c>
      <c r="B335" s="140" t="s">
        <v>49</v>
      </c>
      <c r="C335" s="29">
        <v>199485</v>
      </c>
      <c r="D335" s="157">
        <v>9</v>
      </c>
      <c r="E335" s="233">
        <f t="shared" si="29"/>
        <v>72330</v>
      </c>
      <c r="F335" s="151">
        <f t="shared" si="28"/>
        <v>77955</v>
      </c>
      <c r="G335" s="149">
        <v>56490.55703525259</v>
      </c>
      <c r="H335" s="281">
        <v>61845.6</v>
      </c>
      <c r="I335" s="149">
        <v>11182.461447765749</v>
      </c>
      <c r="J335" s="281">
        <v>11267.7</v>
      </c>
      <c r="K335" s="302">
        <v>3112.7324585213582</v>
      </c>
      <c r="L335" s="302">
        <v>0</v>
      </c>
      <c r="M335" s="302">
        <v>1544.2490584602856</v>
      </c>
      <c r="N335" s="281">
        <v>4116.3</v>
      </c>
      <c r="O335" s="281">
        <v>0</v>
      </c>
      <c r="P335" s="281">
        <v>725.4</v>
      </c>
      <c r="Q335" s="152"/>
      <c r="R335" s="153"/>
      <c r="S335" s="303">
        <f t="shared" si="30"/>
        <v>0</v>
      </c>
      <c r="T335" s="151">
        <f t="shared" si="31"/>
        <v>0</v>
      </c>
      <c r="U335" s="149"/>
      <c r="V335" s="147"/>
      <c r="W335" s="149"/>
      <c r="X335" s="147"/>
      <c r="Y335" s="302"/>
      <c r="Z335" s="302"/>
      <c r="AA335" s="302"/>
      <c r="AB335" s="146"/>
      <c r="AC335" s="146"/>
      <c r="AD335" s="146"/>
      <c r="AE335" s="152"/>
      <c r="AF335" s="175"/>
    </row>
    <row r="336" spans="1:32" s="299" customFormat="1" ht="15" customHeight="1">
      <c r="A336" s="140" t="s">
        <v>34</v>
      </c>
      <c r="B336" s="394" t="s">
        <v>48</v>
      </c>
      <c r="C336" s="29">
        <v>199494</v>
      </c>
      <c r="D336" s="157">
        <v>9</v>
      </c>
      <c r="E336" s="233">
        <f t="shared" si="29"/>
        <v>180960</v>
      </c>
      <c r="F336" s="151">
        <f t="shared" si="28"/>
        <v>178559.4</v>
      </c>
      <c r="G336" s="149">
        <v>145573.00807672465</v>
      </c>
      <c r="H336" s="281">
        <v>145241.1</v>
      </c>
      <c r="I336" s="149">
        <v>27152.03477643119</v>
      </c>
      <c r="J336" s="281">
        <v>24390.3</v>
      </c>
      <c r="K336" s="302">
        <v>4367.551424632741</v>
      </c>
      <c r="L336" s="302">
        <v>820.6184995052477</v>
      </c>
      <c r="M336" s="302">
        <v>3046.7872227061684</v>
      </c>
      <c r="N336" s="281">
        <v>5096.4</v>
      </c>
      <c r="O336" s="281">
        <v>498.9</v>
      </c>
      <c r="P336" s="281">
        <v>3332.7</v>
      </c>
      <c r="Q336" s="152"/>
      <c r="R336" s="153"/>
      <c r="S336" s="303">
        <f t="shared" si="30"/>
        <v>0</v>
      </c>
      <c r="T336" s="151">
        <f t="shared" si="31"/>
        <v>0</v>
      </c>
      <c r="U336" s="149"/>
      <c r="V336" s="147"/>
      <c r="W336" s="149"/>
      <c r="X336" s="147"/>
      <c r="Y336" s="302"/>
      <c r="Z336" s="302"/>
      <c r="AA336" s="302"/>
      <c r="AB336" s="146"/>
      <c r="AC336" s="146"/>
      <c r="AD336" s="146"/>
      <c r="AE336" s="152"/>
      <c r="AF336" s="175"/>
    </row>
    <row r="337" spans="1:32" s="299" customFormat="1" ht="15" customHeight="1">
      <c r="A337" s="140" t="s">
        <v>34</v>
      </c>
      <c r="B337" s="140" t="s">
        <v>46</v>
      </c>
      <c r="C337" s="29">
        <v>199634</v>
      </c>
      <c r="D337" s="277">
        <v>9</v>
      </c>
      <c r="E337" s="324">
        <f t="shared" si="29"/>
        <v>122580</v>
      </c>
      <c r="F337" s="325">
        <f t="shared" si="28"/>
        <v>127764.9</v>
      </c>
      <c r="G337" s="342">
        <v>100125.5035162019</v>
      </c>
      <c r="H337" s="343">
        <v>100653</v>
      </c>
      <c r="I337" s="342">
        <v>16978.974335149305</v>
      </c>
      <c r="J337" s="343">
        <v>17123.7</v>
      </c>
      <c r="K337" s="326">
        <v>5196.470740700894</v>
      </c>
      <c r="L337" s="326">
        <v>0</v>
      </c>
      <c r="M337" s="326">
        <v>279.0514079478878</v>
      </c>
      <c r="N337" s="343">
        <v>8310.9</v>
      </c>
      <c r="O337" s="343">
        <v>0</v>
      </c>
      <c r="P337" s="343">
        <v>1677.3</v>
      </c>
      <c r="Q337" s="344"/>
      <c r="R337" s="292"/>
      <c r="S337" s="301">
        <f t="shared" si="30"/>
        <v>0</v>
      </c>
      <c r="T337" s="325">
        <f t="shared" si="31"/>
        <v>0</v>
      </c>
      <c r="U337" s="342"/>
      <c r="V337" s="345"/>
      <c r="W337" s="342"/>
      <c r="X337" s="345"/>
      <c r="Y337" s="326"/>
      <c r="Z337" s="326"/>
      <c r="AA337" s="326"/>
      <c r="AB337" s="282"/>
      <c r="AC337" s="282"/>
      <c r="AD337" s="282"/>
      <c r="AE337" s="344"/>
      <c r="AF337" s="292"/>
    </row>
    <row r="338" spans="1:32" s="299" customFormat="1" ht="15" customHeight="1">
      <c r="A338" s="140" t="s">
        <v>34</v>
      </c>
      <c r="B338" s="394" t="s">
        <v>45</v>
      </c>
      <c r="C338" s="29">
        <v>197850</v>
      </c>
      <c r="D338" s="231">
        <v>9</v>
      </c>
      <c r="E338" s="278">
        <f t="shared" si="29"/>
        <v>64560</v>
      </c>
      <c r="F338" s="267">
        <f t="shared" si="28"/>
        <v>75381.00000000001</v>
      </c>
      <c r="G338" s="262">
        <v>39798.29112744887</v>
      </c>
      <c r="H338" s="280">
        <v>48635.7</v>
      </c>
      <c r="I338" s="262">
        <v>19001.823523510615</v>
      </c>
      <c r="J338" s="280">
        <v>21030.9</v>
      </c>
      <c r="K338" s="329">
        <v>5156.324863493702</v>
      </c>
      <c r="L338" s="326">
        <v>0</v>
      </c>
      <c r="M338" s="330">
        <v>603.5604855468134</v>
      </c>
      <c r="N338" s="346">
        <v>4478.1</v>
      </c>
      <c r="O338" s="343">
        <v>9.3</v>
      </c>
      <c r="P338" s="347">
        <v>1227</v>
      </c>
      <c r="Q338" s="269"/>
      <c r="R338" s="271"/>
      <c r="S338" s="297">
        <f t="shared" si="30"/>
        <v>0</v>
      </c>
      <c r="T338" s="267">
        <f t="shared" si="31"/>
        <v>0</v>
      </c>
      <c r="U338" s="262"/>
      <c r="V338" s="255"/>
      <c r="W338" s="262"/>
      <c r="X338" s="255"/>
      <c r="Y338" s="329"/>
      <c r="Z338" s="326"/>
      <c r="AA338" s="330"/>
      <c r="AB338" s="257"/>
      <c r="AC338" s="282"/>
      <c r="AD338" s="331"/>
      <c r="AE338" s="269"/>
      <c r="AF338" s="294"/>
    </row>
    <row r="339" spans="1:32" s="299" customFormat="1" ht="15" customHeight="1">
      <c r="A339" s="140" t="s">
        <v>34</v>
      </c>
      <c r="B339" s="140" t="s">
        <v>44</v>
      </c>
      <c r="C339" s="29">
        <v>199722</v>
      </c>
      <c r="D339" s="231">
        <v>9</v>
      </c>
      <c r="E339" s="278">
        <f t="shared" si="29"/>
        <v>78540</v>
      </c>
      <c r="F339" s="267">
        <f aca="true" t="shared" si="32" ref="F339:F400">SUM(H339,J339,N339,O339,P339,R339)</f>
        <v>75506.99999999999</v>
      </c>
      <c r="G339" s="262">
        <v>51113.18286410657</v>
      </c>
      <c r="H339" s="280">
        <v>52055.7</v>
      </c>
      <c r="I339" s="262">
        <v>19559.087061645143</v>
      </c>
      <c r="J339" s="280">
        <v>16648.2</v>
      </c>
      <c r="K339" s="298">
        <v>6196.26936509358</v>
      </c>
      <c r="L339" s="298">
        <v>149.22664216382898</v>
      </c>
      <c r="M339" s="298">
        <v>1522.2340669908622</v>
      </c>
      <c r="N339" s="280">
        <v>6746.7</v>
      </c>
      <c r="O339" s="280">
        <v>0</v>
      </c>
      <c r="P339" s="280">
        <v>56.4</v>
      </c>
      <c r="Q339" s="269"/>
      <c r="R339" s="271"/>
      <c r="S339" s="297">
        <f t="shared" si="30"/>
        <v>0</v>
      </c>
      <c r="T339" s="267">
        <f t="shared" si="31"/>
        <v>0</v>
      </c>
      <c r="U339" s="262"/>
      <c r="V339" s="255"/>
      <c r="W339" s="262"/>
      <c r="X339" s="255"/>
      <c r="Y339" s="298"/>
      <c r="Z339" s="298"/>
      <c r="AA339" s="298"/>
      <c r="AB339" s="252"/>
      <c r="AC339" s="252"/>
      <c r="AD339" s="252"/>
      <c r="AE339" s="269"/>
      <c r="AF339" s="294"/>
    </row>
    <row r="340" spans="1:32" s="299" customFormat="1" ht="15" customHeight="1">
      <c r="A340" s="140" t="s">
        <v>34</v>
      </c>
      <c r="B340" s="140" t="s">
        <v>43</v>
      </c>
      <c r="C340" s="29">
        <v>199731</v>
      </c>
      <c r="D340" s="231">
        <v>9</v>
      </c>
      <c r="E340" s="278">
        <f t="shared" si="29"/>
        <v>70380</v>
      </c>
      <c r="F340" s="267">
        <f t="shared" si="32"/>
        <v>77478</v>
      </c>
      <c r="G340" s="262">
        <v>43714.178583405715</v>
      </c>
      <c r="H340" s="280">
        <v>49443.6</v>
      </c>
      <c r="I340" s="262">
        <v>18680.26682603424</v>
      </c>
      <c r="J340" s="280">
        <v>19780.8</v>
      </c>
      <c r="K340" s="298">
        <v>5144.161729424814</v>
      </c>
      <c r="L340" s="298">
        <v>2182.6375620200697</v>
      </c>
      <c r="M340" s="298">
        <v>658.755299115166</v>
      </c>
      <c r="N340" s="280">
        <v>5739.9</v>
      </c>
      <c r="O340" s="280">
        <v>1829.1</v>
      </c>
      <c r="P340" s="280">
        <v>684.6</v>
      </c>
      <c r="Q340" s="269"/>
      <c r="R340" s="271"/>
      <c r="S340" s="297">
        <f t="shared" si="30"/>
        <v>0</v>
      </c>
      <c r="T340" s="267">
        <f t="shared" si="31"/>
        <v>0</v>
      </c>
      <c r="U340" s="262"/>
      <c r="V340" s="255"/>
      <c r="W340" s="262"/>
      <c r="X340" s="255"/>
      <c r="Y340" s="298"/>
      <c r="Z340" s="298"/>
      <c r="AA340" s="298"/>
      <c r="AB340" s="252"/>
      <c r="AC340" s="252"/>
      <c r="AD340" s="252"/>
      <c r="AE340" s="269"/>
      <c r="AF340" s="294"/>
    </row>
    <row r="341" spans="1:32" s="299" customFormat="1" ht="15" customHeight="1">
      <c r="A341" s="140" t="s">
        <v>34</v>
      </c>
      <c r="B341" s="394" t="s">
        <v>42</v>
      </c>
      <c r="C341" s="29">
        <v>199740</v>
      </c>
      <c r="D341" s="231">
        <v>9</v>
      </c>
      <c r="E341" s="278">
        <f t="shared" si="29"/>
        <v>71520</v>
      </c>
      <c r="F341" s="267">
        <f t="shared" si="32"/>
        <v>71699.7</v>
      </c>
      <c r="G341" s="262">
        <v>43419.921157268254</v>
      </c>
      <c r="H341" s="280">
        <v>45083.1</v>
      </c>
      <c r="I341" s="262">
        <v>16563.308329572836</v>
      </c>
      <c r="J341" s="280">
        <v>14990.1</v>
      </c>
      <c r="K341" s="298">
        <v>8726.184130984513</v>
      </c>
      <c r="L341" s="298">
        <v>750.8293812633568</v>
      </c>
      <c r="M341" s="298">
        <v>2059.7570009110336</v>
      </c>
      <c r="N341" s="280">
        <v>9075</v>
      </c>
      <c r="O341" s="280">
        <v>886.8</v>
      </c>
      <c r="P341" s="280">
        <v>1664.7</v>
      </c>
      <c r="Q341" s="269"/>
      <c r="R341" s="271"/>
      <c r="S341" s="297">
        <f t="shared" si="30"/>
        <v>0</v>
      </c>
      <c r="T341" s="267">
        <f t="shared" si="31"/>
        <v>0</v>
      </c>
      <c r="U341" s="262"/>
      <c r="V341" s="255"/>
      <c r="W341" s="262"/>
      <c r="X341" s="255"/>
      <c r="Y341" s="298"/>
      <c r="Z341" s="298"/>
      <c r="AA341" s="298"/>
      <c r="AB341" s="252"/>
      <c r="AC341" s="252"/>
      <c r="AD341" s="252"/>
      <c r="AE341" s="269"/>
      <c r="AF341" s="294"/>
    </row>
    <row r="342" spans="1:32" s="299" customFormat="1" ht="15" customHeight="1">
      <c r="A342" s="140" t="s">
        <v>34</v>
      </c>
      <c r="B342" s="140" t="s">
        <v>41</v>
      </c>
      <c r="C342" s="29">
        <v>199768</v>
      </c>
      <c r="D342" s="157">
        <v>9</v>
      </c>
      <c r="E342" s="233">
        <f t="shared" si="29"/>
        <v>105270.00000000001</v>
      </c>
      <c r="F342" s="151">
        <f t="shared" si="32"/>
        <v>104958.90000000001</v>
      </c>
      <c r="G342" s="149">
        <v>82615.91870389704</v>
      </c>
      <c r="H342" s="281">
        <v>83930.1</v>
      </c>
      <c r="I342" s="149">
        <v>16620.339512900227</v>
      </c>
      <c r="J342" s="281">
        <v>13649.1</v>
      </c>
      <c r="K342" s="302">
        <v>4226.185513198499</v>
      </c>
      <c r="L342" s="302">
        <v>1064.2451731693604</v>
      </c>
      <c r="M342" s="302">
        <v>743.311096834884</v>
      </c>
      <c r="N342" s="281">
        <v>5520</v>
      </c>
      <c r="O342" s="281">
        <v>1254.3</v>
      </c>
      <c r="P342" s="281">
        <v>605.4</v>
      </c>
      <c r="Q342" s="152"/>
      <c r="R342" s="153"/>
      <c r="S342" s="303">
        <f t="shared" si="30"/>
        <v>0</v>
      </c>
      <c r="T342" s="151">
        <f t="shared" si="31"/>
        <v>0</v>
      </c>
      <c r="U342" s="149"/>
      <c r="V342" s="147"/>
      <c r="W342" s="149"/>
      <c r="X342" s="147"/>
      <c r="Y342" s="302"/>
      <c r="Z342" s="302"/>
      <c r="AA342" s="302"/>
      <c r="AB342" s="146"/>
      <c r="AC342" s="146"/>
      <c r="AD342" s="146"/>
      <c r="AE342" s="152"/>
      <c r="AF342" s="175"/>
    </row>
    <row r="343" spans="1:32" s="299" customFormat="1" ht="15" customHeight="1">
      <c r="A343" s="140" t="s">
        <v>34</v>
      </c>
      <c r="B343" s="140" t="s">
        <v>39</v>
      </c>
      <c r="C343" s="29">
        <v>199838</v>
      </c>
      <c r="D343" s="157">
        <v>9</v>
      </c>
      <c r="E343" s="233">
        <f t="shared" si="29"/>
        <v>145920</v>
      </c>
      <c r="F343" s="151">
        <f t="shared" si="32"/>
        <v>148423.8</v>
      </c>
      <c r="G343" s="149">
        <v>114114.53091165841</v>
      </c>
      <c r="H343" s="281">
        <v>111676.5</v>
      </c>
      <c r="I343" s="149">
        <v>27032.926596484893</v>
      </c>
      <c r="J343" s="281">
        <v>28420.5</v>
      </c>
      <c r="K343" s="302">
        <v>4772.542491856711</v>
      </c>
      <c r="L343" s="302">
        <v>0</v>
      </c>
      <c r="M343" s="302">
        <v>0</v>
      </c>
      <c r="N343" s="281">
        <v>7560.6</v>
      </c>
      <c r="O343" s="281">
        <v>26.4</v>
      </c>
      <c r="P343" s="281">
        <v>739.8</v>
      </c>
      <c r="Q343" s="152"/>
      <c r="R343" s="153"/>
      <c r="S343" s="303">
        <f t="shared" si="30"/>
        <v>0</v>
      </c>
      <c r="T343" s="151">
        <f t="shared" si="31"/>
        <v>0</v>
      </c>
      <c r="U343" s="149"/>
      <c r="V343" s="147"/>
      <c r="W343" s="149"/>
      <c r="X343" s="147"/>
      <c r="Y343" s="302"/>
      <c r="Z343" s="302"/>
      <c r="AA343" s="302"/>
      <c r="AB343" s="146"/>
      <c r="AC343" s="146"/>
      <c r="AD343" s="146"/>
      <c r="AE343" s="152"/>
      <c r="AF343" s="175"/>
    </row>
    <row r="344" spans="1:32" s="299" customFormat="1" ht="15" customHeight="1">
      <c r="A344" s="140" t="s">
        <v>34</v>
      </c>
      <c r="B344" s="140" t="s">
        <v>37</v>
      </c>
      <c r="C344" s="29">
        <v>199892</v>
      </c>
      <c r="D344" s="157">
        <v>9</v>
      </c>
      <c r="E344" s="233">
        <f t="shared" si="29"/>
        <v>115350</v>
      </c>
      <c r="F344" s="151">
        <f t="shared" si="32"/>
        <v>120956.7</v>
      </c>
      <c r="G344" s="149">
        <v>78900.70642844676</v>
      </c>
      <c r="H344" s="281">
        <v>83863.8</v>
      </c>
      <c r="I344" s="149">
        <v>29613.379681846716</v>
      </c>
      <c r="J344" s="281">
        <v>29047.2</v>
      </c>
      <c r="K344" s="302">
        <v>6557.08095534549</v>
      </c>
      <c r="L344" s="302">
        <v>0</v>
      </c>
      <c r="M344" s="302">
        <v>278.83293436102343</v>
      </c>
      <c r="N344" s="281">
        <v>7508.4</v>
      </c>
      <c r="O344" s="281">
        <v>118.2</v>
      </c>
      <c r="P344" s="281">
        <v>419.1</v>
      </c>
      <c r="Q344" s="152"/>
      <c r="R344" s="153"/>
      <c r="S344" s="303">
        <f t="shared" si="30"/>
        <v>0</v>
      </c>
      <c r="T344" s="151">
        <f t="shared" si="31"/>
        <v>0</v>
      </c>
      <c r="U344" s="149"/>
      <c r="V344" s="147"/>
      <c r="W344" s="149"/>
      <c r="X344" s="147"/>
      <c r="Y344" s="302"/>
      <c r="Z344" s="302"/>
      <c r="AA344" s="302"/>
      <c r="AB344" s="146"/>
      <c r="AC344" s="146"/>
      <c r="AD344" s="146"/>
      <c r="AE344" s="152"/>
      <c r="AF344" s="175"/>
    </row>
    <row r="345" spans="1:32" s="299" customFormat="1" ht="15" customHeight="1">
      <c r="A345" s="140" t="s">
        <v>34</v>
      </c>
      <c r="B345" s="140" t="s">
        <v>36</v>
      </c>
      <c r="C345" s="29">
        <v>199908</v>
      </c>
      <c r="D345" s="157">
        <v>9</v>
      </c>
      <c r="E345" s="233">
        <f t="shared" si="29"/>
        <v>100560</v>
      </c>
      <c r="F345" s="151">
        <f t="shared" si="32"/>
        <v>103854.90000000001</v>
      </c>
      <c r="G345" s="149">
        <v>68430.61094791294</v>
      </c>
      <c r="H345" s="281">
        <v>70860.3</v>
      </c>
      <c r="I345" s="149">
        <v>19256.934188298343</v>
      </c>
      <c r="J345" s="281">
        <v>18882.3</v>
      </c>
      <c r="K345" s="302">
        <v>12022.156516207628</v>
      </c>
      <c r="L345" s="302">
        <v>2.112167648356133</v>
      </c>
      <c r="M345" s="302">
        <v>848.186179932727</v>
      </c>
      <c r="N345" s="281">
        <v>12134.1</v>
      </c>
      <c r="O345" s="281">
        <v>0</v>
      </c>
      <c r="P345" s="281">
        <v>1978.2</v>
      </c>
      <c r="Q345" s="152"/>
      <c r="R345" s="153"/>
      <c r="S345" s="303">
        <f t="shared" si="30"/>
        <v>0</v>
      </c>
      <c r="T345" s="151">
        <f t="shared" si="31"/>
        <v>0</v>
      </c>
      <c r="U345" s="149"/>
      <c r="V345" s="147"/>
      <c r="W345" s="149"/>
      <c r="X345" s="147"/>
      <c r="Y345" s="302"/>
      <c r="Z345" s="302"/>
      <c r="AA345" s="302"/>
      <c r="AB345" s="146"/>
      <c r="AC345" s="146"/>
      <c r="AD345" s="146"/>
      <c r="AE345" s="152"/>
      <c r="AF345" s="175"/>
    </row>
    <row r="346" spans="1:32" s="299" customFormat="1" ht="15" customHeight="1">
      <c r="A346" s="140" t="s">
        <v>34</v>
      </c>
      <c r="B346" s="140" t="s">
        <v>35</v>
      </c>
      <c r="C346" s="29">
        <v>199926</v>
      </c>
      <c r="D346" s="157">
        <v>9</v>
      </c>
      <c r="E346" s="233">
        <f t="shared" si="29"/>
        <v>98250</v>
      </c>
      <c r="F346" s="151">
        <f t="shared" si="32"/>
        <v>100578.9</v>
      </c>
      <c r="G346" s="149">
        <v>67452.18123116001</v>
      </c>
      <c r="H346" s="281">
        <v>68807.7</v>
      </c>
      <c r="I346" s="149">
        <v>22458.302602787935</v>
      </c>
      <c r="J346" s="281">
        <v>23422.5</v>
      </c>
      <c r="K346" s="302">
        <v>5335.173595703334</v>
      </c>
      <c r="L346" s="302">
        <v>2755.985188132144</v>
      </c>
      <c r="M346" s="302">
        <v>248.35738221657766</v>
      </c>
      <c r="N346" s="281">
        <v>5070.9</v>
      </c>
      <c r="O346" s="281">
        <v>2635.5</v>
      </c>
      <c r="P346" s="281">
        <v>642.3</v>
      </c>
      <c r="Q346" s="152"/>
      <c r="R346" s="153"/>
      <c r="S346" s="303">
        <f t="shared" si="30"/>
        <v>0</v>
      </c>
      <c r="T346" s="151">
        <f t="shared" si="31"/>
        <v>0</v>
      </c>
      <c r="U346" s="149"/>
      <c r="V346" s="147"/>
      <c r="W346" s="149"/>
      <c r="X346" s="147"/>
      <c r="Y346" s="302"/>
      <c r="Z346" s="302"/>
      <c r="AA346" s="302"/>
      <c r="AB346" s="146"/>
      <c r="AC346" s="146"/>
      <c r="AD346" s="146"/>
      <c r="AE346" s="152"/>
      <c r="AF346" s="175"/>
    </row>
    <row r="347" spans="1:32" s="299" customFormat="1" ht="15" customHeight="1">
      <c r="A347" s="140" t="s">
        <v>34</v>
      </c>
      <c r="B347" s="140" t="s">
        <v>33</v>
      </c>
      <c r="C347" s="29">
        <v>199953</v>
      </c>
      <c r="D347" s="157">
        <v>9</v>
      </c>
      <c r="E347" s="233">
        <f t="shared" si="29"/>
        <v>79290</v>
      </c>
      <c r="F347" s="151">
        <f t="shared" si="32"/>
        <v>79917.9</v>
      </c>
      <c r="G347" s="149">
        <v>57300.4011592115</v>
      </c>
      <c r="H347" s="281">
        <v>57623.4</v>
      </c>
      <c r="I347" s="149">
        <v>9249.830348056605</v>
      </c>
      <c r="J347" s="281">
        <v>8862.9</v>
      </c>
      <c r="K347" s="302">
        <v>4309.791358681313</v>
      </c>
      <c r="L347" s="302">
        <v>0</v>
      </c>
      <c r="M347" s="302">
        <v>8429.977134050581</v>
      </c>
      <c r="N347" s="281">
        <v>5827.2</v>
      </c>
      <c r="O347" s="281">
        <v>0</v>
      </c>
      <c r="P347" s="281">
        <v>7604.4</v>
      </c>
      <c r="Q347" s="152"/>
      <c r="R347" s="153"/>
      <c r="S347" s="303">
        <f t="shared" si="30"/>
        <v>0</v>
      </c>
      <c r="T347" s="151">
        <f t="shared" si="31"/>
        <v>0</v>
      </c>
      <c r="U347" s="149"/>
      <c r="V347" s="147"/>
      <c r="W347" s="149"/>
      <c r="X347" s="147"/>
      <c r="Y347" s="302"/>
      <c r="Z347" s="302"/>
      <c r="AA347" s="302"/>
      <c r="AB347" s="146"/>
      <c r="AC347" s="146"/>
      <c r="AD347" s="146"/>
      <c r="AE347" s="152"/>
      <c r="AF347" s="175"/>
    </row>
    <row r="348" spans="1:32" s="299" customFormat="1" ht="15" customHeight="1">
      <c r="A348" s="140" t="s">
        <v>34</v>
      </c>
      <c r="B348" s="140" t="s">
        <v>87</v>
      </c>
      <c r="C348" s="29">
        <v>198011</v>
      </c>
      <c r="D348" s="157">
        <v>10</v>
      </c>
      <c r="E348" s="233">
        <f t="shared" si="29"/>
        <v>47340</v>
      </c>
      <c r="F348" s="151">
        <f t="shared" si="32"/>
        <v>47926.5</v>
      </c>
      <c r="G348" s="149">
        <v>31310.401121941344</v>
      </c>
      <c r="H348" s="281">
        <v>30337.8</v>
      </c>
      <c r="I348" s="149">
        <v>7524.2996588126125</v>
      </c>
      <c r="J348" s="281">
        <v>7414.8</v>
      </c>
      <c r="K348" s="302">
        <v>3584.1165758461657</v>
      </c>
      <c r="L348" s="302">
        <v>219.98171961234416</v>
      </c>
      <c r="M348" s="302">
        <v>4701.200923787529</v>
      </c>
      <c r="N348" s="281">
        <v>4420.5</v>
      </c>
      <c r="O348" s="281">
        <v>588.9</v>
      </c>
      <c r="P348" s="281">
        <v>5164.5</v>
      </c>
      <c r="Q348" s="152"/>
      <c r="R348" s="153"/>
      <c r="S348" s="303">
        <f t="shared" si="30"/>
        <v>0</v>
      </c>
      <c r="T348" s="151">
        <f t="shared" si="31"/>
        <v>0</v>
      </c>
      <c r="U348" s="149"/>
      <c r="V348" s="147"/>
      <c r="W348" s="149"/>
      <c r="X348" s="147"/>
      <c r="Y348" s="302"/>
      <c r="Z348" s="302"/>
      <c r="AA348" s="302"/>
      <c r="AB348" s="146"/>
      <c r="AC348" s="146"/>
      <c r="AD348" s="146"/>
      <c r="AE348" s="152"/>
      <c r="AF348" s="175"/>
    </row>
    <row r="349" spans="1:32" s="299" customFormat="1" ht="15" customHeight="1">
      <c r="A349" s="140" t="s">
        <v>34</v>
      </c>
      <c r="B349" s="140" t="s">
        <v>85</v>
      </c>
      <c r="C349" s="29">
        <v>198084</v>
      </c>
      <c r="D349" s="157">
        <v>10</v>
      </c>
      <c r="E349" s="233">
        <f t="shared" si="29"/>
        <v>42900</v>
      </c>
      <c r="F349" s="151">
        <f t="shared" si="32"/>
        <v>46655.1</v>
      </c>
      <c r="G349" s="149">
        <v>34271.10466028558</v>
      </c>
      <c r="H349" s="281">
        <v>37370.7</v>
      </c>
      <c r="I349" s="149">
        <v>5503.32653381453</v>
      </c>
      <c r="J349" s="281">
        <v>5528.4</v>
      </c>
      <c r="K349" s="302">
        <v>2176.729954495528</v>
      </c>
      <c r="L349" s="302">
        <v>59.05382080652753</v>
      </c>
      <c r="M349" s="302">
        <v>889.7850305978346</v>
      </c>
      <c r="N349" s="281">
        <v>1775.4</v>
      </c>
      <c r="O349" s="281">
        <v>5.7</v>
      </c>
      <c r="P349" s="281">
        <v>1974.9</v>
      </c>
      <c r="Q349" s="152"/>
      <c r="R349" s="153"/>
      <c r="S349" s="303">
        <f t="shared" si="30"/>
        <v>0</v>
      </c>
      <c r="T349" s="151">
        <f t="shared" si="31"/>
        <v>0</v>
      </c>
      <c r="U349" s="149"/>
      <c r="V349" s="147"/>
      <c r="W349" s="149"/>
      <c r="X349" s="147"/>
      <c r="Y349" s="302"/>
      <c r="Z349" s="302"/>
      <c r="AA349" s="302"/>
      <c r="AB349" s="146"/>
      <c r="AC349" s="146"/>
      <c r="AD349" s="146"/>
      <c r="AE349" s="152"/>
      <c r="AF349" s="175"/>
    </row>
    <row r="350" spans="1:32" s="299" customFormat="1" ht="15" customHeight="1">
      <c r="A350" s="140" t="s">
        <v>34</v>
      </c>
      <c r="B350" s="394" t="s">
        <v>83</v>
      </c>
      <c r="C350" s="29">
        <v>198206</v>
      </c>
      <c r="D350" s="157">
        <v>10</v>
      </c>
      <c r="E350" s="233">
        <f t="shared" si="29"/>
        <v>58980</v>
      </c>
      <c r="F350" s="151">
        <f t="shared" si="32"/>
        <v>61083.00000000001</v>
      </c>
      <c r="G350" s="149">
        <v>43146.98407516603</v>
      </c>
      <c r="H350" s="281">
        <v>45376.8</v>
      </c>
      <c r="I350" s="149">
        <v>10463.184252675394</v>
      </c>
      <c r="J350" s="281">
        <v>9548.4</v>
      </c>
      <c r="K350" s="302">
        <v>5342.454525978597</v>
      </c>
      <c r="L350" s="302">
        <v>0</v>
      </c>
      <c r="M350" s="302">
        <v>27.37714617997817</v>
      </c>
      <c r="N350" s="281">
        <v>5916</v>
      </c>
      <c r="O350" s="281">
        <v>0</v>
      </c>
      <c r="P350" s="281">
        <v>241.8</v>
      </c>
      <c r="Q350" s="152"/>
      <c r="R350" s="153"/>
      <c r="S350" s="303">
        <f t="shared" si="30"/>
        <v>0</v>
      </c>
      <c r="T350" s="151">
        <f t="shared" si="31"/>
        <v>0</v>
      </c>
      <c r="U350" s="149"/>
      <c r="V350" s="147"/>
      <c r="W350" s="149"/>
      <c r="X350" s="147"/>
      <c r="Y350" s="302"/>
      <c r="Z350" s="302"/>
      <c r="AA350" s="302"/>
      <c r="AB350" s="146"/>
      <c r="AC350" s="146"/>
      <c r="AD350" s="146"/>
      <c r="AE350" s="152"/>
      <c r="AF350" s="175"/>
    </row>
    <row r="351" spans="1:32" s="299" customFormat="1" ht="15" customHeight="1">
      <c r="A351" s="140" t="s">
        <v>34</v>
      </c>
      <c r="B351" s="140" t="s">
        <v>68</v>
      </c>
      <c r="C351" s="29">
        <v>198640</v>
      </c>
      <c r="D351" s="157">
        <v>10</v>
      </c>
      <c r="E351" s="233">
        <f t="shared" si="29"/>
        <v>56520.00000000001</v>
      </c>
      <c r="F351" s="151">
        <f t="shared" si="32"/>
        <v>57948.3</v>
      </c>
      <c r="G351" s="149">
        <v>41202.65039831264</v>
      </c>
      <c r="H351" s="281">
        <v>40351.8</v>
      </c>
      <c r="I351" s="149">
        <v>7862.993738824272</v>
      </c>
      <c r="J351" s="281">
        <v>9074.7</v>
      </c>
      <c r="K351" s="302">
        <v>5032.253414306039</v>
      </c>
      <c r="L351" s="302">
        <v>167.08470579117235</v>
      </c>
      <c r="M351" s="302">
        <v>2255.017742765878</v>
      </c>
      <c r="N351" s="281">
        <v>6261</v>
      </c>
      <c r="O351" s="281">
        <v>78.9</v>
      </c>
      <c r="P351" s="281">
        <v>2181.9</v>
      </c>
      <c r="Q351" s="152"/>
      <c r="R351" s="153"/>
      <c r="S351" s="303">
        <f t="shared" si="30"/>
        <v>0</v>
      </c>
      <c r="T351" s="151">
        <f t="shared" si="31"/>
        <v>0</v>
      </c>
      <c r="U351" s="149"/>
      <c r="V351" s="147"/>
      <c r="W351" s="149"/>
      <c r="X351" s="147"/>
      <c r="Y351" s="302"/>
      <c r="Z351" s="302"/>
      <c r="AA351" s="302"/>
      <c r="AB351" s="146"/>
      <c r="AC351" s="146"/>
      <c r="AD351" s="146"/>
      <c r="AE351" s="152"/>
      <c r="AF351" s="175"/>
    </row>
    <row r="352" spans="1:32" s="299" customFormat="1" ht="15" customHeight="1">
      <c r="A352" s="140" t="s">
        <v>34</v>
      </c>
      <c r="B352" s="140" t="s">
        <v>65</v>
      </c>
      <c r="C352" s="29">
        <v>198729</v>
      </c>
      <c r="D352" s="157">
        <v>10</v>
      </c>
      <c r="E352" s="233">
        <f t="shared" si="29"/>
        <v>45420</v>
      </c>
      <c r="F352" s="151">
        <f t="shared" si="32"/>
        <v>51552.3</v>
      </c>
      <c r="G352" s="149">
        <v>40078.57884977051</v>
      </c>
      <c r="H352" s="281">
        <v>46029.3</v>
      </c>
      <c r="I352" s="149">
        <v>4211.551086970817</v>
      </c>
      <c r="J352" s="281">
        <v>3972.9</v>
      </c>
      <c r="K352" s="302">
        <v>463.53643620868786</v>
      </c>
      <c r="L352" s="302">
        <v>442.330838933677</v>
      </c>
      <c r="M352" s="302">
        <v>224.00278811631182</v>
      </c>
      <c r="N352" s="281">
        <v>740.4</v>
      </c>
      <c r="O352" s="281">
        <v>295.2</v>
      </c>
      <c r="P352" s="281">
        <v>514.5</v>
      </c>
      <c r="Q352" s="152"/>
      <c r="R352" s="153"/>
      <c r="S352" s="303">
        <f t="shared" si="30"/>
        <v>0</v>
      </c>
      <c r="T352" s="151">
        <f t="shared" si="31"/>
        <v>0</v>
      </c>
      <c r="U352" s="149"/>
      <c r="V352" s="147"/>
      <c r="W352" s="149"/>
      <c r="X352" s="147"/>
      <c r="Y352" s="302"/>
      <c r="Z352" s="302"/>
      <c r="AA352" s="302"/>
      <c r="AB352" s="146"/>
      <c r="AC352" s="146"/>
      <c r="AD352" s="146"/>
      <c r="AE352" s="152"/>
      <c r="AF352" s="175"/>
    </row>
    <row r="353" spans="1:32" s="299" customFormat="1" ht="15" customHeight="1">
      <c r="A353" s="140" t="s">
        <v>34</v>
      </c>
      <c r="B353" s="140" t="s">
        <v>62</v>
      </c>
      <c r="C353" s="29">
        <v>198905</v>
      </c>
      <c r="D353" s="157">
        <v>10</v>
      </c>
      <c r="E353" s="233">
        <f aca="true" t="shared" si="33" ref="E353:E414">SUM(G353,I353,K353,L353,M353,Q353)</f>
        <v>36510</v>
      </c>
      <c r="F353" s="151">
        <f t="shared" si="32"/>
        <v>38041.2</v>
      </c>
      <c r="G353" s="149">
        <v>18976.612758555082</v>
      </c>
      <c r="H353" s="281">
        <v>22438.2</v>
      </c>
      <c r="I353" s="149">
        <v>11403.896333342393</v>
      </c>
      <c r="J353" s="281">
        <v>8892.3</v>
      </c>
      <c r="K353" s="302">
        <v>2235.1306025930253</v>
      </c>
      <c r="L353" s="302">
        <v>124.04528281373162</v>
      </c>
      <c r="M353" s="302">
        <v>3770.315022695768</v>
      </c>
      <c r="N353" s="281">
        <v>2557.2</v>
      </c>
      <c r="O353" s="281">
        <v>118.2</v>
      </c>
      <c r="P353" s="281">
        <v>4035.3</v>
      </c>
      <c r="Q353" s="152"/>
      <c r="R353" s="153"/>
      <c r="S353" s="303">
        <f t="shared" si="30"/>
        <v>0</v>
      </c>
      <c r="T353" s="151">
        <f t="shared" si="31"/>
        <v>0</v>
      </c>
      <c r="U353" s="149"/>
      <c r="V353" s="147"/>
      <c r="W353" s="149"/>
      <c r="X353" s="147"/>
      <c r="Y353" s="302"/>
      <c r="Z353" s="302"/>
      <c r="AA353" s="302"/>
      <c r="AB353" s="146"/>
      <c r="AC353" s="146"/>
      <c r="AD353" s="146"/>
      <c r="AE353" s="152"/>
      <c r="AF353" s="175"/>
    </row>
    <row r="354" spans="1:32" s="299" customFormat="1" ht="15" customHeight="1">
      <c r="A354" s="140" t="s">
        <v>34</v>
      </c>
      <c r="B354" s="140" t="s">
        <v>61</v>
      </c>
      <c r="C354" s="29">
        <v>198914</v>
      </c>
      <c r="D354" s="157">
        <v>10</v>
      </c>
      <c r="E354" s="233">
        <f t="shared" si="33"/>
        <v>49590</v>
      </c>
      <c r="F354" s="151">
        <f t="shared" si="32"/>
        <v>52961.1</v>
      </c>
      <c r="G354" s="149">
        <v>26531.30481081674</v>
      </c>
      <c r="H354" s="281">
        <v>29080.5</v>
      </c>
      <c r="I354" s="149">
        <v>20422.85533473694</v>
      </c>
      <c r="J354" s="281">
        <v>22025.7</v>
      </c>
      <c r="K354" s="302">
        <v>1425.7977461086298</v>
      </c>
      <c r="L354" s="302">
        <v>916.7351434239188</v>
      </c>
      <c r="M354" s="302">
        <v>293.30696491377523</v>
      </c>
      <c r="N354" s="281">
        <v>984</v>
      </c>
      <c r="O354" s="281">
        <v>588.9</v>
      </c>
      <c r="P354" s="281">
        <v>282</v>
      </c>
      <c r="Q354" s="152"/>
      <c r="R354" s="153"/>
      <c r="S354" s="303">
        <f t="shared" si="30"/>
        <v>0</v>
      </c>
      <c r="T354" s="151">
        <f t="shared" si="31"/>
        <v>0</v>
      </c>
      <c r="U354" s="149"/>
      <c r="V354" s="147"/>
      <c r="W354" s="149"/>
      <c r="X354" s="147"/>
      <c r="Y354" s="302"/>
      <c r="Z354" s="302"/>
      <c r="AA354" s="302"/>
      <c r="AB354" s="146"/>
      <c r="AC354" s="146"/>
      <c r="AD354" s="146"/>
      <c r="AE354" s="152"/>
      <c r="AF354" s="175"/>
    </row>
    <row r="355" spans="1:32" s="299" customFormat="1" ht="15" customHeight="1">
      <c r="A355" s="140" t="s">
        <v>34</v>
      </c>
      <c r="B355" s="140" t="s">
        <v>60</v>
      </c>
      <c r="C355" s="29">
        <v>198923</v>
      </c>
      <c r="D355" s="157">
        <v>10</v>
      </c>
      <c r="E355" s="233">
        <f t="shared" si="33"/>
        <v>45510</v>
      </c>
      <c r="F355" s="151">
        <f t="shared" si="32"/>
        <v>46631.1</v>
      </c>
      <c r="G355" s="149">
        <v>33384.40598048683</v>
      </c>
      <c r="H355" s="281">
        <v>32420.4</v>
      </c>
      <c r="I355" s="149">
        <v>11340.599180846459</v>
      </c>
      <c r="J355" s="281">
        <v>11785.5</v>
      </c>
      <c r="K355" s="302">
        <v>199.73420798508207</v>
      </c>
      <c r="L355" s="302">
        <v>53.949452232692884</v>
      </c>
      <c r="M355" s="302">
        <v>531.3111784489362</v>
      </c>
      <c r="N355" s="281">
        <v>449.1</v>
      </c>
      <c r="O355" s="281">
        <v>238.2</v>
      </c>
      <c r="P355" s="281">
        <v>1737.9</v>
      </c>
      <c r="Q355" s="152"/>
      <c r="R355" s="153"/>
      <c r="S355" s="303">
        <f t="shared" si="30"/>
        <v>0</v>
      </c>
      <c r="T355" s="151">
        <f t="shared" si="31"/>
        <v>0</v>
      </c>
      <c r="U355" s="149"/>
      <c r="V355" s="147"/>
      <c r="W355" s="149"/>
      <c r="X355" s="147"/>
      <c r="Y355" s="302"/>
      <c r="Z355" s="302"/>
      <c r="AA355" s="302"/>
      <c r="AB355" s="146"/>
      <c r="AC355" s="146"/>
      <c r="AD355" s="146"/>
      <c r="AE355" s="152"/>
      <c r="AF355" s="175"/>
    </row>
    <row r="356" spans="1:32" s="299" customFormat="1" ht="15" customHeight="1">
      <c r="A356" s="140" t="s">
        <v>34</v>
      </c>
      <c r="B356" s="140" t="s">
        <v>58</v>
      </c>
      <c r="C356" s="29">
        <v>199023</v>
      </c>
      <c r="D356" s="157">
        <v>10</v>
      </c>
      <c r="E356" s="233">
        <f t="shared" si="33"/>
        <v>28080</v>
      </c>
      <c r="F356" s="151">
        <f t="shared" si="32"/>
        <v>31176.6</v>
      </c>
      <c r="G356" s="149">
        <v>22403.877756052243</v>
      </c>
      <c r="H356" s="281">
        <v>22837.8</v>
      </c>
      <c r="I356" s="149">
        <v>3200.250623858959</v>
      </c>
      <c r="J356" s="281">
        <v>4963.2</v>
      </c>
      <c r="K356" s="302">
        <v>1395.0665989694173</v>
      </c>
      <c r="L356" s="302">
        <v>464.71885836511143</v>
      </c>
      <c r="M356" s="302">
        <v>616.0861627542697</v>
      </c>
      <c r="N356" s="281">
        <v>1756.8</v>
      </c>
      <c r="O356" s="281">
        <v>326.1</v>
      </c>
      <c r="P356" s="281">
        <v>1292.7</v>
      </c>
      <c r="Q356" s="152"/>
      <c r="R356" s="153"/>
      <c r="S356" s="303">
        <f t="shared" si="30"/>
        <v>0</v>
      </c>
      <c r="T356" s="151">
        <f t="shared" si="31"/>
        <v>0</v>
      </c>
      <c r="U356" s="149"/>
      <c r="V356" s="147"/>
      <c r="W356" s="149"/>
      <c r="X356" s="147"/>
      <c r="Y356" s="302"/>
      <c r="Z356" s="302"/>
      <c r="AA356" s="302"/>
      <c r="AB356" s="146"/>
      <c r="AC356" s="146"/>
      <c r="AD356" s="146"/>
      <c r="AE356" s="152"/>
      <c r="AF356" s="175"/>
    </row>
    <row r="357" spans="1:32" s="299" customFormat="1" ht="15" customHeight="1">
      <c r="A357" s="140" t="s">
        <v>34</v>
      </c>
      <c r="B357" s="140" t="s">
        <v>56</v>
      </c>
      <c r="C357" s="29">
        <v>199263</v>
      </c>
      <c r="D357" s="277">
        <v>10</v>
      </c>
      <c r="E357" s="324">
        <f t="shared" si="33"/>
        <v>16110.000000000002</v>
      </c>
      <c r="F357" s="325">
        <f t="shared" si="32"/>
        <v>15849.300000000001</v>
      </c>
      <c r="G357" s="342">
        <v>5970.780225323694</v>
      </c>
      <c r="H357" s="343">
        <v>6146.1</v>
      </c>
      <c r="I357" s="342">
        <v>9511.65125273247</v>
      </c>
      <c r="J357" s="343">
        <v>9077.1</v>
      </c>
      <c r="K357" s="326">
        <v>626.6655456532704</v>
      </c>
      <c r="L357" s="326">
        <v>0</v>
      </c>
      <c r="M357" s="326">
        <v>0.9029762905666722</v>
      </c>
      <c r="N357" s="343">
        <v>626.1</v>
      </c>
      <c r="O357" s="343">
        <v>0</v>
      </c>
      <c r="P357" s="343">
        <v>0</v>
      </c>
      <c r="Q357" s="344"/>
      <c r="R357" s="292"/>
      <c r="S357" s="301">
        <f t="shared" si="30"/>
        <v>0</v>
      </c>
      <c r="T357" s="325">
        <f t="shared" si="31"/>
        <v>0</v>
      </c>
      <c r="U357" s="342"/>
      <c r="V357" s="345"/>
      <c r="W357" s="342"/>
      <c r="X357" s="345"/>
      <c r="Y357" s="326"/>
      <c r="Z357" s="326"/>
      <c r="AA357" s="326"/>
      <c r="AB357" s="282"/>
      <c r="AC357" s="282"/>
      <c r="AD357" s="282"/>
      <c r="AE357" s="344"/>
      <c r="AF357" s="292"/>
    </row>
    <row r="358" spans="1:32" s="299" customFormat="1" ht="15" customHeight="1">
      <c r="A358" s="140" t="s">
        <v>34</v>
      </c>
      <c r="B358" s="140" t="s">
        <v>51</v>
      </c>
      <c r="C358" s="29">
        <v>199467</v>
      </c>
      <c r="D358" s="231">
        <v>10</v>
      </c>
      <c r="E358" s="278">
        <f t="shared" si="33"/>
        <v>32490</v>
      </c>
      <c r="F358" s="267">
        <f t="shared" si="32"/>
        <v>34074.00000000001</v>
      </c>
      <c r="G358" s="262">
        <v>25030.125</v>
      </c>
      <c r="H358" s="280">
        <v>27317.7</v>
      </c>
      <c r="I358" s="262">
        <v>5017.103873239436</v>
      </c>
      <c r="J358" s="280">
        <v>4535.7</v>
      </c>
      <c r="K358" s="329">
        <v>2312.112676056338</v>
      </c>
      <c r="L358" s="326">
        <v>0</v>
      </c>
      <c r="M358" s="330">
        <v>130.65845070422534</v>
      </c>
      <c r="N358" s="346">
        <v>2068.8</v>
      </c>
      <c r="O358" s="343">
        <v>0</v>
      </c>
      <c r="P358" s="347">
        <v>151.8</v>
      </c>
      <c r="Q358" s="269"/>
      <c r="R358" s="271"/>
      <c r="S358" s="297">
        <f t="shared" si="30"/>
        <v>0</v>
      </c>
      <c r="T358" s="267">
        <f t="shared" si="31"/>
        <v>0</v>
      </c>
      <c r="U358" s="262"/>
      <c r="V358" s="255"/>
      <c r="W358" s="262"/>
      <c r="X358" s="255"/>
      <c r="Y358" s="329"/>
      <c r="Z358" s="326"/>
      <c r="AA358" s="330"/>
      <c r="AB358" s="257"/>
      <c r="AC358" s="282"/>
      <c r="AD358" s="331"/>
      <c r="AE358" s="269"/>
      <c r="AF358" s="294"/>
    </row>
    <row r="359" spans="1:32" s="299" customFormat="1" ht="15" customHeight="1">
      <c r="A359" s="140" t="s">
        <v>34</v>
      </c>
      <c r="B359" s="140" t="s">
        <v>47</v>
      </c>
      <c r="C359" s="29">
        <v>199625</v>
      </c>
      <c r="D359" s="231">
        <v>10</v>
      </c>
      <c r="E359" s="278">
        <f t="shared" si="33"/>
        <v>56790.00000000001</v>
      </c>
      <c r="F359" s="267">
        <f t="shared" si="32"/>
        <v>56158.2</v>
      </c>
      <c r="G359" s="262">
        <v>42771.295454305146</v>
      </c>
      <c r="H359" s="280">
        <v>42390.3</v>
      </c>
      <c r="I359" s="262">
        <v>11789.991435187632</v>
      </c>
      <c r="J359" s="280">
        <v>11346.3</v>
      </c>
      <c r="K359" s="298">
        <v>1400.9396973766295</v>
      </c>
      <c r="L359" s="298">
        <v>722.087435103042</v>
      </c>
      <c r="M359" s="298">
        <v>105.68597802755544</v>
      </c>
      <c r="N359" s="280">
        <v>1480.2</v>
      </c>
      <c r="O359" s="280">
        <v>830.7</v>
      </c>
      <c r="P359" s="280">
        <v>110.7</v>
      </c>
      <c r="Q359" s="269"/>
      <c r="R359" s="271"/>
      <c r="S359" s="297">
        <f t="shared" si="30"/>
        <v>0</v>
      </c>
      <c r="T359" s="267">
        <f t="shared" si="31"/>
        <v>0</v>
      </c>
      <c r="U359" s="262"/>
      <c r="V359" s="255"/>
      <c r="W359" s="262"/>
      <c r="X359" s="255"/>
      <c r="Y359" s="298"/>
      <c r="Z359" s="298"/>
      <c r="AA359" s="298"/>
      <c r="AB359" s="252"/>
      <c r="AC359" s="252"/>
      <c r="AD359" s="252"/>
      <c r="AE359" s="269"/>
      <c r="AF359" s="294"/>
    </row>
    <row r="360" spans="1:32" s="299" customFormat="1" ht="15" customHeight="1">
      <c r="A360" s="140" t="s">
        <v>34</v>
      </c>
      <c r="B360" s="140" t="s">
        <v>40</v>
      </c>
      <c r="C360" s="29">
        <v>199795</v>
      </c>
      <c r="D360" s="231">
        <v>10</v>
      </c>
      <c r="E360" s="278">
        <f t="shared" si="33"/>
        <v>38040</v>
      </c>
      <c r="F360" s="267">
        <f t="shared" si="32"/>
        <v>36926.1</v>
      </c>
      <c r="G360" s="262">
        <v>25558.543875707768</v>
      </c>
      <c r="H360" s="280">
        <v>23832.9</v>
      </c>
      <c r="I360" s="262">
        <v>10096.772646637128</v>
      </c>
      <c r="J360" s="280">
        <v>9250.5</v>
      </c>
      <c r="K360" s="298">
        <v>1275.6931900106115</v>
      </c>
      <c r="L360" s="298">
        <v>307.5221747899977</v>
      </c>
      <c r="M360" s="298">
        <v>801.4681128544929</v>
      </c>
      <c r="N360" s="280">
        <v>2445</v>
      </c>
      <c r="O360" s="280">
        <v>428.7</v>
      </c>
      <c r="P360" s="280">
        <v>969</v>
      </c>
      <c r="Q360" s="269"/>
      <c r="R360" s="271"/>
      <c r="S360" s="297">
        <f t="shared" si="30"/>
        <v>0</v>
      </c>
      <c r="T360" s="267">
        <f t="shared" si="31"/>
        <v>0</v>
      </c>
      <c r="U360" s="262"/>
      <c r="V360" s="255"/>
      <c r="W360" s="262"/>
      <c r="X360" s="255"/>
      <c r="Y360" s="298"/>
      <c r="Z360" s="298"/>
      <c r="AA360" s="298"/>
      <c r="AB360" s="252"/>
      <c r="AC360" s="252"/>
      <c r="AD360" s="252"/>
      <c r="AE360" s="269"/>
      <c r="AF360" s="294"/>
    </row>
    <row r="361" spans="1:32" s="299" customFormat="1" ht="15" customHeight="1">
      <c r="A361" s="142" t="s">
        <v>92</v>
      </c>
      <c r="B361" s="142" t="s">
        <v>117</v>
      </c>
      <c r="C361" s="24">
        <v>207388</v>
      </c>
      <c r="D361" s="232">
        <v>1</v>
      </c>
      <c r="E361" s="278">
        <f t="shared" si="33"/>
        <v>522821</v>
      </c>
      <c r="F361" s="267">
        <f t="shared" si="32"/>
        <v>525976</v>
      </c>
      <c r="G361" s="298">
        <v>519637</v>
      </c>
      <c r="H361" s="252">
        <v>520894</v>
      </c>
      <c r="I361" s="298"/>
      <c r="J361" s="252"/>
      <c r="K361" s="298">
        <v>1369</v>
      </c>
      <c r="L361" s="298">
        <v>237</v>
      </c>
      <c r="M361" s="298">
        <v>3</v>
      </c>
      <c r="N361" s="252">
        <v>3974</v>
      </c>
      <c r="O361" s="252">
        <v>172</v>
      </c>
      <c r="P361" s="252">
        <v>0</v>
      </c>
      <c r="Q361" s="298">
        <v>1575</v>
      </c>
      <c r="R361" s="252">
        <v>936</v>
      </c>
      <c r="S361" s="297">
        <f t="shared" si="30"/>
        <v>68364</v>
      </c>
      <c r="T361" s="267">
        <f t="shared" si="31"/>
        <v>64990</v>
      </c>
      <c r="U361" s="298">
        <v>65129</v>
      </c>
      <c r="V361" s="252">
        <v>63475</v>
      </c>
      <c r="W361" s="298"/>
      <c r="X361" s="252"/>
      <c r="Y361" s="298">
        <v>2923</v>
      </c>
      <c r="Z361" s="298">
        <v>204</v>
      </c>
      <c r="AA361" s="298">
        <v>66</v>
      </c>
      <c r="AB361" s="252">
        <v>1471</v>
      </c>
      <c r="AC361" s="252">
        <v>36</v>
      </c>
      <c r="AD361" s="252">
        <v>0</v>
      </c>
      <c r="AE361" s="298">
        <v>42</v>
      </c>
      <c r="AF361" s="257">
        <v>8</v>
      </c>
    </row>
    <row r="362" spans="1:32" s="299" customFormat="1" ht="15" customHeight="1">
      <c r="A362" s="142" t="s">
        <v>92</v>
      </c>
      <c r="B362" s="142" t="s">
        <v>116</v>
      </c>
      <c r="C362" s="395">
        <v>207500</v>
      </c>
      <c r="D362" s="158">
        <v>1</v>
      </c>
      <c r="E362" s="233">
        <f t="shared" si="33"/>
        <v>584618</v>
      </c>
      <c r="F362" s="151">
        <f t="shared" si="32"/>
        <v>572748</v>
      </c>
      <c r="G362" s="302">
        <v>553929</v>
      </c>
      <c r="H362" s="282">
        <v>531093</v>
      </c>
      <c r="I362" s="302">
        <v>3629</v>
      </c>
      <c r="J362" s="282">
        <v>3718</v>
      </c>
      <c r="K362" s="302">
        <v>22382</v>
      </c>
      <c r="L362" s="302">
        <v>2874</v>
      </c>
      <c r="M362" s="302">
        <v>987</v>
      </c>
      <c r="N362" s="282">
        <v>33055</v>
      </c>
      <c r="O362" s="282">
        <v>3041</v>
      </c>
      <c r="P362" s="282">
        <v>678</v>
      </c>
      <c r="Q362" s="302">
        <v>817</v>
      </c>
      <c r="R362" s="146">
        <v>1163</v>
      </c>
      <c r="S362" s="303">
        <f t="shared" si="30"/>
        <v>111276</v>
      </c>
      <c r="T362" s="151">
        <f t="shared" si="31"/>
        <v>109329</v>
      </c>
      <c r="U362" s="302">
        <v>64326</v>
      </c>
      <c r="V362" s="146">
        <v>88273</v>
      </c>
      <c r="W362" s="302">
        <v>24295</v>
      </c>
      <c r="X362" s="146">
        <v>8338</v>
      </c>
      <c r="Y362" s="302">
        <v>5939</v>
      </c>
      <c r="Z362" s="302">
        <v>16695</v>
      </c>
      <c r="AA362" s="302">
        <v>21</v>
      </c>
      <c r="AB362" s="146">
        <v>3406</v>
      </c>
      <c r="AC362" s="146">
        <v>9293</v>
      </c>
      <c r="AD362" s="146">
        <v>15</v>
      </c>
      <c r="AE362" s="302"/>
      <c r="AF362" s="172">
        <v>4</v>
      </c>
    </row>
    <row r="363" spans="1:32" s="299" customFormat="1" ht="15" customHeight="1">
      <c r="A363" s="142" t="s">
        <v>92</v>
      </c>
      <c r="B363" s="142" t="s">
        <v>115</v>
      </c>
      <c r="C363" s="395">
        <v>206941</v>
      </c>
      <c r="D363" s="158">
        <v>3</v>
      </c>
      <c r="E363" s="233">
        <f t="shared" si="33"/>
        <v>322916</v>
      </c>
      <c r="F363" s="151">
        <f t="shared" si="32"/>
        <v>344075</v>
      </c>
      <c r="G363" s="302">
        <v>320158</v>
      </c>
      <c r="H363" s="282">
        <v>335818</v>
      </c>
      <c r="I363" s="302">
        <v>447</v>
      </c>
      <c r="J363" s="282">
        <v>861</v>
      </c>
      <c r="K363" s="302">
        <v>844</v>
      </c>
      <c r="L363" s="302">
        <v>111</v>
      </c>
      <c r="M363" s="302">
        <v>1356</v>
      </c>
      <c r="N363" s="282">
        <v>4265</v>
      </c>
      <c r="O363" s="282">
        <v>129</v>
      </c>
      <c r="P363" s="282">
        <v>3002</v>
      </c>
      <c r="Q363" s="302">
        <v>0</v>
      </c>
      <c r="R363" s="146"/>
      <c r="S363" s="303">
        <f t="shared" si="30"/>
        <v>26248</v>
      </c>
      <c r="T363" s="151">
        <f t="shared" si="31"/>
        <v>23983</v>
      </c>
      <c r="U363" s="302">
        <v>24852</v>
      </c>
      <c r="V363" s="146">
        <v>22788</v>
      </c>
      <c r="W363" s="302">
        <v>252</v>
      </c>
      <c r="X363" s="146">
        <v>222</v>
      </c>
      <c r="Y363" s="302">
        <v>372</v>
      </c>
      <c r="Z363" s="302">
        <v>174</v>
      </c>
      <c r="AA363" s="302">
        <v>598</v>
      </c>
      <c r="AB363" s="146">
        <v>359</v>
      </c>
      <c r="AC363" s="146">
        <v>117</v>
      </c>
      <c r="AD363" s="146">
        <v>497</v>
      </c>
      <c r="AE363" s="302"/>
      <c r="AF363" s="172"/>
    </row>
    <row r="364" spans="1:32" s="299" customFormat="1" ht="15" customHeight="1">
      <c r="A364" s="142" t="s">
        <v>92</v>
      </c>
      <c r="B364" s="378" t="s">
        <v>114</v>
      </c>
      <c r="C364" s="395">
        <v>207263</v>
      </c>
      <c r="D364" s="158">
        <v>4</v>
      </c>
      <c r="E364" s="233">
        <f t="shared" si="33"/>
        <v>211686</v>
      </c>
      <c r="F364" s="151">
        <f t="shared" si="32"/>
        <v>212646</v>
      </c>
      <c r="G364" s="302">
        <v>205120</v>
      </c>
      <c r="H364" s="282">
        <v>202942</v>
      </c>
      <c r="I364" s="302"/>
      <c r="J364" s="282"/>
      <c r="K364" s="302">
        <v>5201</v>
      </c>
      <c r="L364" s="302">
        <v>1365</v>
      </c>
      <c r="M364" s="302">
        <v>0</v>
      </c>
      <c r="N364" s="282">
        <v>8294</v>
      </c>
      <c r="O364" s="282">
        <v>1410</v>
      </c>
      <c r="P364" s="282"/>
      <c r="Q364" s="302">
        <v>0</v>
      </c>
      <c r="R364" s="146"/>
      <c r="S364" s="303">
        <f t="shared" si="30"/>
        <v>17587</v>
      </c>
      <c r="T364" s="151">
        <f t="shared" si="31"/>
        <v>16798</v>
      </c>
      <c r="U364" s="302">
        <v>16714</v>
      </c>
      <c r="V364" s="146">
        <v>16480</v>
      </c>
      <c r="W364" s="302">
        <v>0</v>
      </c>
      <c r="X364" s="146"/>
      <c r="Y364" s="302">
        <v>489</v>
      </c>
      <c r="Z364" s="302">
        <v>384</v>
      </c>
      <c r="AA364" s="302">
        <v>0</v>
      </c>
      <c r="AB364" s="146">
        <v>171</v>
      </c>
      <c r="AC364" s="146">
        <v>147</v>
      </c>
      <c r="AD364" s="146"/>
      <c r="AE364" s="302"/>
      <c r="AF364" s="172"/>
    </row>
    <row r="365" spans="1:32" s="299" customFormat="1" ht="15" customHeight="1">
      <c r="A365" s="142" t="s">
        <v>92</v>
      </c>
      <c r="B365" s="142" t="s">
        <v>113</v>
      </c>
      <c r="C365" s="395">
        <v>206914</v>
      </c>
      <c r="D365" s="158">
        <v>5</v>
      </c>
      <c r="E365" s="233">
        <f t="shared" si="33"/>
        <v>126285</v>
      </c>
      <c r="F365" s="151">
        <f t="shared" si="32"/>
        <v>126049</v>
      </c>
      <c r="G365" s="302">
        <v>112974</v>
      </c>
      <c r="H365" s="282">
        <v>111074</v>
      </c>
      <c r="I365" s="302"/>
      <c r="J365" s="282"/>
      <c r="K365" s="302">
        <v>7563</v>
      </c>
      <c r="L365" s="302">
        <v>5430</v>
      </c>
      <c r="M365" s="302">
        <v>318</v>
      </c>
      <c r="N365" s="282">
        <v>8716</v>
      </c>
      <c r="O365" s="282">
        <v>6064</v>
      </c>
      <c r="P365" s="282">
        <v>195</v>
      </c>
      <c r="Q365" s="302">
        <v>0</v>
      </c>
      <c r="R365" s="146"/>
      <c r="S365" s="303">
        <f t="shared" si="30"/>
        <v>7803</v>
      </c>
      <c r="T365" s="151">
        <f t="shared" si="31"/>
        <v>7228</v>
      </c>
      <c r="U365" s="302">
        <v>4779</v>
      </c>
      <c r="V365" s="146">
        <v>6013</v>
      </c>
      <c r="W365" s="302">
        <v>0</v>
      </c>
      <c r="X365" s="146">
        <v>0</v>
      </c>
      <c r="Y365" s="302">
        <v>1734</v>
      </c>
      <c r="Z365" s="302">
        <v>1290</v>
      </c>
      <c r="AA365" s="302">
        <v>0</v>
      </c>
      <c r="AB365" s="146">
        <v>549</v>
      </c>
      <c r="AC365" s="146">
        <v>666</v>
      </c>
      <c r="AD365" s="146"/>
      <c r="AE365" s="302"/>
      <c r="AF365" s="172"/>
    </row>
    <row r="366" spans="1:32" s="299" customFormat="1" ht="15" customHeight="1">
      <c r="A366" s="142" t="s">
        <v>92</v>
      </c>
      <c r="B366" s="142" t="s">
        <v>112</v>
      </c>
      <c r="C366" s="395">
        <v>207041</v>
      </c>
      <c r="D366" s="158">
        <v>5</v>
      </c>
      <c r="E366" s="233">
        <f t="shared" si="33"/>
        <v>101269</v>
      </c>
      <c r="F366" s="151">
        <f t="shared" si="32"/>
        <v>103081</v>
      </c>
      <c r="G366" s="302">
        <v>95170</v>
      </c>
      <c r="H366" s="282">
        <v>91594</v>
      </c>
      <c r="I366" s="302">
        <v>206</v>
      </c>
      <c r="J366" s="282">
        <v>114</v>
      </c>
      <c r="K366" s="302">
        <v>1661</v>
      </c>
      <c r="L366" s="302">
        <v>2521</v>
      </c>
      <c r="M366" s="302">
        <v>1711</v>
      </c>
      <c r="N366" s="282">
        <v>2940</v>
      </c>
      <c r="O366" s="282">
        <v>2564</v>
      </c>
      <c r="P366" s="282">
        <v>5869</v>
      </c>
      <c r="Q366" s="302">
        <v>0</v>
      </c>
      <c r="R366" s="146"/>
      <c r="S366" s="303">
        <f t="shared" si="30"/>
        <v>13290</v>
      </c>
      <c r="T366" s="151">
        <f t="shared" si="31"/>
        <v>13649</v>
      </c>
      <c r="U366" s="302">
        <v>10307</v>
      </c>
      <c r="V366" s="146">
        <v>11654</v>
      </c>
      <c r="W366" s="302">
        <v>410</v>
      </c>
      <c r="X366" s="146">
        <v>179</v>
      </c>
      <c r="Y366" s="302">
        <v>996</v>
      </c>
      <c r="Z366" s="302">
        <v>1178</v>
      </c>
      <c r="AA366" s="302">
        <v>399</v>
      </c>
      <c r="AB366" s="146">
        <v>717</v>
      </c>
      <c r="AC366" s="146">
        <v>654</v>
      </c>
      <c r="AD366" s="146">
        <v>445</v>
      </c>
      <c r="AE366" s="302"/>
      <c r="AF366" s="172"/>
    </row>
    <row r="367" spans="1:32" s="299" customFormat="1" ht="15" customHeight="1">
      <c r="A367" s="142" t="s">
        <v>92</v>
      </c>
      <c r="B367" s="378" t="s">
        <v>108</v>
      </c>
      <c r="C367" s="395">
        <v>207209</v>
      </c>
      <c r="D367" s="158">
        <v>5</v>
      </c>
      <c r="E367" s="233">
        <f t="shared" si="33"/>
        <v>75557</v>
      </c>
      <c r="F367" s="151">
        <f t="shared" si="32"/>
        <v>76584</v>
      </c>
      <c r="G367" s="302">
        <v>75557</v>
      </c>
      <c r="H367" s="282">
        <v>76482</v>
      </c>
      <c r="I367" s="302"/>
      <c r="J367" s="282"/>
      <c r="K367" s="302">
        <v>0</v>
      </c>
      <c r="L367" s="302">
        <v>0</v>
      </c>
      <c r="M367" s="302">
        <v>0</v>
      </c>
      <c r="N367" s="282">
        <v>102</v>
      </c>
      <c r="O367" s="282">
        <v>0</v>
      </c>
      <c r="P367" s="282"/>
      <c r="Q367" s="302">
        <v>0</v>
      </c>
      <c r="R367" s="146"/>
      <c r="S367" s="303">
        <f t="shared" si="30"/>
        <v>2013</v>
      </c>
      <c r="T367" s="151">
        <f t="shared" si="31"/>
        <v>2447</v>
      </c>
      <c r="U367" s="302">
        <v>2013</v>
      </c>
      <c r="V367" s="146">
        <v>2447</v>
      </c>
      <c r="W367" s="302">
        <v>0</v>
      </c>
      <c r="X367" s="146"/>
      <c r="Y367" s="302">
        <v>0</v>
      </c>
      <c r="Z367" s="302">
        <v>0</v>
      </c>
      <c r="AA367" s="302">
        <v>0</v>
      </c>
      <c r="AB367" s="146"/>
      <c r="AC367" s="146">
        <v>0</v>
      </c>
      <c r="AD367" s="146"/>
      <c r="AE367" s="302"/>
      <c r="AF367" s="172"/>
    </row>
    <row r="368" spans="1:32" s="299" customFormat="1" ht="15" customHeight="1">
      <c r="A368" s="142" t="s">
        <v>92</v>
      </c>
      <c r="B368" s="142" t="s">
        <v>111</v>
      </c>
      <c r="C368" s="395">
        <v>207306</v>
      </c>
      <c r="D368" s="158">
        <v>5</v>
      </c>
      <c r="E368" s="233">
        <f t="shared" si="33"/>
        <v>50491</v>
      </c>
      <c r="F368" s="151">
        <f t="shared" si="32"/>
        <v>50344</v>
      </c>
      <c r="G368" s="302">
        <v>40381</v>
      </c>
      <c r="H368" s="282">
        <v>38351</v>
      </c>
      <c r="I368" s="302">
        <v>99</v>
      </c>
      <c r="J368" s="282">
        <v>69</v>
      </c>
      <c r="K368" s="302">
        <v>1103</v>
      </c>
      <c r="L368" s="302">
        <v>8311</v>
      </c>
      <c r="M368" s="302">
        <v>597</v>
      </c>
      <c r="N368" s="282">
        <v>2983</v>
      </c>
      <c r="O368" s="282">
        <v>8386</v>
      </c>
      <c r="P368" s="282">
        <v>555</v>
      </c>
      <c r="Q368" s="302">
        <v>0</v>
      </c>
      <c r="R368" s="146"/>
      <c r="S368" s="303">
        <f t="shared" si="30"/>
        <v>4598</v>
      </c>
      <c r="T368" s="151">
        <f t="shared" si="31"/>
        <v>3956</v>
      </c>
      <c r="U368" s="302">
        <v>3640</v>
      </c>
      <c r="V368" s="146">
        <v>3541</v>
      </c>
      <c r="W368" s="302">
        <v>0</v>
      </c>
      <c r="X368" s="146"/>
      <c r="Y368" s="302">
        <v>190</v>
      </c>
      <c r="Z368" s="302">
        <v>768</v>
      </c>
      <c r="AA368" s="302">
        <v>0</v>
      </c>
      <c r="AB368" s="146">
        <v>104</v>
      </c>
      <c r="AC368" s="146">
        <v>311</v>
      </c>
      <c r="AD368" s="146"/>
      <c r="AE368" s="302"/>
      <c r="AF368" s="172"/>
    </row>
    <row r="369" spans="1:32" s="299" customFormat="1" ht="15" customHeight="1">
      <c r="A369" s="142" t="s">
        <v>92</v>
      </c>
      <c r="B369" s="142" t="s">
        <v>110</v>
      </c>
      <c r="C369" s="395">
        <v>207847</v>
      </c>
      <c r="D369" s="158">
        <v>5</v>
      </c>
      <c r="E369" s="233">
        <f t="shared" si="33"/>
        <v>95455</v>
      </c>
      <c r="F369" s="151">
        <f t="shared" si="32"/>
        <v>96863</v>
      </c>
      <c r="G369" s="302">
        <v>89291</v>
      </c>
      <c r="H369" s="282">
        <v>83848</v>
      </c>
      <c r="I369" s="302">
        <v>9</v>
      </c>
      <c r="J369" s="282">
        <v>168</v>
      </c>
      <c r="K369" s="302">
        <v>3980</v>
      </c>
      <c r="L369" s="302">
        <v>2175</v>
      </c>
      <c r="M369" s="302">
        <v>0</v>
      </c>
      <c r="N369" s="282">
        <v>7021</v>
      </c>
      <c r="O369" s="282">
        <v>5826</v>
      </c>
      <c r="P369" s="282"/>
      <c r="Q369" s="302">
        <v>0</v>
      </c>
      <c r="R369" s="146"/>
      <c r="S369" s="303">
        <f t="shared" si="30"/>
        <v>6711</v>
      </c>
      <c r="T369" s="151">
        <f t="shared" si="31"/>
        <v>5782</v>
      </c>
      <c r="U369" s="302">
        <v>6027</v>
      </c>
      <c r="V369" s="146">
        <v>5365</v>
      </c>
      <c r="W369" s="302">
        <v>15</v>
      </c>
      <c r="X369" s="146">
        <v>87</v>
      </c>
      <c r="Y369" s="302">
        <v>381</v>
      </c>
      <c r="Z369" s="302">
        <v>288</v>
      </c>
      <c r="AA369" s="302">
        <v>0</v>
      </c>
      <c r="AB369" s="146">
        <v>72</v>
      </c>
      <c r="AC369" s="146">
        <v>258</v>
      </c>
      <c r="AD369" s="146"/>
      <c r="AE369" s="302"/>
      <c r="AF369" s="172"/>
    </row>
    <row r="370" spans="1:32" s="299" customFormat="1" ht="15" customHeight="1">
      <c r="A370" s="142" t="s">
        <v>92</v>
      </c>
      <c r="B370" s="142" t="s">
        <v>109</v>
      </c>
      <c r="C370" s="395">
        <v>207865</v>
      </c>
      <c r="D370" s="158">
        <v>5</v>
      </c>
      <c r="E370" s="233">
        <f t="shared" si="33"/>
        <v>126086</v>
      </c>
      <c r="F370" s="151">
        <f t="shared" si="32"/>
        <v>120395</v>
      </c>
      <c r="G370" s="302">
        <v>121546</v>
      </c>
      <c r="H370" s="282">
        <v>115270</v>
      </c>
      <c r="I370" s="302">
        <v>211</v>
      </c>
      <c r="J370" s="282">
        <v>377</v>
      </c>
      <c r="K370" s="302">
        <v>1627</v>
      </c>
      <c r="L370" s="302">
        <v>1372</v>
      </c>
      <c r="M370" s="302">
        <v>1330</v>
      </c>
      <c r="N370" s="282">
        <v>1737</v>
      </c>
      <c r="O370" s="282">
        <v>1493</v>
      </c>
      <c r="P370" s="282">
        <v>1518</v>
      </c>
      <c r="Q370" s="302">
        <v>0</v>
      </c>
      <c r="R370" s="146"/>
      <c r="S370" s="303">
        <f t="shared" si="30"/>
        <v>4981</v>
      </c>
      <c r="T370" s="151">
        <f t="shared" si="31"/>
        <v>7651</v>
      </c>
      <c r="U370" s="302">
        <v>3998</v>
      </c>
      <c r="V370" s="146">
        <v>6628</v>
      </c>
      <c r="W370" s="302">
        <v>0</v>
      </c>
      <c r="X370" s="146">
        <v>3</v>
      </c>
      <c r="Y370" s="302">
        <v>213</v>
      </c>
      <c r="Z370" s="302">
        <v>770</v>
      </c>
      <c r="AA370" s="302">
        <v>0</v>
      </c>
      <c r="AB370" s="146">
        <v>249</v>
      </c>
      <c r="AC370" s="146">
        <v>771</v>
      </c>
      <c r="AD370" s="146"/>
      <c r="AE370" s="302"/>
      <c r="AF370" s="172"/>
    </row>
    <row r="371" spans="1:32" s="299" customFormat="1" ht="15" customHeight="1">
      <c r="A371" s="142" t="s">
        <v>92</v>
      </c>
      <c r="B371" s="142" t="s">
        <v>107</v>
      </c>
      <c r="C371" s="395">
        <v>207351</v>
      </c>
      <c r="D371" s="158">
        <v>6</v>
      </c>
      <c r="E371" s="233">
        <f t="shared" si="33"/>
        <v>15613</v>
      </c>
      <c r="F371" s="151">
        <f t="shared" si="32"/>
        <v>32165</v>
      </c>
      <c r="G371" s="302">
        <v>15300</v>
      </c>
      <c r="H371" s="282">
        <v>31120</v>
      </c>
      <c r="I371" s="302"/>
      <c r="J371" s="282"/>
      <c r="K371" s="302">
        <v>292</v>
      </c>
      <c r="L371" s="302">
        <v>0</v>
      </c>
      <c r="M371" s="302">
        <v>21</v>
      </c>
      <c r="N371" s="282">
        <v>959</v>
      </c>
      <c r="O371" s="282">
        <v>84</v>
      </c>
      <c r="P371" s="282">
        <v>2</v>
      </c>
      <c r="Q371" s="302">
        <v>0</v>
      </c>
      <c r="R371" s="146"/>
      <c r="S371" s="303">
        <f t="shared" si="30"/>
        <v>0</v>
      </c>
      <c r="T371" s="151">
        <f t="shared" si="31"/>
        <v>0</v>
      </c>
      <c r="U371" s="302"/>
      <c r="V371" s="146"/>
      <c r="W371" s="302"/>
      <c r="X371" s="146"/>
      <c r="Y371" s="302">
        <v>0</v>
      </c>
      <c r="Z371" s="302">
        <v>0</v>
      </c>
      <c r="AA371" s="302">
        <v>0</v>
      </c>
      <c r="AB371" s="146"/>
      <c r="AC371" s="146"/>
      <c r="AD371" s="146"/>
      <c r="AE371" s="302"/>
      <c r="AF371" s="172"/>
    </row>
    <row r="372" spans="1:32" s="299" customFormat="1" ht="15" customHeight="1">
      <c r="A372" s="142" t="s">
        <v>92</v>
      </c>
      <c r="B372" s="142" t="s">
        <v>106</v>
      </c>
      <c r="C372" s="395">
        <v>207722</v>
      </c>
      <c r="D372" s="158">
        <v>6</v>
      </c>
      <c r="E372" s="233">
        <f t="shared" si="33"/>
        <v>35014</v>
      </c>
      <c r="F372" s="151">
        <f t="shared" si="32"/>
        <v>35632</v>
      </c>
      <c r="G372" s="302">
        <v>34682</v>
      </c>
      <c r="H372" s="282">
        <v>35265</v>
      </c>
      <c r="I372" s="302">
        <v>332</v>
      </c>
      <c r="J372" s="282">
        <v>313</v>
      </c>
      <c r="K372" s="302">
        <v>0</v>
      </c>
      <c r="L372" s="302">
        <v>0</v>
      </c>
      <c r="M372" s="302">
        <v>0</v>
      </c>
      <c r="N372" s="282"/>
      <c r="O372" s="282">
        <v>54</v>
      </c>
      <c r="P372" s="282"/>
      <c r="Q372" s="302">
        <v>0</v>
      </c>
      <c r="R372" s="146"/>
      <c r="S372" s="303">
        <f t="shared" si="30"/>
        <v>0</v>
      </c>
      <c r="T372" s="151">
        <f t="shared" si="31"/>
        <v>0</v>
      </c>
      <c r="U372" s="302"/>
      <c r="V372" s="146"/>
      <c r="W372" s="302"/>
      <c r="X372" s="146"/>
      <c r="Y372" s="302"/>
      <c r="Z372" s="302"/>
      <c r="AA372" s="302"/>
      <c r="AB372" s="146"/>
      <c r="AC372" s="146"/>
      <c r="AD372" s="146"/>
      <c r="AE372" s="302"/>
      <c r="AF372" s="172"/>
    </row>
    <row r="373" spans="1:32" s="299" customFormat="1" ht="15" customHeight="1">
      <c r="A373" s="142" t="s">
        <v>92</v>
      </c>
      <c r="B373" s="378" t="s">
        <v>94</v>
      </c>
      <c r="C373" s="395">
        <v>207661</v>
      </c>
      <c r="D373" s="158">
        <v>7</v>
      </c>
      <c r="E373" s="233">
        <f t="shared" si="33"/>
        <v>80033</v>
      </c>
      <c r="F373" s="151">
        <f t="shared" si="32"/>
        <v>82396</v>
      </c>
      <c r="G373" s="302">
        <v>56031</v>
      </c>
      <c r="H373" s="282">
        <v>55125</v>
      </c>
      <c r="I373" s="302">
        <v>6135</v>
      </c>
      <c r="J373" s="282">
        <v>5797</v>
      </c>
      <c r="K373" s="302">
        <v>13811</v>
      </c>
      <c r="L373" s="302">
        <v>4056</v>
      </c>
      <c r="M373" s="302">
        <v>0</v>
      </c>
      <c r="N373" s="282">
        <v>17310</v>
      </c>
      <c r="O373" s="282">
        <v>4164</v>
      </c>
      <c r="P373" s="282">
        <v>0</v>
      </c>
      <c r="Q373" s="302">
        <v>0</v>
      </c>
      <c r="R373" s="146"/>
      <c r="S373" s="303">
        <f t="shared" si="30"/>
        <v>0</v>
      </c>
      <c r="T373" s="151">
        <f t="shared" si="31"/>
        <v>0</v>
      </c>
      <c r="U373" s="302"/>
      <c r="V373" s="146"/>
      <c r="W373" s="302"/>
      <c r="X373" s="146"/>
      <c r="Y373" s="302"/>
      <c r="Z373" s="302"/>
      <c r="AA373" s="302"/>
      <c r="AB373" s="146"/>
      <c r="AC373" s="146"/>
      <c r="AD373" s="146"/>
      <c r="AE373" s="302"/>
      <c r="AF373" s="172"/>
    </row>
    <row r="374" spans="1:32" s="299" customFormat="1" ht="15" customHeight="1">
      <c r="A374" s="142" t="s">
        <v>92</v>
      </c>
      <c r="B374" s="142" t="s">
        <v>105</v>
      </c>
      <c r="C374" s="395">
        <v>207449</v>
      </c>
      <c r="D374" s="158">
        <v>8</v>
      </c>
      <c r="E374" s="233">
        <f t="shared" si="33"/>
        <v>241493</v>
      </c>
      <c r="F374" s="151">
        <f t="shared" si="32"/>
        <v>244538</v>
      </c>
      <c r="G374" s="302">
        <v>193739</v>
      </c>
      <c r="H374" s="282">
        <v>194294</v>
      </c>
      <c r="I374" s="302">
        <v>15016</v>
      </c>
      <c r="J374" s="282">
        <v>16718</v>
      </c>
      <c r="K374" s="302">
        <v>22548</v>
      </c>
      <c r="L374" s="302">
        <v>399</v>
      </c>
      <c r="M374" s="302">
        <v>4037</v>
      </c>
      <c r="N374" s="282">
        <v>22465</v>
      </c>
      <c r="O374" s="282">
        <v>366</v>
      </c>
      <c r="P374" s="282">
        <v>3402</v>
      </c>
      <c r="Q374" s="302">
        <v>5754</v>
      </c>
      <c r="R374" s="146">
        <v>7293</v>
      </c>
      <c r="S374" s="303">
        <f t="shared" si="30"/>
        <v>0</v>
      </c>
      <c r="T374" s="151">
        <f t="shared" si="31"/>
        <v>0</v>
      </c>
      <c r="U374" s="302"/>
      <c r="V374" s="146"/>
      <c r="W374" s="302"/>
      <c r="X374" s="146"/>
      <c r="Y374" s="302"/>
      <c r="Z374" s="302"/>
      <c r="AA374" s="302"/>
      <c r="AB374" s="146"/>
      <c r="AC374" s="146"/>
      <c r="AD374" s="146"/>
      <c r="AE374" s="302"/>
      <c r="AF374" s="172"/>
    </row>
    <row r="375" spans="1:32" s="299" customFormat="1" ht="15" customHeight="1">
      <c r="A375" s="142" t="s">
        <v>92</v>
      </c>
      <c r="B375" s="142" t="s">
        <v>104</v>
      </c>
      <c r="C375" s="395">
        <v>207935</v>
      </c>
      <c r="D375" s="158">
        <v>8</v>
      </c>
      <c r="E375" s="233">
        <f t="shared" si="33"/>
        <v>323457</v>
      </c>
      <c r="F375" s="151">
        <f t="shared" si="32"/>
        <v>324573</v>
      </c>
      <c r="G375" s="302">
        <v>264326</v>
      </c>
      <c r="H375" s="282">
        <v>255308</v>
      </c>
      <c r="I375" s="302">
        <v>10744</v>
      </c>
      <c r="J375" s="282">
        <v>14578</v>
      </c>
      <c r="K375" s="302">
        <v>39302</v>
      </c>
      <c r="L375" s="302">
        <v>792</v>
      </c>
      <c r="M375" s="302">
        <v>7501</v>
      </c>
      <c r="N375" s="282">
        <v>47170</v>
      </c>
      <c r="O375" s="282">
        <v>905</v>
      </c>
      <c r="P375" s="282">
        <v>6612</v>
      </c>
      <c r="Q375" s="302">
        <v>792</v>
      </c>
      <c r="R375" s="146"/>
      <c r="S375" s="303">
        <f t="shared" si="30"/>
        <v>0</v>
      </c>
      <c r="T375" s="151">
        <f t="shared" si="31"/>
        <v>0</v>
      </c>
      <c r="U375" s="302"/>
      <c r="V375" s="146"/>
      <c r="W375" s="302"/>
      <c r="X375" s="146"/>
      <c r="Y375" s="302"/>
      <c r="Z375" s="302"/>
      <c r="AA375" s="302"/>
      <c r="AB375" s="146"/>
      <c r="AC375" s="146"/>
      <c r="AD375" s="146"/>
      <c r="AE375" s="302"/>
      <c r="AF375" s="172"/>
    </row>
    <row r="376" spans="1:32" s="299" customFormat="1" ht="15" customHeight="1">
      <c r="A376" s="142" t="s">
        <v>92</v>
      </c>
      <c r="B376" s="142" t="s">
        <v>103</v>
      </c>
      <c r="C376" s="395">
        <v>207281</v>
      </c>
      <c r="D376" s="158">
        <v>9</v>
      </c>
      <c r="E376" s="233">
        <f t="shared" si="33"/>
        <v>92004</v>
      </c>
      <c r="F376" s="151">
        <f t="shared" si="32"/>
        <v>99326</v>
      </c>
      <c r="G376" s="302">
        <v>53520</v>
      </c>
      <c r="H376" s="282">
        <v>62628</v>
      </c>
      <c r="I376" s="302">
        <v>12204</v>
      </c>
      <c r="J376" s="282">
        <v>9579</v>
      </c>
      <c r="K376" s="302">
        <v>15722</v>
      </c>
      <c r="L376" s="302">
        <v>10558</v>
      </c>
      <c r="M376" s="302">
        <v>0</v>
      </c>
      <c r="N376" s="282">
        <v>16858</v>
      </c>
      <c r="O376" s="282">
        <v>10261</v>
      </c>
      <c r="P376" s="282"/>
      <c r="Q376" s="302">
        <v>0</v>
      </c>
      <c r="R376" s="146"/>
      <c r="S376" s="303">
        <f t="shared" si="30"/>
        <v>0</v>
      </c>
      <c r="T376" s="151">
        <f t="shared" si="31"/>
        <v>0</v>
      </c>
      <c r="U376" s="302"/>
      <c r="V376" s="146"/>
      <c r="W376" s="302"/>
      <c r="X376" s="146"/>
      <c r="Y376" s="302"/>
      <c r="Z376" s="302"/>
      <c r="AA376" s="302"/>
      <c r="AB376" s="146"/>
      <c r="AC376" s="146"/>
      <c r="AD376" s="146"/>
      <c r="AE376" s="302"/>
      <c r="AF376" s="172"/>
    </row>
    <row r="377" spans="1:32" s="299" customFormat="1" ht="15" customHeight="1">
      <c r="A377" s="142" t="s">
        <v>92</v>
      </c>
      <c r="B377" s="396" t="s">
        <v>102</v>
      </c>
      <c r="C377" s="395">
        <v>207564</v>
      </c>
      <c r="D377" s="158">
        <v>9</v>
      </c>
      <c r="E377" s="233">
        <f t="shared" si="33"/>
        <v>76679</v>
      </c>
      <c r="F377" s="151">
        <f t="shared" si="32"/>
        <v>77960</v>
      </c>
      <c r="G377" s="302">
        <v>68778</v>
      </c>
      <c r="H377" s="282">
        <v>77960</v>
      </c>
      <c r="I377" s="302">
        <v>7901</v>
      </c>
      <c r="J377" s="282"/>
      <c r="K377" s="302">
        <v>0</v>
      </c>
      <c r="L377" s="302">
        <v>0</v>
      </c>
      <c r="M377" s="302">
        <v>0</v>
      </c>
      <c r="N377" s="282"/>
      <c r="O377" s="282"/>
      <c r="P377" s="282"/>
      <c r="Q377" s="302">
        <v>0</v>
      </c>
      <c r="R377" s="146"/>
      <c r="S377" s="303">
        <f t="shared" si="30"/>
        <v>0</v>
      </c>
      <c r="T377" s="151">
        <f t="shared" si="31"/>
        <v>0</v>
      </c>
      <c r="U377" s="302"/>
      <c r="V377" s="146"/>
      <c r="W377" s="302"/>
      <c r="X377" s="146"/>
      <c r="Y377" s="302"/>
      <c r="Z377" s="302"/>
      <c r="AA377" s="302"/>
      <c r="AB377" s="146"/>
      <c r="AC377" s="146"/>
      <c r="AD377" s="146"/>
      <c r="AE377" s="302"/>
      <c r="AF377" s="172"/>
    </row>
    <row r="378" spans="1:32" s="299" customFormat="1" ht="15" customHeight="1">
      <c r="A378" s="142" t="s">
        <v>92</v>
      </c>
      <c r="B378" s="142" t="s">
        <v>410</v>
      </c>
      <c r="C378" s="395">
        <v>207397</v>
      </c>
      <c r="D378" s="158">
        <v>9</v>
      </c>
      <c r="E378" s="233">
        <f t="shared" si="33"/>
        <v>109765</v>
      </c>
      <c r="F378" s="151">
        <f t="shared" si="32"/>
        <v>59743</v>
      </c>
      <c r="G378" s="302">
        <v>109765</v>
      </c>
      <c r="H378" s="282">
        <v>51670</v>
      </c>
      <c r="I378" s="302"/>
      <c r="J378" s="282">
        <v>6913</v>
      </c>
      <c r="K378" s="302">
        <v>0</v>
      </c>
      <c r="L378" s="302">
        <v>0</v>
      </c>
      <c r="M378" s="302">
        <v>0</v>
      </c>
      <c r="N378" s="282">
        <v>1160</v>
      </c>
      <c r="O378" s="282"/>
      <c r="P378" s="282"/>
      <c r="Q378" s="302">
        <v>0</v>
      </c>
      <c r="R378" s="146"/>
      <c r="S378" s="303">
        <f t="shared" si="30"/>
        <v>0</v>
      </c>
      <c r="T378" s="151">
        <f t="shared" si="31"/>
        <v>0</v>
      </c>
      <c r="U378" s="302"/>
      <c r="V378" s="146"/>
      <c r="W378" s="302"/>
      <c r="X378" s="146"/>
      <c r="Y378" s="302"/>
      <c r="Z378" s="302"/>
      <c r="AA378" s="302"/>
      <c r="AB378" s="146"/>
      <c r="AC378" s="146"/>
      <c r="AD378" s="146"/>
      <c r="AE378" s="302"/>
      <c r="AF378" s="172"/>
    </row>
    <row r="379" spans="1:32" s="299" customFormat="1" ht="15" customHeight="1">
      <c r="A379" s="142" t="s">
        <v>92</v>
      </c>
      <c r="B379" s="142" t="s">
        <v>101</v>
      </c>
      <c r="C379" s="395">
        <v>207670</v>
      </c>
      <c r="D379" s="158">
        <v>9</v>
      </c>
      <c r="E379" s="233">
        <f t="shared" si="33"/>
        <v>151689</v>
      </c>
      <c r="F379" s="151">
        <f t="shared" si="32"/>
        <v>147702</v>
      </c>
      <c r="G379" s="302">
        <v>127440</v>
      </c>
      <c r="H379" s="282">
        <v>121144</v>
      </c>
      <c r="I379" s="302">
        <v>4230</v>
      </c>
      <c r="J379" s="282">
        <v>4417</v>
      </c>
      <c r="K379" s="302">
        <v>15484</v>
      </c>
      <c r="L379" s="302">
        <v>303</v>
      </c>
      <c r="M379" s="302">
        <v>4232</v>
      </c>
      <c r="N379" s="282">
        <v>18104</v>
      </c>
      <c r="O379" s="282">
        <v>360</v>
      </c>
      <c r="P379" s="282">
        <v>3677</v>
      </c>
      <c r="Q379" s="302">
        <v>0</v>
      </c>
      <c r="R379" s="146"/>
      <c r="S379" s="303">
        <f t="shared" si="30"/>
        <v>0</v>
      </c>
      <c r="T379" s="151">
        <f t="shared" si="31"/>
        <v>0</v>
      </c>
      <c r="U379" s="302"/>
      <c r="V379" s="146"/>
      <c r="W379" s="302"/>
      <c r="X379" s="146"/>
      <c r="Y379" s="302"/>
      <c r="Z379" s="302"/>
      <c r="AA379" s="302"/>
      <c r="AB379" s="146"/>
      <c r="AC379" s="146"/>
      <c r="AD379" s="146"/>
      <c r="AE379" s="302"/>
      <c r="AF379" s="172"/>
    </row>
    <row r="380" spans="1:32" s="299" customFormat="1" ht="15" customHeight="1">
      <c r="A380" s="142" t="s">
        <v>92</v>
      </c>
      <c r="B380" s="142" t="s">
        <v>100</v>
      </c>
      <c r="C380" s="395">
        <v>206923</v>
      </c>
      <c r="D380" s="158">
        <v>10</v>
      </c>
      <c r="E380" s="233">
        <f t="shared" si="33"/>
        <v>27569</v>
      </c>
      <c r="F380" s="151">
        <f t="shared" si="32"/>
        <v>57760</v>
      </c>
      <c r="G380" s="302">
        <v>22838</v>
      </c>
      <c r="H380" s="282">
        <v>47294</v>
      </c>
      <c r="I380" s="302">
        <v>389</v>
      </c>
      <c r="J380" s="282">
        <v>384</v>
      </c>
      <c r="K380" s="302">
        <v>4205</v>
      </c>
      <c r="L380" s="302">
        <v>137</v>
      </c>
      <c r="M380" s="302">
        <v>0</v>
      </c>
      <c r="N380" s="282">
        <v>9908</v>
      </c>
      <c r="O380" s="282">
        <v>174</v>
      </c>
      <c r="P380" s="282">
        <v>0</v>
      </c>
      <c r="Q380" s="302">
        <v>0</v>
      </c>
      <c r="R380" s="146"/>
      <c r="S380" s="303">
        <f t="shared" si="30"/>
        <v>0</v>
      </c>
      <c r="T380" s="151">
        <f t="shared" si="31"/>
        <v>0</v>
      </c>
      <c r="U380" s="302"/>
      <c r="V380" s="146"/>
      <c r="W380" s="302"/>
      <c r="X380" s="146"/>
      <c r="Y380" s="302"/>
      <c r="Z380" s="302"/>
      <c r="AA380" s="302"/>
      <c r="AB380" s="146"/>
      <c r="AC380" s="146"/>
      <c r="AD380" s="146"/>
      <c r="AE380" s="302"/>
      <c r="AF380" s="172"/>
    </row>
    <row r="381" spans="1:32" s="299" customFormat="1" ht="15" customHeight="1">
      <c r="A381" s="142" t="s">
        <v>92</v>
      </c>
      <c r="B381" s="142" t="s">
        <v>99</v>
      </c>
      <c r="C381" s="395">
        <v>206996</v>
      </c>
      <c r="D381" s="158">
        <v>10</v>
      </c>
      <c r="E381" s="233">
        <f t="shared" si="33"/>
        <v>51125</v>
      </c>
      <c r="F381" s="151">
        <f t="shared" si="32"/>
        <v>49168</v>
      </c>
      <c r="G381" s="302">
        <v>41350</v>
      </c>
      <c r="H381" s="282">
        <v>38645</v>
      </c>
      <c r="I381" s="302">
        <v>2208</v>
      </c>
      <c r="J381" s="282">
        <v>2761</v>
      </c>
      <c r="K381" s="302">
        <v>1668</v>
      </c>
      <c r="L381" s="302">
        <v>5890</v>
      </c>
      <c r="M381" s="302">
        <v>0</v>
      </c>
      <c r="N381" s="282">
        <v>1741</v>
      </c>
      <c r="O381" s="282">
        <v>6016</v>
      </c>
      <c r="P381" s="282"/>
      <c r="Q381" s="302">
        <v>9</v>
      </c>
      <c r="R381" s="146">
        <v>5</v>
      </c>
      <c r="S381" s="303">
        <f t="shared" si="30"/>
        <v>0</v>
      </c>
      <c r="T381" s="151">
        <f t="shared" si="31"/>
        <v>0</v>
      </c>
      <c r="U381" s="302"/>
      <c r="V381" s="146"/>
      <c r="W381" s="302"/>
      <c r="X381" s="146"/>
      <c r="Y381" s="302"/>
      <c r="Z381" s="302"/>
      <c r="AA381" s="302"/>
      <c r="AB381" s="146"/>
      <c r="AC381" s="146"/>
      <c r="AD381" s="146"/>
      <c r="AE381" s="302"/>
      <c r="AF381" s="172"/>
    </row>
    <row r="382" spans="1:32" s="299" customFormat="1" ht="15" customHeight="1">
      <c r="A382" s="142" t="s">
        <v>92</v>
      </c>
      <c r="B382" s="142" t="s">
        <v>98</v>
      </c>
      <c r="C382" s="395">
        <v>207050</v>
      </c>
      <c r="D382" s="158">
        <v>10</v>
      </c>
      <c r="E382" s="233">
        <f t="shared" si="33"/>
        <v>44457</v>
      </c>
      <c r="F382" s="151">
        <f t="shared" si="32"/>
        <v>43093</v>
      </c>
      <c r="G382" s="302">
        <v>41877</v>
      </c>
      <c r="H382" s="282">
        <v>40407</v>
      </c>
      <c r="I382" s="302">
        <v>412</v>
      </c>
      <c r="J382" s="282">
        <v>227</v>
      </c>
      <c r="K382" s="302">
        <v>1153</v>
      </c>
      <c r="L382" s="302">
        <v>1015</v>
      </c>
      <c r="M382" s="302">
        <v>0</v>
      </c>
      <c r="N382" s="282">
        <v>1020</v>
      </c>
      <c r="O382" s="282">
        <v>1439</v>
      </c>
      <c r="P382" s="282"/>
      <c r="Q382" s="302">
        <v>0</v>
      </c>
      <c r="R382" s="146"/>
      <c r="S382" s="303">
        <f t="shared" si="30"/>
        <v>0</v>
      </c>
      <c r="T382" s="151">
        <f t="shared" si="31"/>
        <v>0</v>
      </c>
      <c r="U382" s="302"/>
      <c r="V382" s="146"/>
      <c r="W382" s="302"/>
      <c r="X382" s="146"/>
      <c r="Y382" s="302"/>
      <c r="Z382" s="302"/>
      <c r="AA382" s="302"/>
      <c r="AB382" s="146"/>
      <c r="AC382" s="146"/>
      <c r="AD382" s="146"/>
      <c r="AE382" s="302"/>
      <c r="AF382" s="172"/>
    </row>
    <row r="383" spans="1:32" s="299" customFormat="1" ht="15" customHeight="1">
      <c r="A383" s="142" t="s">
        <v>92</v>
      </c>
      <c r="B383" s="142" t="s">
        <v>97</v>
      </c>
      <c r="C383" s="395">
        <v>207236</v>
      </c>
      <c r="D383" s="158">
        <v>10</v>
      </c>
      <c r="E383" s="233">
        <f t="shared" si="33"/>
        <v>45834</v>
      </c>
      <c r="F383" s="151">
        <f t="shared" si="32"/>
        <v>49435</v>
      </c>
      <c r="G383" s="302">
        <v>34971</v>
      </c>
      <c r="H383" s="282">
        <v>37441</v>
      </c>
      <c r="I383" s="302">
        <v>2653</v>
      </c>
      <c r="J383" s="282">
        <v>1770</v>
      </c>
      <c r="K383" s="302">
        <v>4980</v>
      </c>
      <c r="L383" s="302">
        <v>2841</v>
      </c>
      <c r="M383" s="302">
        <v>389</v>
      </c>
      <c r="N383" s="282">
        <v>6930</v>
      </c>
      <c r="O383" s="282">
        <v>2988</v>
      </c>
      <c r="P383" s="282">
        <v>306</v>
      </c>
      <c r="Q383" s="302">
        <v>0</v>
      </c>
      <c r="R383" s="146"/>
      <c r="S383" s="303">
        <f t="shared" si="30"/>
        <v>0</v>
      </c>
      <c r="T383" s="151">
        <f t="shared" si="31"/>
        <v>0</v>
      </c>
      <c r="U383" s="302"/>
      <c r="V383" s="146"/>
      <c r="W383" s="302"/>
      <c r="X383" s="146"/>
      <c r="Y383" s="302"/>
      <c r="Z383" s="302"/>
      <c r="AA383" s="302"/>
      <c r="AB383" s="146"/>
      <c r="AC383" s="146"/>
      <c r="AD383" s="146"/>
      <c r="AE383" s="302"/>
      <c r="AF383" s="172"/>
    </row>
    <row r="384" spans="1:32" s="299" customFormat="1" ht="15" customHeight="1">
      <c r="A384" s="142" t="s">
        <v>92</v>
      </c>
      <c r="B384" s="142" t="s">
        <v>96</v>
      </c>
      <c r="C384" s="395">
        <v>207290</v>
      </c>
      <c r="D384" s="158">
        <v>10</v>
      </c>
      <c r="E384" s="233">
        <f t="shared" si="33"/>
        <v>50280</v>
      </c>
      <c r="F384" s="151">
        <f t="shared" si="32"/>
        <v>46424</v>
      </c>
      <c r="G384" s="302">
        <v>47184</v>
      </c>
      <c r="H384" s="282">
        <v>44195</v>
      </c>
      <c r="I384" s="302">
        <v>639</v>
      </c>
      <c r="J384" s="282">
        <v>336</v>
      </c>
      <c r="K384" s="302">
        <v>2112</v>
      </c>
      <c r="L384" s="302">
        <v>345</v>
      </c>
      <c r="M384" s="302">
        <v>0</v>
      </c>
      <c r="N384" s="282">
        <v>0</v>
      </c>
      <c r="O384" s="282">
        <v>1893</v>
      </c>
      <c r="P384" s="282"/>
      <c r="Q384" s="302">
        <v>0</v>
      </c>
      <c r="R384" s="146"/>
      <c r="S384" s="303">
        <f t="shared" si="30"/>
        <v>0</v>
      </c>
      <c r="T384" s="151">
        <f t="shared" si="31"/>
        <v>0</v>
      </c>
      <c r="U384" s="302"/>
      <c r="V384" s="146"/>
      <c r="W384" s="302"/>
      <c r="X384" s="146"/>
      <c r="Y384" s="302"/>
      <c r="Z384" s="302"/>
      <c r="AA384" s="302"/>
      <c r="AB384" s="146"/>
      <c r="AC384" s="146"/>
      <c r="AD384" s="146"/>
      <c r="AE384" s="302"/>
      <c r="AF384" s="172"/>
    </row>
    <row r="385" spans="1:32" s="299" customFormat="1" ht="15" customHeight="1">
      <c r="A385" s="142" t="s">
        <v>92</v>
      </c>
      <c r="B385" s="142" t="s">
        <v>95</v>
      </c>
      <c r="C385" s="395">
        <v>207069</v>
      </c>
      <c r="D385" s="158">
        <v>10</v>
      </c>
      <c r="E385" s="233">
        <f t="shared" si="33"/>
        <v>44483</v>
      </c>
      <c r="F385" s="151">
        <f t="shared" si="32"/>
        <v>43709</v>
      </c>
      <c r="G385" s="302">
        <v>31103</v>
      </c>
      <c r="H385" s="282">
        <v>28168</v>
      </c>
      <c r="I385" s="302">
        <v>4942</v>
      </c>
      <c r="J385" s="282">
        <v>5214</v>
      </c>
      <c r="K385" s="302">
        <v>5923</v>
      </c>
      <c r="L385" s="302">
        <v>747</v>
      </c>
      <c r="M385" s="302">
        <v>1768</v>
      </c>
      <c r="N385" s="282">
        <v>7671</v>
      </c>
      <c r="O385" s="282">
        <v>921</v>
      </c>
      <c r="P385" s="282">
        <v>1735</v>
      </c>
      <c r="Q385" s="302">
        <v>0</v>
      </c>
      <c r="R385" s="146"/>
      <c r="S385" s="303">
        <f t="shared" si="30"/>
        <v>0</v>
      </c>
      <c r="T385" s="151">
        <f t="shared" si="31"/>
        <v>0</v>
      </c>
      <c r="U385" s="302"/>
      <c r="V385" s="146"/>
      <c r="W385" s="302"/>
      <c r="X385" s="146"/>
      <c r="Y385" s="302"/>
      <c r="Z385" s="302"/>
      <c r="AA385" s="302"/>
      <c r="AB385" s="146"/>
      <c r="AC385" s="146"/>
      <c r="AD385" s="146"/>
      <c r="AE385" s="302"/>
      <c r="AF385" s="172"/>
    </row>
    <row r="386" spans="1:32" s="299" customFormat="1" ht="15" customHeight="1">
      <c r="A386" s="142" t="s">
        <v>92</v>
      </c>
      <c r="B386" s="142" t="s">
        <v>93</v>
      </c>
      <c r="C386" s="395">
        <v>207740</v>
      </c>
      <c r="D386" s="158">
        <v>10</v>
      </c>
      <c r="E386" s="233">
        <f t="shared" si="33"/>
        <v>47450</v>
      </c>
      <c r="F386" s="151">
        <f t="shared" si="32"/>
        <v>46771</v>
      </c>
      <c r="G386" s="302">
        <v>40341</v>
      </c>
      <c r="H386" s="282">
        <v>39467</v>
      </c>
      <c r="I386" s="302">
        <v>5897</v>
      </c>
      <c r="J386" s="282">
        <v>5366</v>
      </c>
      <c r="K386" s="302">
        <v>888</v>
      </c>
      <c r="L386" s="302">
        <v>0</v>
      </c>
      <c r="M386" s="302">
        <v>324</v>
      </c>
      <c r="N386" s="282">
        <v>1638</v>
      </c>
      <c r="O386" s="282"/>
      <c r="P386" s="282">
        <v>300</v>
      </c>
      <c r="Q386" s="302">
        <v>0</v>
      </c>
      <c r="R386" s="146"/>
      <c r="S386" s="303">
        <f t="shared" si="30"/>
        <v>0</v>
      </c>
      <c r="T386" s="151">
        <f t="shared" si="31"/>
        <v>0</v>
      </c>
      <c r="U386" s="302"/>
      <c r="V386" s="146"/>
      <c r="W386" s="302"/>
      <c r="X386" s="146"/>
      <c r="Y386" s="302"/>
      <c r="Z386" s="302"/>
      <c r="AA386" s="302"/>
      <c r="AB386" s="146"/>
      <c r="AC386" s="146"/>
      <c r="AD386" s="146"/>
      <c r="AE386" s="302"/>
      <c r="AF386" s="172"/>
    </row>
    <row r="387" spans="1:32" s="299" customFormat="1" ht="15" customHeight="1">
      <c r="A387" s="142" t="s">
        <v>92</v>
      </c>
      <c r="B387" s="142" t="s">
        <v>91</v>
      </c>
      <c r="C387" s="24">
        <v>208035</v>
      </c>
      <c r="D387" s="158">
        <v>10</v>
      </c>
      <c r="E387" s="233">
        <f t="shared" si="33"/>
        <v>40508</v>
      </c>
      <c r="F387" s="151">
        <f t="shared" si="32"/>
        <v>41203</v>
      </c>
      <c r="G387" s="302">
        <v>25698</v>
      </c>
      <c r="H387" s="282">
        <v>24141</v>
      </c>
      <c r="I387" s="302">
        <v>7458</v>
      </c>
      <c r="J387" s="282">
        <v>8143</v>
      </c>
      <c r="K387" s="302">
        <v>5029</v>
      </c>
      <c r="L387" s="302">
        <v>1411</v>
      </c>
      <c r="M387" s="302">
        <v>912</v>
      </c>
      <c r="N387" s="282">
        <v>5901</v>
      </c>
      <c r="O387" s="282">
        <v>2106</v>
      </c>
      <c r="P387" s="282">
        <v>912</v>
      </c>
      <c r="Q387" s="302">
        <v>0</v>
      </c>
      <c r="R387" s="146"/>
      <c r="S387" s="303">
        <f t="shared" si="30"/>
        <v>0</v>
      </c>
      <c r="T387" s="151">
        <f t="shared" si="31"/>
        <v>0</v>
      </c>
      <c r="U387" s="302"/>
      <c r="V387" s="146"/>
      <c r="W387" s="302"/>
      <c r="X387" s="146"/>
      <c r="Y387" s="302"/>
      <c r="Z387" s="302"/>
      <c r="AA387" s="302"/>
      <c r="AB387" s="146"/>
      <c r="AC387" s="146"/>
      <c r="AD387" s="146"/>
      <c r="AE387" s="302"/>
      <c r="AF387" s="172"/>
    </row>
    <row r="388" spans="1:32" s="299" customFormat="1" ht="15" customHeight="1">
      <c r="A388" s="138" t="s">
        <v>131</v>
      </c>
      <c r="B388" s="138" t="s">
        <v>132</v>
      </c>
      <c r="C388" s="30">
        <v>228723</v>
      </c>
      <c r="D388" s="275">
        <v>1</v>
      </c>
      <c r="E388" s="333">
        <f t="shared" si="33"/>
        <v>1003597</v>
      </c>
      <c r="F388" s="334">
        <f t="shared" si="32"/>
        <v>1002041</v>
      </c>
      <c r="G388" s="344">
        <v>998857</v>
      </c>
      <c r="H388" s="310">
        <v>978398</v>
      </c>
      <c r="I388" s="344">
        <v>4083</v>
      </c>
      <c r="J388" s="310">
        <v>4203</v>
      </c>
      <c r="K388" s="344">
        <v>657</v>
      </c>
      <c r="L388" s="326"/>
      <c r="M388" s="344"/>
      <c r="N388" s="310">
        <v>16044</v>
      </c>
      <c r="O388" s="288">
        <v>0</v>
      </c>
      <c r="P388" s="317">
        <v>3396</v>
      </c>
      <c r="Q388" s="348"/>
      <c r="R388" s="282"/>
      <c r="S388" s="301">
        <f t="shared" si="30"/>
        <v>150837</v>
      </c>
      <c r="T388" s="334">
        <f t="shared" si="31"/>
        <v>142679</v>
      </c>
      <c r="U388" s="344">
        <v>143852</v>
      </c>
      <c r="V388" s="310">
        <v>135206</v>
      </c>
      <c r="W388" s="344">
        <v>3083</v>
      </c>
      <c r="X388" s="310">
        <v>1570</v>
      </c>
      <c r="Y388" s="344">
        <v>2651</v>
      </c>
      <c r="Z388" s="326">
        <v>828</v>
      </c>
      <c r="AA388" s="344">
        <v>423</v>
      </c>
      <c r="AB388" s="310">
        <v>4890</v>
      </c>
      <c r="AC388" s="292">
        <v>670</v>
      </c>
      <c r="AD388" s="310">
        <v>343</v>
      </c>
      <c r="AE388" s="326"/>
      <c r="AF388" s="282"/>
    </row>
    <row r="389" spans="1:32" s="299" customFormat="1" ht="15" customHeight="1">
      <c r="A389" s="138" t="s">
        <v>131</v>
      </c>
      <c r="B389" s="138" t="s">
        <v>133</v>
      </c>
      <c r="C389" s="30">
        <v>229115</v>
      </c>
      <c r="D389" s="229">
        <v>1</v>
      </c>
      <c r="E389" s="297">
        <f t="shared" si="33"/>
        <v>657813</v>
      </c>
      <c r="F389" s="251">
        <f t="shared" si="32"/>
        <v>655654</v>
      </c>
      <c r="G389" s="269">
        <v>643071</v>
      </c>
      <c r="H389" s="313">
        <v>642587</v>
      </c>
      <c r="I389" s="269">
        <v>689</v>
      </c>
      <c r="J389" s="313">
        <v>3095</v>
      </c>
      <c r="K389" s="349">
        <v>11675</v>
      </c>
      <c r="L389" s="326">
        <v>2290</v>
      </c>
      <c r="M389" s="350">
        <v>88</v>
      </c>
      <c r="N389" s="351">
        <v>9630</v>
      </c>
      <c r="O389" s="288">
        <v>342</v>
      </c>
      <c r="P389" s="352">
        <v>0</v>
      </c>
      <c r="Q389" s="314"/>
      <c r="R389" s="252"/>
      <c r="S389" s="297">
        <f t="shared" si="30"/>
        <v>102021</v>
      </c>
      <c r="T389" s="251">
        <f t="shared" si="31"/>
        <v>103592</v>
      </c>
      <c r="U389" s="269">
        <v>95183</v>
      </c>
      <c r="V389" s="313">
        <v>95793</v>
      </c>
      <c r="W389" s="269">
        <v>919</v>
      </c>
      <c r="X389" s="313">
        <v>1427</v>
      </c>
      <c r="Y389" s="349">
        <v>4303</v>
      </c>
      <c r="Z389" s="326">
        <v>959</v>
      </c>
      <c r="AA389" s="350">
        <v>657</v>
      </c>
      <c r="AB389" s="351">
        <v>4910</v>
      </c>
      <c r="AC389" s="292">
        <v>1189</v>
      </c>
      <c r="AD389" s="353">
        <v>273</v>
      </c>
      <c r="AE389" s="298"/>
      <c r="AF389" s="257"/>
    </row>
    <row r="390" spans="1:32" s="299" customFormat="1" ht="15" customHeight="1">
      <c r="A390" s="138" t="s">
        <v>131</v>
      </c>
      <c r="B390" s="138" t="s">
        <v>134</v>
      </c>
      <c r="C390" s="30">
        <v>225511</v>
      </c>
      <c r="D390" s="229">
        <v>1</v>
      </c>
      <c r="E390" s="297">
        <f t="shared" si="33"/>
        <v>681664</v>
      </c>
      <c r="F390" s="251">
        <f t="shared" si="32"/>
        <v>675718</v>
      </c>
      <c r="G390" s="269">
        <v>643948</v>
      </c>
      <c r="H390" s="313">
        <v>614659</v>
      </c>
      <c r="I390" s="269">
        <v>3595</v>
      </c>
      <c r="J390" s="313">
        <v>3000</v>
      </c>
      <c r="K390" s="269">
        <v>15053</v>
      </c>
      <c r="L390" s="298">
        <v>645</v>
      </c>
      <c r="M390" s="269">
        <v>18423</v>
      </c>
      <c r="N390" s="313">
        <v>37302</v>
      </c>
      <c r="O390" s="270">
        <v>57</v>
      </c>
      <c r="P390" s="315">
        <v>20700</v>
      </c>
      <c r="Q390" s="314"/>
      <c r="R390" s="252"/>
      <c r="S390" s="297">
        <f t="shared" si="30"/>
        <v>165569</v>
      </c>
      <c r="T390" s="251">
        <f t="shared" si="31"/>
        <v>155323</v>
      </c>
      <c r="U390" s="269">
        <v>156574</v>
      </c>
      <c r="V390" s="313">
        <v>148586</v>
      </c>
      <c r="W390" s="269">
        <v>4522</v>
      </c>
      <c r="X390" s="313">
        <v>2208</v>
      </c>
      <c r="Y390" s="269">
        <v>3092</v>
      </c>
      <c r="Z390" s="298">
        <v>396</v>
      </c>
      <c r="AA390" s="269">
        <v>985</v>
      </c>
      <c r="AB390" s="313">
        <v>3789</v>
      </c>
      <c r="AC390" s="271">
        <v>57</v>
      </c>
      <c r="AD390" s="313">
        <v>683</v>
      </c>
      <c r="AE390" s="298"/>
      <c r="AF390" s="257"/>
    </row>
    <row r="391" spans="1:32" s="299" customFormat="1" ht="15" customHeight="1">
      <c r="A391" s="138" t="s">
        <v>131</v>
      </c>
      <c r="B391" s="138" t="s">
        <v>135</v>
      </c>
      <c r="C391" s="30">
        <v>227216</v>
      </c>
      <c r="D391" s="229">
        <v>1</v>
      </c>
      <c r="E391" s="297">
        <f t="shared" si="33"/>
        <v>653124</v>
      </c>
      <c r="F391" s="251">
        <f t="shared" si="32"/>
        <v>672650</v>
      </c>
      <c r="G391" s="269">
        <v>612417</v>
      </c>
      <c r="H391" s="313">
        <v>609180</v>
      </c>
      <c r="I391" s="269">
        <v>11658</v>
      </c>
      <c r="J391" s="313">
        <v>15525</v>
      </c>
      <c r="K391" s="269">
        <v>28651</v>
      </c>
      <c r="L391" s="298">
        <v>398</v>
      </c>
      <c r="M391" s="269"/>
      <c r="N391" s="313">
        <v>47436</v>
      </c>
      <c r="O391" s="270">
        <v>235</v>
      </c>
      <c r="P391" s="315">
        <v>274</v>
      </c>
      <c r="Q391" s="314"/>
      <c r="R391" s="252"/>
      <c r="S391" s="297">
        <f aca="true" t="shared" si="34" ref="S391:S454">SUM(U391,W391,Y391,Z391,AA391,AE391)</f>
        <v>102594</v>
      </c>
      <c r="T391" s="251">
        <f aca="true" t="shared" si="35" ref="T391:T454">SUM(V391,X391,AB391,AC391,AD391,AF391)</f>
        <v>97341</v>
      </c>
      <c r="U391" s="269">
        <v>69070</v>
      </c>
      <c r="V391" s="313">
        <v>65230</v>
      </c>
      <c r="W391" s="269">
        <v>6159</v>
      </c>
      <c r="X391" s="313">
        <v>6497</v>
      </c>
      <c r="Y391" s="269">
        <v>25468</v>
      </c>
      <c r="Z391" s="298">
        <v>1897</v>
      </c>
      <c r="AA391" s="269"/>
      <c r="AB391" s="313">
        <v>24317</v>
      </c>
      <c r="AC391" s="271">
        <v>1093</v>
      </c>
      <c r="AD391" s="313">
        <v>204</v>
      </c>
      <c r="AE391" s="298"/>
      <c r="AF391" s="257"/>
    </row>
    <row r="392" spans="1:32" s="299" customFormat="1" ht="15" customHeight="1">
      <c r="A392" s="138" t="s">
        <v>131</v>
      </c>
      <c r="B392" s="138" t="s">
        <v>136</v>
      </c>
      <c r="C392" s="30">
        <v>228778</v>
      </c>
      <c r="D392" s="229">
        <v>1</v>
      </c>
      <c r="E392" s="297">
        <f t="shared" si="33"/>
        <v>1060667</v>
      </c>
      <c r="F392" s="251">
        <f t="shared" si="32"/>
        <v>1009043</v>
      </c>
      <c r="G392" s="269">
        <v>1058777</v>
      </c>
      <c r="H392" s="313">
        <v>1004773</v>
      </c>
      <c r="I392" s="269">
        <v>1890</v>
      </c>
      <c r="J392" s="313">
        <v>4270</v>
      </c>
      <c r="K392" s="269"/>
      <c r="L392" s="298"/>
      <c r="M392" s="269"/>
      <c r="N392" s="313">
        <v>0</v>
      </c>
      <c r="O392" s="270">
        <v>0</v>
      </c>
      <c r="P392" s="315">
        <v>0</v>
      </c>
      <c r="Q392" s="314"/>
      <c r="R392" s="252"/>
      <c r="S392" s="297">
        <f t="shared" si="34"/>
        <v>275578</v>
      </c>
      <c r="T392" s="251">
        <f t="shared" si="35"/>
        <v>274607</v>
      </c>
      <c r="U392" s="269">
        <v>275488</v>
      </c>
      <c r="V392" s="313">
        <v>274377</v>
      </c>
      <c r="W392" s="269">
        <v>90</v>
      </c>
      <c r="X392" s="313">
        <v>230</v>
      </c>
      <c r="Y392" s="269"/>
      <c r="Z392" s="298"/>
      <c r="AA392" s="269"/>
      <c r="AB392" s="313">
        <v>0</v>
      </c>
      <c r="AC392" s="271">
        <v>0</v>
      </c>
      <c r="AD392" s="313">
        <v>0</v>
      </c>
      <c r="AE392" s="298"/>
      <c r="AF392" s="257"/>
    </row>
    <row r="393" spans="1:32" s="299" customFormat="1" ht="15" customHeight="1">
      <c r="A393" s="138" t="s">
        <v>131</v>
      </c>
      <c r="B393" s="138" t="s">
        <v>137</v>
      </c>
      <c r="C393" s="30">
        <v>229179</v>
      </c>
      <c r="D393" s="155">
        <v>2</v>
      </c>
      <c r="E393" s="303">
        <f t="shared" si="33"/>
        <v>141387</v>
      </c>
      <c r="F393" s="279">
        <f t="shared" si="32"/>
        <v>166330</v>
      </c>
      <c r="G393" s="152">
        <v>134091</v>
      </c>
      <c r="H393" s="312">
        <v>150625</v>
      </c>
      <c r="I393" s="152">
        <v>1030</v>
      </c>
      <c r="J393" s="312">
        <v>853</v>
      </c>
      <c r="K393" s="152">
        <v>5687</v>
      </c>
      <c r="L393" s="302">
        <v>579</v>
      </c>
      <c r="M393" s="152"/>
      <c r="N393" s="312">
        <v>14852</v>
      </c>
      <c r="O393" s="287">
        <v>0</v>
      </c>
      <c r="P393" s="316">
        <v>0</v>
      </c>
      <c r="Q393" s="311"/>
      <c r="R393" s="146"/>
      <c r="S393" s="303">
        <f t="shared" si="34"/>
        <v>69087</v>
      </c>
      <c r="T393" s="279">
        <f t="shared" si="35"/>
        <v>86580</v>
      </c>
      <c r="U393" s="152">
        <v>46804</v>
      </c>
      <c r="V393" s="312">
        <v>50991</v>
      </c>
      <c r="W393" s="152">
        <v>4170</v>
      </c>
      <c r="X393" s="312">
        <v>2859</v>
      </c>
      <c r="Y393" s="152">
        <v>16329</v>
      </c>
      <c r="Z393" s="302">
        <v>1784</v>
      </c>
      <c r="AA393" s="152"/>
      <c r="AB393" s="312">
        <v>29902</v>
      </c>
      <c r="AC393" s="153">
        <v>2828</v>
      </c>
      <c r="AD393" s="312">
        <v>0</v>
      </c>
      <c r="AE393" s="302"/>
      <c r="AF393" s="172"/>
    </row>
    <row r="394" spans="1:32" s="299" customFormat="1" ht="15" customHeight="1">
      <c r="A394" s="138" t="s">
        <v>131</v>
      </c>
      <c r="B394" s="138" t="s">
        <v>138</v>
      </c>
      <c r="C394" s="30">
        <v>228769</v>
      </c>
      <c r="D394" s="155">
        <v>2</v>
      </c>
      <c r="E394" s="303">
        <f t="shared" si="33"/>
        <v>473407</v>
      </c>
      <c r="F394" s="279">
        <f t="shared" si="32"/>
        <v>491583</v>
      </c>
      <c r="G394" s="152">
        <v>459647</v>
      </c>
      <c r="H394" s="312">
        <v>476457</v>
      </c>
      <c r="I394" s="152">
        <v>3877</v>
      </c>
      <c r="J394" s="312">
        <v>4306</v>
      </c>
      <c r="K394" s="152">
        <v>9868</v>
      </c>
      <c r="L394" s="302"/>
      <c r="M394" s="152">
        <v>15</v>
      </c>
      <c r="N394" s="312">
        <v>10595</v>
      </c>
      <c r="O394" s="287">
        <v>168</v>
      </c>
      <c r="P394" s="316">
        <v>57</v>
      </c>
      <c r="Q394" s="311"/>
      <c r="R394" s="146"/>
      <c r="S394" s="303">
        <f t="shared" si="34"/>
        <v>101207</v>
      </c>
      <c r="T394" s="279">
        <f t="shared" si="35"/>
        <v>98301</v>
      </c>
      <c r="U394" s="152">
        <v>93184</v>
      </c>
      <c r="V394" s="312">
        <v>84851</v>
      </c>
      <c r="W394" s="152">
        <v>1782</v>
      </c>
      <c r="X394" s="312">
        <v>4374</v>
      </c>
      <c r="Y394" s="152">
        <v>5776</v>
      </c>
      <c r="Z394" s="302"/>
      <c r="AA394" s="152">
        <v>465</v>
      </c>
      <c r="AB394" s="312">
        <v>8371</v>
      </c>
      <c r="AC394" s="153">
        <v>0</v>
      </c>
      <c r="AD394" s="312">
        <v>705</v>
      </c>
      <c r="AE394" s="302"/>
      <c r="AF394" s="172"/>
    </row>
    <row r="395" spans="1:32" s="299" customFormat="1" ht="15" customHeight="1">
      <c r="A395" s="138" t="s">
        <v>131</v>
      </c>
      <c r="B395" s="391" t="s">
        <v>139</v>
      </c>
      <c r="C395" s="30">
        <v>228787</v>
      </c>
      <c r="D395" s="155">
        <v>2</v>
      </c>
      <c r="E395" s="303">
        <f t="shared" si="33"/>
        <v>223831</v>
      </c>
      <c r="F395" s="279">
        <f t="shared" si="32"/>
        <v>241023</v>
      </c>
      <c r="G395" s="152">
        <v>222182</v>
      </c>
      <c r="H395" s="312">
        <v>239764</v>
      </c>
      <c r="I395" s="152">
        <v>300</v>
      </c>
      <c r="J395" s="312">
        <v>248</v>
      </c>
      <c r="K395" s="152">
        <v>485</v>
      </c>
      <c r="L395" s="302"/>
      <c r="M395" s="152">
        <v>864</v>
      </c>
      <c r="N395" s="312">
        <v>681</v>
      </c>
      <c r="O395" s="287">
        <v>0</v>
      </c>
      <c r="P395" s="316">
        <v>330</v>
      </c>
      <c r="Q395" s="311"/>
      <c r="R395" s="146"/>
      <c r="S395" s="303">
        <f t="shared" si="34"/>
        <v>82166</v>
      </c>
      <c r="T395" s="279">
        <f t="shared" si="35"/>
        <v>82537</v>
      </c>
      <c r="U395" s="152">
        <v>76664</v>
      </c>
      <c r="V395" s="312">
        <v>75152</v>
      </c>
      <c r="W395" s="152">
        <v>939</v>
      </c>
      <c r="X395" s="312">
        <v>351</v>
      </c>
      <c r="Y395" s="152">
        <v>3321</v>
      </c>
      <c r="Z395" s="302"/>
      <c r="AA395" s="152">
        <v>1242</v>
      </c>
      <c r="AB395" s="312">
        <v>6908</v>
      </c>
      <c r="AC395" s="153">
        <v>0</v>
      </c>
      <c r="AD395" s="312">
        <v>126</v>
      </c>
      <c r="AE395" s="302"/>
      <c r="AF395" s="172"/>
    </row>
    <row r="396" spans="1:32" s="299" customFormat="1" ht="15" customHeight="1">
      <c r="A396" s="138" t="s">
        <v>131</v>
      </c>
      <c r="B396" s="138" t="s">
        <v>140</v>
      </c>
      <c r="C396" s="30">
        <v>222831</v>
      </c>
      <c r="D396" s="155">
        <v>3</v>
      </c>
      <c r="E396" s="303">
        <f t="shared" si="33"/>
        <v>155794</v>
      </c>
      <c r="F396" s="279">
        <f t="shared" si="32"/>
        <v>155118</v>
      </c>
      <c r="G396" s="152">
        <v>153751</v>
      </c>
      <c r="H396" s="312">
        <v>152365</v>
      </c>
      <c r="I396" s="152">
        <v>1143</v>
      </c>
      <c r="J396" s="312">
        <v>747</v>
      </c>
      <c r="K396" s="152">
        <v>900</v>
      </c>
      <c r="L396" s="302"/>
      <c r="M396" s="152"/>
      <c r="N396" s="312">
        <v>1904</v>
      </c>
      <c r="O396" s="287">
        <v>0</v>
      </c>
      <c r="P396" s="316">
        <v>102</v>
      </c>
      <c r="Q396" s="311"/>
      <c r="R396" s="146"/>
      <c r="S396" s="303">
        <f t="shared" si="34"/>
        <v>7465</v>
      </c>
      <c r="T396" s="279">
        <f t="shared" si="35"/>
        <v>7895</v>
      </c>
      <c r="U396" s="152">
        <v>7390</v>
      </c>
      <c r="V396" s="312">
        <v>7572</v>
      </c>
      <c r="W396" s="152"/>
      <c r="X396" s="312">
        <v>0</v>
      </c>
      <c r="Y396" s="152">
        <v>75</v>
      </c>
      <c r="Z396" s="302"/>
      <c r="AA396" s="152"/>
      <c r="AB396" s="312">
        <v>323</v>
      </c>
      <c r="AC396" s="153">
        <v>0</v>
      </c>
      <c r="AD396" s="312">
        <v>0</v>
      </c>
      <c r="AE396" s="302"/>
      <c r="AF396" s="172"/>
    </row>
    <row r="397" spans="1:32" s="299" customFormat="1" ht="15" customHeight="1">
      <c r="A397" s="138" t="s">
        <v>131</v>
      </c>
      <c r="B397" s="138" t="s">
        <v>141</v>
      </c>
      <c r="C397" s="30">
        <v>226091</v>
      </c>
      <c r="D397" s="155">
        <v>3</v>
      </c>
      <c r="E397" s="303">
        <f t="shared" si="33"/>
        <v>223983</v>
      </c>
      <c r="F397" s="279">
        <f t="shared" si="32"/>
        <v>237810</v>
      </c>
      <c r="G397" s="152">
        <v>211854</v>
      </c>
      <c r="H397" s="312">
        <v>225027</v>
      </c>
      <c r="I397" s="152">
        <v>4242</v>
      </c>
      <c r="J397" s="312">
        <v>4248</v>
      </c>
      <c r="K397" s="152">
        <v>1737</v>
      </c>
      <c r="L397" s="302">
        <v>1785</v>
      </c>
      <c r="M397" s="152">
        <v>4365</v>
      </c>
      <c r="N397" s="312">
        <v>3684</v>
      </c>
      <c r="O397" s="287">
        <v>1536</v>
      </c>
      <c r="P397" s="316">
        <v>3315</v>
      </c>
      <c r="Q397" s="311"/>
      <c r="R397" s="146"/>
      <c r="S397" s="303">
        <f t="shared" si="34"/>
        <v>26027</v>
      </c>
      <c r="T397" s="279">
        <f t="shared" si="35"/>
        <v>23558</v>
      </c>
      <c r="U397" s="152">
        <v>25667</v>
      </c>
      <c r="V397" s="312">
        <v>23115</v>
      </c>
      <c r="W397" s="152">
        <v>24</v>
      </c>
      <c r="X397" s="312">
        <v>48</v>
      </c>
      <c r="Y397" s="152">
        <v>150</v>
      </c>
      <c r="Z397" s="302">
        <v>141</v>
      </c>
      <c r="AA397" s="152">
        <v>45</v>
      </c>
      <c r="AB397" s="312">
        <v>344</v>
      </c>
      <c r="AC397" s="153">
        <v>30</v>
      </c>
      <c r="AD397" s="312">
        <v>21</v>
      </c>
      <c r="AE397" s="302"/>
      <c r="AF397" s="172"/>
    </row>
    <row r="398" spans="1:32" s="299" customFormat="1" ht="15" customHeight="1">
      <c r="A398" s="138" t="s">
        <v>131</v>
      </c>
      <c r="B398" s="138" t="s">
        <v>142</v>
      </c>
      <c r="C398" s="30">
        <v>226833</v>
      </c>
      <c r="D398" s="155">
        <v>3</v>
      </c>
      <c r="E398" s="303">
        <f t="shared" si="33"/>
        <v>147906</v>
      </c>
      <c r="F398" s="279">
        <f t="shared" si="32"/>
        <v>144681</v>
      </c>
      <c r="G398" s="152">
        <v>133239</v>
      </c>
      <c r="H398" s="312">
        <v>128609</v>
      </c>
      <c r="I398" s="152">
        <v>3546</v>
      </c>
      <c r="J398" s="312">
        <v>1146</v>
      </c>
      <c r="K398" s="152">
        <v>10299</v>
      </c>
      <c r="L398" s="302">
        <v>54</v>
      </c>
      <c r="M398" s="152">
        <v>768</v>
      </c>
      <c r="N398" s="312">
        <v>13768</v>
      </c>
      <c r="O398" s="287">
        <v>3</v>
      </c>
      <c r="P398" s="316">
        <v>1155</v>
      </c>
      <c r="Q398" s="311"/>
      <c r="R398" s="146"/>
      <c r="S398" s="303">
        <f t="shared" si="34"/>
        <v>10129</v>
      </c>
      <c r="T398" s="279">
        <f t="shared" si="35"/>
        <v>8912</v>
      </c>
      <c r="U398" s="152">
        <v>7834</v>
      </c>
      <c r="V398" s="312">
        <v>6742</v>
      </c>
      <c r="W398" s="152">
        <v>846</v>
      </c>
      <c r="X398" s="312">
        <v>33</v>
      </c>
      <c r="Y398" s="152">
        <v>1287</v>
      </c>
      <c r="Z398" s="302">
        <v>162</v>
      </c>
      <c r="AA398" s="152"/>
      <c r="AB398" s="312">
        <v>1738</v>
      </c>
      <c r="AC398" s="153">
        <v>399</v>
      </c>
      <c r="AD398" s="312">
        <v>0</v>
      </c>
      <c r="AE398" s="302"/>
      <c r="AF398" s="172"/>
    </row>
    <row r="399" spans="1:32" s="299" customFormat="1" ht="15" customHeight="1">
      <c r="A399" s="138" t="s">
        <v>131</v>
      </c>
      <c r="B399" s="138" t="s">
        <v>143</v>
      </c>
      <c r="C399" s="30">
        <v>227526</v>
      </c>
      <c r="D399" s="155">
        <v>3</v>
      </c>
      <c r="E399" s="303">
        <f t="shared" si="33"/>
        <v>170032</v>
      </c>
      <c r="F399" s="279">
        <f t="shared" si="32"/>
        <v>172948</v>
      </c>
      <c r="G399" s="152">
        <v>162087</v>
      </c>
      <c r="H399" s="312">
        <v>164258</v>
      </c>
      <c r="I399" s="152">
        <v>6715</v>
      </c>
      <c r="J399" s="312">
        <v>7583</v>
      </c>
      <c r="K399" s="152">
        <v>868</v>
      </c>
      <c r="L399" s="302">
        <v>362</v>
      </c>
      <c r="M399" s="152"/>
      <c r="N399" s="312">
        <v>759</v>
      </c>
      <c r="O399" s="287">
        <v>348</v>
      </c>
      <c r="P399" s="316">
        <v>0</v>
      </c>
      <c r="Q399" s="311"/>
      <c r="R399" s="146"/>
      <c r="S399" s="303">
        <f t="shared" si="34"/>
        <v>33245</v>
      </c>
      <c r="T399" s="279">
        <f t="shared" si="35"/>
        <v>40595</v>
      </c>
      <c r="U399" s="152">
        <v>24016</v>
      </c>
      <c r="V399" s="312">
        <v>26249</v>
      </c>
      <c r="W399" s="152">
        <v>8776</v>
      </c>
      <c r="X399" s="312">
        <v>9729</v>
      </c>
      <c r="Y399" s="152">
        <v>453</v>
      </c>
      <c r="Z399" s="302"/>
      <c r="AA399" s="152"/>
      <c r="AB399" s="312">
        <v>1143</v>
      </c>
      <c r="AC399" s="153">
        <v>3474</v>
      </c>
      <c r="AD399" s="312">
        <v>0</v>
      </c>
      <c r="AE399" s="302"/>
      <c r="AF399" s="172"/>
    </row>
    <row r="400" spans="1:32" s="299" customFormat="1" ht="15" customHeight="1">
      <c r="A400" s="138" t="s">
        <v>131</v>
      </c>
      <c r="B400" s="138" t="s">
        <v>144</v>
      </c>
      <c r="C400" s="30">
        <v>227881</v>
      </c>
      <c r="D400" s="155">
        <v>3</v>
      </c>
      <c r="E400" s="303">
        <f t="shared" si="33"/>
        <v>325627</v>
      </c>
      <c r="F400" s="279">
        <f t="shared" si="32"/>
        <v>363039</v>
      </c>
      <c r="G400" s="152">
        <v>307567</v>
      </c>
      <c r="H400" s="312">
        <v>341231</v>
      </c>
      <c r="I400" s="152">
        <v>12816</v>
      </c>
      <c r="J400" s="312">
        <v>15467</v>
      </c>
      <c r="K400" s="152">
        <v>4971</v>
      </c>
      <c r="L400" s="302">
        <v>273</v>
      </c>
      <c r="M400" s="152"/>
      <c r="N400" s="312">
        <v>5996</v>
      </c>
      <c r="O400" s="287">
        <v>345</v>
      </c>
      <c r="P400" s="316">
        <v>0</v>
      </c>
      <c r="Q400" s="311"/>
      <c r="R400" s="146"/>
      <c r="S400" s="303">
        <f t="shared" si="34"/>
        <v>29219</v>
      </c>
      <c r="T400" s="279">
        <f t="shared" si="35"/>
        <v>34075</v>
      </c>
      <c r="U400" s="152">
        <v>17474</v>
      </c>
      <c r="V400" s="312">
        <v>16964</v>
      </c>
      <c r="W400" s="152">
        <v>9816</v>
      </c>
      <c r="X400" s="312">
        <v>13421</v>
      </c>
      <c r="Y400" s="152">
        <v>1260</v>
      </c>
      <c r="Z400" s="302">
        <v>669</v>
      </c>
      <c r="AA400" s="152"/>
      <c r="AB400" s="312">
        <v>3180</v>
      </c>
      <c r="AC400" s="153">
        <v>510</v>
      </c>
      <c r="AD400" s="312">
        <v>0</v>
      </c>
      <c r="AE400" s="302"/>
      <c r="AF400" s="172"/>
    </row>
    <row r="401" spans="1:32" s="299" customFormat="1" ht="15" customHeight="1">
      <c r="A401" s="138" t="s">
        <v>131</v>
      </c>
      <c r="B401" s="138" t="s">
        <v>145</v>
      </c>
      <c r="C401" s="30">
        <v>228431</v>
      </c>
      <c r="D401" s="155">
        <v>3</v>
      </c>
      <c r="E401" s="303">
        <f t="shared" si="33"/>
        <v>287464</v>
      </c>
      <c r="F401" s="279">
        <f>SUM(H401,J401,N401,O401,P401,R401)</f>
        <v>279056</v>
      </c>
      <c r="G401" s="152">
        <v>281489</v>
      </c>
      <c r="H401" s="312">
        <v>268118</v>
      </c>
      <c r="I401" s="152">
        <v>672</v>
      </c>
      <c r="J401" s="312">
        <v>2901</v>
      </c>
      <c r="K401" s="152">
        <v>5177</v>
      </c>
      <c r="L401" s="302">
        <v>126</v>
      </c>
      <c r="M401" s="152"/>
      <c r="N401" s="312">
        <v>7925</v>
      </c>
      <c r="O401" s="287">
        <v>112</v>
      </c>
      <c r="P401" s="316">
        <v>0</v>
      </c>
      <c r="Q401" s="311"/>
      <c r="R401" s="146"/>
      <c r="S401" s="303">
        <f t="shared" si="34"/>
        <v>27509</v>
      </c>
      <c r="T401" s="279">
        <f t="shared" si="35"/>
        <v>27134</v>
      </c>
      <c r="U401" s="152">
        <v>18172</v>
      </c>
      <c r="V401" s="312">
        <v>17723</v>
      </c>
      <c r="W401" s="152">
        <v>5063</v>
      </c>
      <c r="X401" s="312">
        <v>3852</v>
      </c>
      <c r="Y401" s="152">
        <v>3554</v>
      </c>
      <c r="Z401" s="302">
        <v>441</v>
      </c>
      <c r="AA401" s="152">
        <v>279</v>
      </c>
      <c r="AB401" s="312">
        <v>4946</v>
      </c>
      <c r="AC401" s="153">
        <v>412</v>
      </c>
      <c r="AD401" s="312">
        <v>201</v>
      </c>
      <c r="AE401" s="302"/>
      <c r="AF401" s="172"/>
    </row>
    <row r="402" spans="1:32" s="299" customFormat="1" ht="15" customHeight="1">
      <c r="A402" s="138" t="s">
        <v>131</v>
      </c>
      <c r="B402" s="138" t="s">
        <v>146</v>
      </c>
      <c r="C402" s="30">
        <v>228501</v>
      </c>
      <c r="D402" s="155">
        <v>3</v>
      </c>
      <c r="E402" s="303">
        <f t="shared" si="33"/>
        <v>45885</v>
      </c>
      <c r="F402" s="279">
        <f>SUM(H402,J402,N402,O402,P402,R402)</f>
        <v>42201</v>
      </c>
      <c r="G402" s="152">
        <v>43780</v>
      </c>
      <c r="H402" s="312">
        <v>39621</v>
      </c>
      <c r="I402" s="152">
        <v>213</v>
      </c>
      <c r="J402" s="312">
        <v>66</v>
      </c>
      <c r="K402" s="152">
        <v>1356</v>
      </c>
      <c r="L402" s="302">
        <v>260</v>
      </c>
      <c r="M402" s="152">
        <v>276</v>
      </c>
      <c r="N402" s="312">
        <v>2105</v>
      </c>
      <c r="O402" s="287">
        <v>409</v>
      </c>
      <c r="P402" s="316">
        <v>0</v>
      </c>
      <c r="Q402" s="311"/>
      <c r="R402" s="146"/>
      <c r="S402" s="303">
        <f t="shared" si="34"/>
        <v>8201</v>
      </c>
      <c r="T402" s="279">
        <f t="shared" si="35"/>
        <v>7885</v>
      </c>
      <c r="U402" s="152">
        <v>7244</v>
      </c>
      <c r="V402" s="312">
        <v>6853</v>
      </c>
      <c r="W402" s="152">
        <v>285</v>
      </c>
      <c r="X402" s="312">
        <v>93</v>
      </c>
      <c r="Y402" s="152">
        <v>387</v>
      </c>
      <c r="Z402" s="302">
        <v>48</v>
      </c>
      <c r="AA402" s="152">
        <v>237</v>
      </c>
      <c r="AB402" s="312">
        <v>663</v>
      </c>
      <c r="AC402" s="153">
        <v>276</v>
      </c>
      <c r="AD402" s="312">
        <v>0</v>
      </c>
      <c r="AE402" s="302"/>
      <c r="AF402" s="172"/>
    </row>
    <row r="403" spans="1:32" s="299" customFormat="1" ht="15" customHeight="1">
      <c r="A403" s="138" t="s">
        <v>131</v>
      </c>
      <c r="B403" s="138" t="s">
        <v>147</v>
      </c>
      <c r="C403" s="30">
        <v>228529</v>
      </c>
      <c r="D403" s="155">
        <v>3</v>
      </c>
      <c r="E403" s="303">
        <f t="shared" si="33"/>
        <v>201881</v>
      </c>
      <c r="F403" s="279">
        <f>SUM(H403,J403,N403,O403,P403,R403)</f>
        <v>203381</v>
      </c>
      <c r="G403" s="152">
        <v>168059</v>
      </c>
      <c r="H403" s="312">
        <v>170521</v>
      </c>
      <c r="I403" s="152">
        <v>27418</v>
      </c>
      <c r="J403" s="312">
        <v>23891</v>
      </c>
      <c r="K403" s="152">
        <v>4524</v>
      </c>
      <c r="L403" s="302">
        <v>1880</v>
      </c>
      <c r="M403" s="152"/>
      <c r="N403" s="312">
        <v>5793</v>
      </c>
      <c r="O403" s="287">
        <v>3176</v>
      </c>
      <c r="P403" s="316">
        <v>0</v>
      </c>
      <c r="Q403" s="311"/>
      <c r="R403" s="146"/>
      <c r="S403" s="303">
        <f t="shared" si="34"/>
        <v>20751</v>
      </c>
      <c r="T403" s="279">
        <f t="shared" si="35"/>
        <v>25105</v>
      </c>
      <c r="U403" s="152">
        <v>7633</v>
      </c>
      <c r="V403" s="312">
        <v>8672</v>
      </c>
      <c r="W403" s="152">
        <v>10592</v>
      </c>
      <c r="X403" s="312">
        <v>12746</v>
      </c>
      <c r="Y403" s="152">
        <v>2319</v>
      </c>
      <c r="Z403" s="302">
        <v>207</v>
      </c>
      <c r="AA403" s="152"/>
      <c r="AB403" s="312">
        <v>3414</v>
      </c>
      <c r="AC403" s="153">
        <v>273</v>
      </c>
      <c r="AD403" s="312">
        <v>0</v>
      </c>
      <c r="AE403" s="302"/>
      <c r="AF403" s="172"/>
    </row>
    <row r="404" spans="1:32" s="299" customFormat="1" ht="15" customHeight="1">
      <c r="A404" s="138" t="s">
        <v>131</v>
      </c>
      <c r="B404" s="138" t="s">
        <v>529</v>
      </c>
      <c r="C404" s="30">
        <v>224554</v>
      </c>
      <c r="D404" s="155">
        <v>3</v>
      </c>
      <c r="E404" s="303">
        <f t="shared" si="33"/>
        <v>144503</v>
      </c>
      <c r="F404" s="279">
        <f>SUM(H404,J404,N404,O404,P404,R404)</f>
        <v>148047</v>
      </c>
      <c r="G404" s="152">
        <v>128389</v>
      </c>
      <c r="H404" s="312">
        <v>121903</v>
      </c>
      <c r="I404" s="152">
        <v>12368</v>
      </c>
      <c r="J404" s="312">
        <v>15777</v>
      </c>
      <c r="K404" s="152">
        <v>3116</v>
      </c>
      <c r="L404" s="302">
        <v>630</v>
      </c>
      <c r="M404" s="152"/>
      <c r="N404" s="312">
        <v>9728</v>
      </c>
      <c r="O404" s="287">
        <v>639</v>
      </c>
      <c r="P404" s="316">
        <v>0</v>
      </c>
      <c r="Q404" s="311"/>
      <c r="R404" s="146"/>
      <c r="S404" s="303">
        <f t="shared" si="34"/>
        <v>50774</v>
      </c>
      <c r="T404" s="279">
        <f t="shared" si="35"/>
        <v>54284</v>
      </c>
      <c r="U404" s="152">
        <v>21284</v>
      </c>
      <c r="V404" s="312">
        <v>19881</v>
      </c>
      <c r="W404" s="152">
        <v>23397</v>
      </c>
      <c r="X404" s="312">
        <v>24678</v>
      </c>
      <c r="Y404" s="152">
        <v>3855</v>
      </c>
      <c r="Z404" s="302">
        <v>2238</v>
      </c>
      <c r="AA404" s="152"/>
      <c r="AB404" s="312">
        <v>7637</v>
      </c>
      <c r="AC404" s="153">
        <v>2088</v>
      </c>
      <c r="AD404" s="312">
        <v>0</v>
      </c>
      <c r="AE404" s="302"/>
      <c r="AF404" s="172"/>
    </row>
    <row r="405" spans="1:32" s="299" customFormat="1" ht="15" customHeight="1">
      <c r="A405" s="138" t="s">
        <v>131</v>
      </c>
      <c r="B405" s="138" t="s">
        <v>148</v>
      </c>
      <c r="C405" s="30">
        <v>224147</v>
      </c>
      <c r="D405" s="155">
        <v>3</v>
      </c>
      <c r="E405" s="303">
        <f t="shared" si="33"/>
        <v>175848</v>
      </c>
      <c r="F405" s="279">
        <f>SUM(H405,J405,N405,O405,P405,R405)</f>
        <v>185529</v>
      </c>
      <c r="G405" s="152">
        <v>174134</v>
      </c>
      <c r="H405" s="312">
        <v>181888</v>
      </c>
      <c r="I405" s="152">
        <v>159</v>
      </c>
      <c r="J405" s="312">
        <v>0</v>
      </c>
      <c r="K405" s="152">
        <v>1555</v>
      </c>
      <c r="L405" s="302"/>
      <c r="M405" s="152"/>
      <c r="N405" s="312">
        <v>3629</v>
      </c>
      <c r="O405" s="287">
        <v>9</v>
      </c>
      <c r="P405" s="316">
        <v>3</v>
      </c>
      <c r="Q405" s="311"/>
      <c r="R405" s="146"/>
      <c r="S405" s="303">
        <f t="shared" si="34"/>
        <v>23175</v>
      </c>
      <c r="T405" s="279">
        <f t="shared" si="35"/>
        <v>24672</v>
      </c>
      <c r="U405" s="152">
        <v>21846</v>
      </c>
      <c r="V405" s="312">
        <v>21712</v>
      </c>
      <c r="W405" s="152">
        <v>1140</v>
      </c>
      <c r="X405" s="312">
        <v>0</v>
      </c>
      <c r="Y405" s="152">
        <v>183</v>
      </c>
      <c r="Z405" s="302">
        <v>6</v>
      </c>
      <c r="AA405" s="152"/>
      <c r="AB405" s="312">
        <v>2951</v>
      </c>
      <c r="AC405" s="153">
        <v>9</v>
      </c>
      <c r="AD405" s="312">
        <v>0</v>
      </c>
      <c r="AE405" s="302"/>
      <c r="AF405" s="172"/>
    </row>
    <row r="406" spans="1:32" s="299" customFormat="1" ht="15" customHeight="1">
      <c r="A406" s="138" t="s">
        <v>131</v>
      </c>
      <c r="B406" s="138" t="s">
        <v>149</v>
      </c>
      <c r="C406" s="30">
        <v>228705</v>
      </c>
      <c r="D406" s="155">
        <v>3</v>
      </c>
      <c r="E406" s="303">
        <f t="shared" si="33"/>
        <v>147560</v>
      </c>
      <c r="F406" s="279">
        <f>SUM(H406,J406,N406,O406,P406,R406)</f>
        <v>138078</v>
      </c>
      <c r="G406" s="152">
        <v>134011</v>
      </c>
      <c r="H406" s="312">
        <v>120005</v>
      </c>
      <c r="I406" s="152">
        <v>12324</v>
      </c>
      <c r="J406" s="312">
        <v>16783</v>
      </c>
      <c r="K406" s="152">
        <v>798</v>
      </c>
      <c r="L406" s="302">
        <v>427</v>
      </c>
      <c r="M406" s="152"/>
      <c r="N406" s="312">
        <v>966</v>
      </c>
      <c r="O406" s="287">
        <v>324</v>
      </c>
      <c r="P406" s="316">
        <v>0</v>
      </c>
      <c r="Q406" s="311"/>
      <c r="R406" s="146"/>
      <c r="S406" s="303">
        <f t="shared" si="34"/>
        <v>22464</v>
      </c>
      <c r="T406" s="279">
        <f t="shared" si="35"/>
        <v>27491</v>
      </c>
      <c r="U406" s="152">
        <v>17643</v>
      </c>
      <c r="V406" s="312">
        <v>21701</v>
      </c>
      <c r="W406" s="152">
        <v>2427</v>
      </c>
      <c r="X406" s="312">
        <v>3315</v>
      </c>
      <c r="Y406" s="152">
        <v>1455</v>
      </c>
      <c r="Z406" s="302">
        <v>846</v>
      </c>
      <c r="AA406" s="152">
        <v>93</v>
      </c>
      <c r="AB406" s="312">
        <v>2157</v>
      </c>
      <c r="AC406" s="153">
        <v>318</v>
      </c>
      <c r="AD406" s="312">
        <v>0</v>
      </c>
      <c r="AE406" s="302"/>
      <c r="AF406" s="172"/>
    </row>
    <row r="407" spans="1:32" s="299" customFormat="1" ht="15" customHeight="1">
      <c r="A407" s="138" t="s">
        <v>131</v>
      </c>
      <c r="B407" s="138" t="s">
        <v>150</v>
      </c>
      <c r="C407" s="30">
        <v>229063</v>
      </c>
      <c r="D407" s="155">
        <v>3</v>
      </c>
      <c r="E407" s="303">
        <f t="shared" si="33"/>
        <v>232225</v>
      </c>
      <c r="F407" s="279">
        <f>SUM(H407,J407,N407,O407,P407,R407)</f>
        <v>248626</v>
      </c>
      <c r="G407" s="152">
        <v>232099</v>
      </c>
      <c r="H407" s="312">
        <v>248170</v>
      </c>
      <c r="I407" s="152">
        <v>126</v>
      </c>
      <c r="J407" s="312">
        <v>456</v>
      </c>
      <c r="K407" s="152"/>
      <c r="L407" s="302"/>
      <c r="M407" s="152"/>
      <c r="N407" s="312">
        <v>0</v>
      </c>
      <c r="O407" s="287">
        <v>0</v>
      </c>
      <c r="P407" s="316">
        <v>0</v>
      </c>
      <c r="Q407" s="311"/>
      <c r="R407" s="146"/>
      <c r="S407" s="303">
        <f t="shared" si="34"/>
        <v>43391</v>
      </c>
      <c r="T407" s="279">
        <f t="shared" si="35"/>
        <v>47695</v>
      </c>
      <c r="U407" s="152">
        <v>42798</v>
      </c>
      <c r="V407" s="312">
        <v>47129</v>
      </c>
      <c r="W407" s="152">
        <v>542</v>
      </c>
      <c r="X407" s="312">
        <v>566</v>
      </c>
      <c r="Y407" s="152"/>
      <c r="Z407" s="302"/>
      <c r="AA407" s="152">
        <v>51</v>
      </c>
      <c r="AB407" s="312">
        <v>0</v>
      </c>
      <c r="AC407" s="153">
        <v>0</v>
      </c>
      <c r="AD407" s="312">
        <v>0</v>
      </c>
      <c r="AE407" s="302"/>
      <c r="AF407" s="172"/>
    </row>
    <row r="408" spans="1:32" s="299" customFormat="1" ht="15" customHeight="1">
      <c r="A408" s="138" t="s">
        <v>131</v>
      </c>
      <c r="B408" s="123" t="s">
        <v>411</v>
      </c>
      <c r="C408" s="30">
        <v>228459</v>
      </c>
      <c r="D408" s="155">
        <v>3</v>
      </c>
      <c r="E408" s="303">
        <f t="shared" si="33"/>
        <v>602273</v>
      </c>
      <c r="F408" s="279">
        <f>SUM(H408,J408,N408,O408,P408,R408)</f>
        <v>621142</v>
      </c>
      <c r="G408" s="152">
        <v>585643</v>
      </c>
      <c r="H408" s="312">
        <v>600097</v>
      </c>
      <c r="I408" s="152">
        <v>13183</v>
      </c>
      <c r="J408" s="312">
        <v>15939</v>
      </c>
      <c r="K408" s="152">
        <v>2663</v>
      </c>
      <c r="L408" s="302">
        <v>72</v>
      </c>
      <c r="M408" s="152">
        <v>712</v>
      </c>
      <c r="N408" s="312">
        <v>4584</v>
      </c>
      <c r="O408" s="287">
        <v>96</v>
      </c>
      <c r="P408" s="316">
        <v>426</v>
      </c>
      <c r="Q408" s="311"/>
      <c r="R408" s="146"/>
      <c r="S408" s="303">
        <f t="shared" si="34"/>
        <v>64851</v>
      </c>
      <c r="T408" s="279">
        <f t="shared" si="35"/>
        <v>62725</v>
      </c>
      <c r="U408" s="152">
        <v>48267</v>
      </c>
      <c r="V408" s="312">
        <v>47902</v>
      </c>
      <c r="W408" s="152">
        <v>11610</v>
      </c>
      <c r="X408" s="312">
        <v>10869</v>
      </c>
      <c r="Y408" s="152">
        <v>3927</v>
      </c>
      <c r="Z408" s="302">
        <v>993</v>
      </c>
      <c r="AA408" s="152">
        <v>54</v>
      </c>
      <c r="AB408" s="312">
        <v>3324</v>
      </c>
      <c r="AC408" s="153">
        <v>591</v>
      </c>
      <c r="AD408" s="312">
        <v>39</v>
      </c>
      <c r="AE408" s="302"/>
      <c r="AF408" s="172"/>
    </row>
    <row r="409" spans="1:32" s="299" customFormat="1" ht="15" customHeight="1">
      <c r="A409" s="138" t="s">
        <v>131</v>
      </c>
      <c r="B409" s="138" t="s">
        <v>151</v>
      </c>
      <c r="C409" s="30">
        <v>225414</v>
      </c>
      <c r="D409" s="155">
        <v>3</v>
      </c>
      <c r="E409" s="303">
        <f t="shared" si="33"/>
        <v>93538</v>
      </c>
      <c r="F409" s="279">
        <f>SUM(H409,J409,N409,O409,P409,R409)</f>
        <v>96298</v>
      </c>
      <c r="G409" s="152">
        <v>88849</v>
      </c>
      <c r="H409" s="312">
        <v>89815</v>
      </c>
      <c r="I409" s="152">
        <v>3648</v>
      </c>
      <c r="J409" s="312">
        <v>3390</v>
      </c>
      <c r="K409" s="152">
        <v>1041</v>
      </c>
      <c r="L409" s="302"/>
      <c r="M409" s="152"/>
      <c r="N409" s="312">
        <v>3093</v>
      </c>
      <c r="O409" s="287">
        <v>0</v>
      </c>
      <c r="P409" s="316">
        <v>0</v>
      </c>
      <c r="Q409" s="311"/>
      <c r="R409" s="146"/>
      <c r="S409" s="303">
        <f t="shared" si="34"/>
        <v>54045</v>
      </c>
      <c r="T409" s="279">
        <f t="shared" si="35"/>
        <v>54152</v>
      </c>
      <c r="U409" s="152">
        <v>45471</v>
      </c>
      <c r="V409" s="312">
        <v>40598</v>
      </c>
      <c r="W409" s="152">
        <v>4239</v>
      </c>
      <c r="X409" s="312">
        <v>5850</v>
      </c>
      <c r="Y409" s="152">
        <v>4335</v>
      </c>
      <c r="Z409" s="302"/>
      <c r="AA409" s="152"/>
      <c r="AB409" s="312">
        <v>7704</v>
      </c>
      <c r="AC409" s="153">
        <v>0</v>
      </c>
      <c r="AD409" s="312">
        <v>0</v>
      </c>
      <c r="AE409" s="302"/>
      <c r="AF409" s="172"/>
    </row>
    <row r="410" spans="1:32" s="299" customFormat="1" ht="15" customHeight="1">
      <c r="A410" s="138" t="s">
        <v>131</v>
      </c>
      <c r="B410" s="138" t="s">
        <v>152</v>
      </c>
      <c r="C410" s="30">
        <v>228796</v>
      </c>
      <c r="D410" s="155">
        <v>3</v>
      </c>
      <c r="E410" s="303">
        <f t="shared" si="33"/>
        <v>370170</v>
      </c>
      <c r="F410" s="279">
        <f>SUM(H410,J410,N410,O410,P410,R410)</f>
        <v>378671</v>
      </c>
      <c r="G410" s="152">
        <v>363758</v>
      </c>
      <c r="H410" s="312">
        <v>372590</v>
      </c>
      <c r="I410" s="152">
        <v>5548</v>
      </c>
      <c r="J410" s="312">
        <v>4206</v>
      </c>
      <c r="K410" s="152">
        <v>132</v>
      </c>
      <c r="L410" s="302"/>
      <c r="M410" s="152">
        <v>732</v>
      </c>
      <c r="N410" s="312">
        <v>0</v>
      </c>
      <c r="O410" s="287">
        <v>0</v>
      </c>
      <c r="P410" s="316">
        <v>1875</v>
      </c>
      <c r="Q410" s="311"/>
      <c r="R410" s="146"/>
      <c r="S410" s="303">
        <f t="shared" si="34"/>
        <v>45463</v>
      </c>
      <c r="T410" s="279">
        <f t="shared" si="35"/>
        <v>43629</v>
      </c>
      <c r="U410" s="152">
        <v>43720</v>
      </c>
      <c r="V410" s="312">
        <v>40509</v>
      </c>
      <c r="W410" s="152">
        <v>912</v>
      </c>
      <c r="X410" s="312">
        <v>1047</v>
      </c>
      <c r="Y410" s="152">
        <v>219</v>
      </c>
      <c r="Z410" s="302"/>
      <c r="AA410" s="152">
        <v>612</v>
      </c>
      <c r="AB410" s="312">
        <v>0</v>
      </c>
      <c r="AC410" s="153">
        <v>0</v>
      </c>
      <c r="AD410" s="312">
        <v>2073</v>
      </c>
      <c r="AE410" s="302"/>
      <c r="AF410" s="172"/>
    </row>
    <row r="411" spans="1:32" s="299" customFormat="1" ht="15" customHeight="1">
      <c r="A411" s="138" t="s">
        <v>131</v>
      </c>
      <c r="B411" s="138" t="s">
        <v>153</v>
      </c>
      <c r="C411" s="30">
        <v>229027</v>
      </c>
      <c r="D411" s="155">
        <v>3</v>
      </c>
      <c r="E411" s="303">
        <f t="shared" si="33"/>
        <v>515323</v>
      </c>
      <c r="F411" s="279">
        <f>SUM(H411,J411,N411,O411,P411,R411)</f>
        <v>572415</v>
      </c>
      <c r="G411" s="152">
        <v>513405</v>
      </c>
      <c r="H411" s="312">
        <v>562224</v>
      </c>
      <c r="I411" s="152">
        <v>3</v>
      </c>
      <c r="J411" s="312">
        <v>370</v>
      </c>
      <c r="K411" s="152"/>
      <c r="L411" s="302">
        <v>1915</v>
      </c>
      <c r="M411" s="152"/>
      <c r="N411" s="312">
        <v>8044</v>
      </c>
      <c r="O411" s="287">
        <v>1705</v>
      </c>
      <c r="P411" s="316">
        <v>72</v>
      </c>
      <c r="Q411" s="311"/>
      <c r="R411" s="146"/>
      <c r="S411" s="303">
        <f t="shared" si="34"/>
        <v>47372</v>
      </c>
      <c r="T411" s="279">
        <f t="shared" si="35"/>
        <v>52396</v>
      </c>
      <c r="U411" s="152">
        <v>46757</v>
      </c>
      <c r="V411" s="312">
        <v>51438</v>
      </c>
      <c r="W411" s="152">
        <v>111</v>
      </c>
      <c r="X411" s="312">
        <v>385</v>
      </c>
      <c r="Y411" s="152">
        <v>273</v>
      </c>
      <c r="Z411" s="302">
        <v>231</v>
      </c>
      <c r="AA411" s="152"/>
      <c r="AB411" s="312">
        <v>540</v>
      </c>
      <c r="AC411" s="153">
        <v>33</v>
      </c>
      <c r="AD411" s="312">
        <v>0</v>
      </c>
      <c r="AE411" s="302"/>
      <c r="AF411" s="172"/>
    </row>
    <row r="412" spans="1:32" s="299" customFormat="1" ht="15" customHeight="1">
      <c r="A412" s="138" t="s">
        <v>131</v>
      </c>
      <c r="B412" s="138" t="s">
        <v>154</v>
      </c>
      <c r="C412" s="30">
        <v>228802</v>
      </c>
      <c r="D412" s="155">
        <v>3</v>
      </c>
      <c r="E412" s="303">
        <f t="shared" si="33"/>
        <v>90948</v>
      </c>
      <c r="F412" s="279">
        <f>SUM(H412,J412,N412,O412,P412,R412)</f>
        <v>116519</v>
      </c>
      <c r="G412" s="152">
        <v>83664</v>
      </c>
      <c r="H412" s="312">
        <v>103171</v>
      </c>
      <c r="I412" s="152"/>
      <c r="J412" s="312">
        <v>202</v>
      </c>
      <c r="K412" s="152">
        <v>1475</v>
      </c>
      <c r="L412" s="302">
        <v>5662</v>
      </c>
      <c r="M412" s="152">
        <v>147</v>
      </c>
      <c r="N412" s="312">
        <v>2237</v>
      </c>
      <c r="O412" s="287">
        <v>10909</v>
      </c>
      <c r="P412" s="316">
        <v>0</v>
      </c>
      <c r="Q412" s="311"/>
      <c r="R412" s="146"/>
      <c r="S412" s="303">
        <f t="shared" si="34"/>
        <v>13396</v>
      </c>
      <c r="T412" s="279">
        <f t="shared" si="35"/>
        <v>13829</v>
      </c>
      <c r="U412" s="152">
        <v>10993</v>
      </c>
      <c r="V412" s="312">
        <v>9716</v>
      </c>
      <c r="W412" s="152"/>
      <c r="X412" s="312">
        <v>285</v>
      </c>
      <c r="Y412" s="152">
        <v>1725</v>
      </c>
      <c r="Z412" s="302">
        <v>678</v>
      </c>
      <c r="AA412" s="152"/>
      <c r="AB412" s="312">
        <v>2952</v>
      </c>
      <c r="AC412" s="153">
        <v>744</v>
      </c>
      <c r="AD412" s="312">
        <v>132</v>
      </c>
      <c r="AE412" s="302"/>
      <c r="AF412" s="172"/>
    </row>
    <row r="413" spans="1:32" s="299" customFormat="1" ht="15" customHeight="1">
      <c r="A413" s="138" t="s">
        <v>131</v>
      </c>
      <c r="B413" s="138" t="s">
        <v>155</v>
      </c>
      <c r="C413" s="30">
        <v>227368</v>
      </c>
      <c r="D413" s="155">
        <v>3</v>
      </c>
      <c r="E413" s="303">
        <f t="shared" si="33"/>
        <v>365887</v>
      </c>
      <c r="F413" s="279">
        <f>SUM(H413,J413,N413,O413,P413,R413)</f>
        <v>405157</v>
      </c>
      <c r="G413" s="152">
        <v>360890</v>
      </c>
      <c r="H413" s="312">
        <v>394266</v>
      </c>
      <c r="I413" s="152">
        <v>1851</v>
      </c>
      <c r="J413" s="312">
        <v>2073</v>
      </c>
      <c r="K413" s="152">
        <v>2648</v>
      </c>
      <c r="L413" s="302">
        <v>498</v>
      </c>
      <c r="M413" s="152"/>
      <c r="N413" s="312">
        <v>8029</v>
      </c>
      <c r="O413" s="287">
        <v>789</v>
      </c>
      <c r="P413" s="316">
        <v>0</v>
      </c>
      <c r="Q413" s="311"/>
      <c r="R413" s="146"/>
      <c r="S413" s="303">
        <f t="shared" si="34"/>
        <v>29408</v>
      </c>
      <c r="T413" s="279">
        <f t="shared" si="35"/>
        <v>33073</v>
      </c>
      <c r="U413" s="152">
        <v>28424</v>
      </c>
      <c r="V413" s="312">
        <v>31411</v>
      </c>
      <c r="W413" s="152"/>
      <c r="X413" s="312">
        <v>75</v>
      </c>
      <c r="Y413" s="152">
        <v>426</v>
      </c>
      <c r="Z413" s="302">
        <v>558</v>
      </c>
      <c r="AA413" s="152"/>
      <c r="AB413" s="312">
        <v>1587</v>
      </c>
      <c r="AC413" s="153">
        <v>0</v>
      </c>
      <c r="AD413" s="312">
        <v>0</v>
      </c>
      <c r="AE413" s="302"/>
      <c r="AF413" s="172"/>
    </row>
    <row r="414" spans="1:32" s="299" customFormat="1" ht="15" customHeight="1">
      <c r="A414" s="138" t="s">
        <v>131</v>
      </c>
      <c r="B414" s="138" t="s">
        <v>156</v>
      </c>
      <c r="C414" s="30">
        <v>229814</v>
      </c>
      <c r="D414" s="155">
        <v>3</v>
      </c>
      <c r="E414" s="303">
        <f t="shared" si="33"/>
        <v>151759</v>
      </c>
      <c r="F414" s="279">
        <f>SUM(H414,J414,N414,O414,P414,R414)</f>
        <v>154371</v>
      </c>
      <c r="G414" s="152">
        <v>129844</v>
      </c>
      <c r="H414" s="312">
        <v>128104</v>
      </c>
      <c r="I414" s="152">
        <v>449</v>
      </c>
      <c r="J414" s="312">
        <v>279</v>
      </c>
      <c r="K414" s="152">
        <v>21466</v>
      </c>
      <c r="L414" s="302"/>
      <c r="M414" s="152"/>
      <c r="N414" s="312">
        <v>25976</v>
      </c>
      <c r="O414" s="287">
        <v>12</v>
      </c>
      <c r="P414" s="316">
        <v>0</v>
      </c>
      <c r="Q414" s="311"/>
      <c r="R414" s="146"/>
      <c r="S414" s="303">
        <f t="shared" si="34"/>
        <v>20226</v>
      </c>
      <c r="T414" s="279">
        <f t="shared" si="35"/>
        <v>21168</v>
      </c>
      <c r="U414" s="152">
        <v>13275</v>
      </c>
      <c r="V414" s="312">
        <v>12753</v>
      </c>
      <c r="W414" s="152">
        <v>1268</v>
      </c>
      <c r="X414" s="312">
        <v>516</v>
      </c>
      <c r="Y414" s="152">
        <v>5629</v>
      </c>
      <c r="Z414" s="302">
        <v>54</v>
      </c>
      <c r="AA414" s="152"/>
      <c r="AB414" s="312">
        <v>7899</v>
      </c>
      <c r="AC414" s="153">
        <v>0</v>
      </c>
      <c r="AD414" s="312">
        <v>0</v>
      </c>
      <c r="AE414" s="302"/>
      <c r="AF414" s="172"/>
    </row>
    <row r="415" spans="1:32" s="299" customFormat="1" ht="15" customHeight="1">
      <c r="A415" s="138" t="s">
        <v>131</v>
      </c>
      <c r="B415" s="138" t="s">
        <v>157</v>
      </c>
      <c r="C415" s="30">
        <v>226152</v>
      </c>
      <c r="D415" s="155">
        <v>4</v>
      </c>
      <c r="E415" s="303">
        <f>SUM(G415,I415,K415,L415,M415,Q415)</f>
        <v>82749</v>
      </c>
      <c r="F415" s="279">
        <f>SUM(H415,J415,N415,O415,P415,R415)</f>
        <v>85287</v>
      </c>
      <c r="G415" s="152">
        <v>82722</v>
      </c>
      <c r="H415" s="312">
        <v>84759</v>
      </c>
      <c r="I415" s="152"/>
      <c r="J415" s="312">
        <v>33</v>
      </c>
      <c r="K415" s="152">
        <v>27</v>
      </c>
      <c r="L415" s="302"/>
      <c r="M415" s="152"/>
      <c r="N415" s="312">
        <v>381</v>
      </c>
      <c r="O415" s="287">
        <v>0</v>
      </c>
      <c r="P415" s="316">
        <v>114</v>
      </c>
      <c r="Q415" s="311"/>
      <c r="R415" s="146"/>
      <c r="S415" s="303">
        <f t="shared" si="34"/>
        <v>10125</v>
      </c>
      <c r="T415" s="279">
        <f t="shared" si="35"/>
        <v>13571</v>
      </c>
      <c r="U415" s="152">
        <v>10125</v>
      </c>
      <c r="V415" s="312">
        <v>13280</v>
      </c>
      <c r="W415" s="152"/>
      <c r="X415" s="312">
        <v>0</v>
      </c>
      <c r="Y415" s="152"/>
      <c r="Z415" s="302"/>
      <c r="AA415" s="152"/>
      <c r="AB415" s="312">
        <v>291</v>
      </c>
      <c r="AC415" s="153">
        <v>0</v>
      </c>
      <c r="AD415" s="312">
        <v>0</v>
      </c>
      <c r="AE415" s="302"/>
      <c r="AF415" s="172"/>
    </row>
    <row r="416" spans="1:32" s="299" customFormat="1" ht="15" customHeight="1">
      <c r="A416" s="138" t="s">
        <v>131</v>
      </c>
      <c r="B416" s="138" t="s">
        <v>158</v>
      </c>
      <c r="C416" s="30">
        <v>224545</v>
      </c>
      <c r="D416" s="155">
        <v>4</v>
      </c>
      <c r="E416" s="303">
        <f>SUM(G416,I416,K416,L416,M416,Q416)</f>
        <v>20336</v>
      </c>
      <c r="F416" s="279">
        <f>SUM(H416,J416,N416,O416,P416,R416)</f>
        <v>21737</v>
      </c>
      <c r="G416" s="152">
        <v>16440</v>
      </c>
      <c r="H416" s="312">
        <v>15749</v>
      </c>
      <c r="I416" s="152">
        <v>1575</v>
      </c>
      <c r="J416" s="312">
        <v>3228</v>
      </c>
      <c r="K416" s="152">
        <v>1929</v>
      </c>
      <c r="L416" s="302">
        <v>392</v>
      </c>
      <c r="M416" s="152"/>
      <c r="N416" s="312">
        <v>2424</v>
      </c>
      <c r="O416" s="287">
        <v>336</v>
      </c>
      <c r="P416" s="316">
        <v>0</v>
      </c>
      <c r="Q416" s="311"/>
      <c r="R416" s="146"/>
      <c r="S416" s="303">
        <f t="shared" si="34"/>
        <v>7465</v>
      </c>
      <c r="T416" s="279">
        <f t="shared" si="35"/>
        <v>7842</v>
      </c>
      <c r="U416" s="152">
        <v>5317</v>
      </c>
      <c r="V416" s="312">
        <v>6501</v>
      </c>
      <c r="W416" s="152">
        <v>1071</v>
      </c>
      <c r="X416" s="312">
        <v>0</v>
      </c>
      <c r="Y416" s="152">
        <v>1077</v>
      </c>
      <c r="Z416" s="302"/>
      <c r="AA416" s="152"/>
      <c r="AB416" s="312">
        <v>1341</v>
      </c>
      <c r="AC416" s="153">
        <v>0</v>
      </c>
      <c r="AD416" s="312">
        <v>0</v>
      </c>
      <c r="AE416" s="302"/>
      <c r="AF416" s="172"/>
    </row>
    <row r="417" spans="1:32" s="299" customFormat="1" ht="15" customHeight="1">
      <c r="A417" s="138" t="s">
        <v>131</v>
      </c>
      <c r="B417" s="138" t="s">
        <v>159</v>
      </c>
      <c r="C417" s="30">
        <v>227377</v>
      </c>
      <c r="D417" s="155">
        <v>4</v>
      </c>
      <c r="E417" s="303">
        <f>SUM(G417,I417,K417,L417,M417,Q417)</f>
        <v>54591</v>
      </c>
      <c r="F417" s="279">
        <f>SUM(H417,J417,N417,O417,P417,R417)</f>
        <v>65206</v>
      </c>
      <c r="G417" s="152">
        <v>53002</v>
      </c>
      <c r="H417" s="312">
        <v>56467</v>
      </c>
      <c r="I417" s="152">
        <v>138</v>
      </c>
      <c r="J417" s="312">
        <v>4047</v>
      </c>
      <c r="K417" s="152">
        <v>995</v>
      </c>
      <c r="L417" s="302"/>
      <c r="M417" s="152">
        <v>456</v>
      </c>
      <c r="N417" s="312">
        <v>4692</v>
      </c>
      <c r="O417" s="287">
        <v>0</v>
      </c>
      <c r="P417" s="316">
        <v>0</v>
      </c>
      <c r="Q417" s="311"/>
      <c r="R417" s="146"/>
      <c r="S417" s="303">
        <f t="shared" si="34"/>
        <v>9200</v>
      </c>
      <c r="T417" s="279">
        <f t="shared" si="35"/>
        <v>10838</v>
      </c>
      <c r="U417" s="152">
        <v>7647</v>
      </c>
      <c r="V417" s="312">
        <v>8117</v>
      </c>
      <c r="W417" s="152">
        <v>99</v>
      </c>
      <c r="X417" s="312">
        <v>309</v>
      </c>
      <c r="Y417" s="152">
        <v>1454</v>
      </c>
      <c r="Z417" s="302"/>
      <c r="AA417" s="152"/>
      <c r="AB417" s="312">
        <v>2295</v>
      </c>
      <c r="AC417" s="153">
        <v>0</v>
      </c>
      <c r="AD417" s="312">
        <v>117</v>
      </c>
      <c r="AE417" s="302"/>
      <c r="AF417" s="172"/>
    </row>
    <row r="418" spans="1:32" s="299" customFormat="1" ht="15" customHeight="1">
      <c r="A418" s="138" t="s">
        <v>131</v>
      </c>
      <c r="B418" s="138" t="s">
        <v>160</v>
      </c>
      <c r="C418" s="30">
        <v>229018</v>
      </c>
      <c r="D418" s="155">
        <v>4</v>
      </c>
      <c r="E418" s="303">
        <f>SUM(G418,I418,K418,L418,M418,Q418)</f>
        <v>58638</v>
      </c>
      <c r="F418" s="279">
        <f>SUM(H418,J418,N418,O418,P418,R418)</f>
        <v>67649</v>
      </c>
      <c r="G418" s="152">
        <v>52650</v>
      </c>
      <c r="H418" s="312">
        <v>56721</v>
      </c>
      <c r="I418" s="152"/>
      <c r="J418" s="312">
        <v>1919</v>
      </c>
      <c r="K418" s="152">
        <v>5484</v>
      </c>
      <c r="L418" s="302">
        <v>504</v>
      </c>
      <c r="M418" s="152"/>
      <c r="N418" s="312">
        <v>8967</v>
      </c>
      <c r="O418" s="287">
        <v>36</v>
      </c>
      <c r="P418" s="316">
        <v>6</v>
      </c>
      <c r="Q418" s="311"/>
      <c r="R418" s="146"/>
      <c r="S418" s="303">
        <f t="shared" si="34"/>
        <v>7068</v>
      </c>
      <c r="T418" s="279">
        <f t="shared" si="35"/>
        <v>8169</v>
      </c>
      <c r="U418" s="152">
        <v>5068</v>
      </c>
      <c r="V418" s="312">
        <v>5827</v>
      </c>
      <c r="W418" s="152"/>
      <c r="X418" s="312">
        <v>57</v>
      </c>
      <c r="Y418" s="152">
        <v>1895</v>
      </c>
      <c r="Z418" s="302">
        <v>105</v>
      </c>
      <c r="AA418" s="152"/>
      <c r="AB418" s="312">
        <v>2285</v>
      </c>
      <c r="AC418" s="153">
        <v>0</v>
      </c>
      <c r="AD418" s="312">
        <v>0</v>
      </c>
      <c r="AE418" s="302"/>
      <c r="AF418" s="172"/>
    </row>
    <row r="419" spans="1:32" s="299" customFormat="1" ht="15" customHeight="1">
      <c r="A419" s="138" t="s">
        <v>131</v>
      </c>
      <c r="B419" s="138" t="s">
        <v>161</v>
      </c>
      <c r="C419" s="30" t="s">
        <v>412</v>
      </c>
      <c r="D419" s="155">
        <v>5</v>
      </c>
      <c r="E419" s="303">
        <f>SUM(G419,I419,K419,L419,M419,Q419)</f>
        <v>15486</v>
      </c>
      <c r="F419" s="279">
        <f>SUM(H419,J419,N419,O419,P419,R419)</f>
        <v>15785</v>
      </c>
      <c r="G419" s="152">
        <v>14712</v>
      </c>
      <c r="H419" s="312">
        <v>15785</v>
      </c>
      <c r="I419" s="152">
        <v>48</v>
      </c>
      <c r="J419" s="312">
        <v>0</v>
      </c>
      <c r="K419" s="152">
        <v>666</v>
      </c>
      <c r="L419" s="302"/>
      <c r="M419" s="152">
        <v>60</v>
      </c>
      <c r="N419" s="312">
        <v>0</v>
      </c>
      <c r="O419" s="287">
        <v>0</v>
      </c>
      <c r="P419" s="316">
        <v>0</v>
      </c>
      <c r="Q419" s="311"/>
      <c r="R419" s="146"/>
      <c r="S419" s="303">
        <f t="shared" si="34"/>
        <v>4014</v>
      </c>
      <c r="T419" s="279">
        <f t="shared" si="35"/>
        <v>3624</v>
      </c>
      <c r="U419" s="152">
        <v>3348</v>
      </c>
      <c r="V419" s="312">
        <v>3588</v>
      </c>
      <c r="W419" s="152">
        <v>126</v>
      </c>
      <c r="X419" s="312">
        <v>0</v>
      </c>
      <c r="Y419" s="152">
        <v>120</v>
      </c>
      <c r="Z419" s="302"/>
      <c r="AA419" s="152">
        <v>420</v>
      </c>
      <c r="AB419" s="312">
        <v>36</v>
      </c>
      <c r="AC419" s="153">
        <v>0</v>
      </c>
      <c r="AD419" s="312">
        <v>0</v>
      </c>
      <c r="AE419" s="302"/>
      <c r="AF419" s="172"/>
    </row>
    <row r="420" spans="1:32" s="299" customFormat="1" ht="15" customHeight="1">
      <c r="A420" s="138" t="s">
        <v>131</v>
      </c>
      <c r="B420" s="138" t="s">
        <v>162</v>
      </c>
      <c r="C420" s="30">
        <v>225502</v>
      </c>
      <c r="D420" s="229">
        <v>5</v>
      </c>
      <c r="E420" s="297">
        <f>SUM(G420,I420,K420,L420,M420,Q420)</f>
        <v>24813</v>
      </c>
      <c r="F420" s="251">
        <f>SUM(H420,J420,N420,O420,P420,R420)</f>
        <v>27299</v>
      </c>
      <c r="G420" s="269">
        <v>11201</v>
      </c>
      <c r="H420" s="313">
        <v>8386</v>
      </c>
      <c r="I420" s="269">
        <v>4102</v>
      </c>
      <c r="J420" s="313">
        <v>4479</v>
      </c>
      <c r="K420" s="269">
        <v>8514</v>
      </c>
      <c r="L420" s="298">
        <v>996</v>
      </c>
      <c r="M420" s="269"/>
      <c r="N420" s="313">
        <v>12971</v>
      </c>
      <c r="O420" s="270">
        <v>1463</v>
      </c>
      <c r="P420" s="315">
        <v>0</v>
      </c>
      <c r="Q420" s="314"/>
      <c r="R420" s="252"/>
      <c r="S420" s="297">
        <f t="shared" si="34"/>
        <v>19517</v>
      </c>
      <c r="T420" s="251">
        <f t="shared" si="35"/>
        <v>18795</v>
      </c>
      <c r="U420" s="269">
        <v>1967</v>
      </c>
      <c r="V420" s="313">
        <v>1575</v>
      </c>
      <c r="W420" s="269">
        <v>5724</v>
      </c>
      <c r="X420" s="313">
        <v>4839</v>
      </c>
      <c r="Y420" s="269">
        <v>10938</v>
      </c>
      <c r="Z420" s="298">
        <v>888</v>
      </c>
      <c r="AA420" s="269"/>
      <c r="AB420" s="313">
        <v>11580</v>
      </c>
      <c r="AC420" s="271">
        <v>801</v>
      </c>
      <c r="AD420" s="313">
        <v>0</v>
      </c>
      <c r="AE420" s="298"/>
      <c r="AF420" s="257"/>
    </row>
    <row r="421" spans="1:32" s="299" customFormat="1" ht="15" customHeight="1">
      <c r="A421" s="138" t="s">
        <v>131</v>
      </c>
      <c r="B421" s="138" t="s">
        <v>163</v>
      </c>
      <c r="C421" s="30">
        <v>228714</v>
      </c>
      <c r="D421" s="229">
        <v>6</v>
      </c>
      <c r="E421" s="297">
        <f>SUM(G421,I421,K421,L421,M421,Q421)</f>
        <v>43761</v>
      </c>
      <c r="F421" s="251">
        <f>SUM(H421,J421,N421,O421,P421,R421)</f>
        <v>45823</v>
      </c>
      <c r="G421" s="269">
        <v>43761</v>
      </c>
      <c r="H421" s="313">
        <v>45823</v>
      </c>
      <c r="I421" s="269"/>
      <c r="J421" s="313">
        <v>0</v>
      </c>
      <c r="K421" s="269"/>
      <c r="L421" s="298"/>
      <c r="M421" s="269"/>
      <c r="N421" s="313">
        <v>0</v>
      </c>
      <c r="O421" s="270">
        <v>0</v>
      </c>
      <c r="P421" s="315">
        <v>0</v>
      </c>
      <c r="Q421" s="314"/>
      <c r="R421" s="252"/>
      <c r="S421" s="297">
        <f t="shared" si="34"/>
        <v>494</v>
      </c>
      <c r="T421" s="251">
        <f t="shared" si="35"/>
        <v>554</v>
      </c>
      <c r="U421" s="269">
        <v>494</v>
      </c>
      <c r="V421" s="313">
        <v>554</v>
      </c>
      <c r="W421" s="269"/>
      <c r="X421" s="313">
        <v>0</v>
      </c>
      <c r="Y421" s="269"/>
      <c r="Z421" s="298"/>
      <c r="AA421" s="269"/>
      <c r="AB421" s="313">
        <v>0</v>
      </c>
      <c r="AC421" s="271">
        <v>0</v>
      </c>
      <c r="AD421" s="313">
        <v>0</v>
      </c>
      <c r="AE421" s="298"/>
      <c r="AF421" s="257"/>
    </row>
    <row r="422" spans="1:32" s="299" customFormat="1" ht="15" customHeight="1">
      <c r="A422" s="138" t="s">
        <v>131</v>
      </c>
      <c r="B422" s="391" t="s">
        <v>164</v>
      </c>
      <c r="C422" s="30">
        <v>225432</v>
      </c>
      <c r="D422" s="229">
        <v>6</v>
      </c>
      <c r="E422" s="333">
        <f>SUM(G422,I422,K422,L422,M422,Q422)</f>
        <v>234338</v>
      </c>
      <c r="F422" s="334">
        <f>SUM(H422,J422,N422,O422,P422,R422)</f>
        <v>246650</v>
      </c>
      <c r="G422" s="344">
        <v>213187</v>
      </c>
      <c r="H422" s="310">
        <v>221111</v>
      </c>
      <c r="I422" s="344">
        <v>8623</v>
      </c>
      <c r="J422" s="310">
        <v>10788</v>
      </c>
      <c r="K422" s="344">
        <v>7779</v>
      </c>
      <c r="L422" s="326">
        <v>4494</v>
      </c>
      <c r="M422" s="344">
        <v>255</v>
      </c>
      <c r="N422" s="310">
        <v>10266</v>
      </c>
      <c r="O422" s="288">
        <v>4122</v>
      </c>
      <c r="P422" s="317">
        <v>363</v>
      </c>
      <c r="Q422" s="348"/>
      <c r="R422" s="282"/>
      <c r="S422" s="333">
        <f t="shared" si="34"/>
        <v>1899</v>
      </c>
      <c r="T422" s="334">
        <f t="shared" si="35"/>
        <v>2022</v>
      </c>
      <c r="U422" s="344">
        <v>1596</v>
      </c>
      <c r="V422" s="310">
        <v>1977</v>
      </c>
      <c r="W422" s="344">
        <v>291</v>
      </c>
      <c r="X422" s="310">
        <v>45</v>
      </c>
      <c r="Y422" s="344"/>
      <c r="Z422" s="326">
        <v>12</v>
      </c>
      <c r="AA422" s="344"/>
      <c r="AB422" s="310">
        <v>0</v>
      </c>
      <c r="AC422" s="292">
        <v>0</v>
      </c>
      <c r="AD422" s="310">
        <v>0</v>
      </c>
      <c r="AE422" s="326"/>
      <c r="AF422" s="282"/>
    </row>
    <row r="423" spans="1:32" s="299" customFormat="1" ht="15" customHeight="1">
      <c r="A423" s="138" t="s">
        <v>131</v>
      </c>
      <c r="B423" s="138" t="s">
        <v>184</v>
      </c>
      <c r="C423" s="30">
        <v>222567</v>
      </c>
      <c r="D423" s="229">
        <v>9</v>
      </c>
      <c r="E423" s="297">
        <f>SUM(G423,I423,K423,L423,M423,Q423)</f>
        <v>100860</v>
      </c>
      <c r="F423" s="251">
        <f>SUM(H423,J423,N423,O423,P423,R423)</f>
        <v>90971</v>
      </c>
      <c r="G423" s="269">
        <v>75336</v>
      </c>
      <c r="H423" s="695">
        <v>74503</v>
      </c>
      <c r="I423" s="269">
        <v>24867</v>
      </c>
      <c r="J423" s="695">
        <v>16273</v>
      </c>
      <c r="K423" s="349">
        <v>657</v>
      </c>
      <c r="L423" s="326"/>
      <c r="M423" s="350"/>
      <c r="N423" s="695">
        <v>195</v>
      </c>
      <c r="O423" s="695"/>
      <c r="P423" s="695"/>
      <c r="Q423" s="298"/>
      <c r="R423" s="252"/>
      <c r="S423" s="297">
        <f>SUM(U423,W423,Y423,Z423,AA423,AE423)</f>
        <v>0</v>
      </c>
      <c r="T423" s="251">
        <f>SUM(V423,X423,AB423,AC423,AD423,AF423)</f>
        <v>0</v>
      </c>
      <c r="U423" s="269"/>
      <c r="V423" s="271"/>
      <c r="W423" s="269"/>
      <c r="X423" s="271"/>
      <c r="Y423" s="349"/>
      <c r="Z423" s="326"/>
      <c r="AA423" s="350"/>
      <c r="AB423" s="294"/>
      <c r="AC423" s="292"/>
      <c r="AD423" s="354"/>
      <c r="AE423" s="298"/>
      <c r="AF423" s="257"/>
    </row>
    <row r="424" spans="1:32" s="299" customFormat="1" ht="15" customHeight="1">
      <c r="A424" s="138" t="s">
        <v>131</v>
      </c>
      <c r="B424" s="138" t="s">
        <v>165</v>
      </c>
      <c r="C424" s="30">
        <v>222576</v>
      </c>
      <c r="D424" s="229">
        <v>8</v>
      </c>
      <c r="E424" s="297">
        <f>SUM(G424,I424,K424,L424,M424,Q424)</f>
        <v>183128</v>
      </c>
      <c r="F424" s="251">
        <f>SUM(H424,J424,N424,O424,P424,R424)</f>
        <v>191429</v>
      </c>
      <c r="G424" s="269">
        <v>158846</v>
      </c>
      <c r="H424" s="696">
        <v>157385</v>
      </c>
      <c r="I424" s="269">
        <v>5145</v>
      </c>
      <c r="J424" s="696">
        <v>4587</v>
      </c>
      <c r="K424" s="269">
        <v>14210</v>
      </c>
      <c r="L424" s="298">
        <v>1176</v>
      </c>
      <c r="M424" s="269">
        <v>3751</v>
      </c>
      <c r="N424" s="696">
        <v>25716</v>
      </c>
      <c r="O424" s="697">
        <v>711</v>
      </c>
      <c r="P424" s="696">
        <v>3030</v>
      </c>
      <c r="Q424" s="298"/>
      <c r="R424" s="252"/>
      <c r="S424" s="297">
        <f>SUM(U424,W424,Y424,Z424,AA424,AE424)</f>
        <v>0</v>
      </c>
      <c r="T424" s="251">
        <f>SUM(V424,X424,AB424,AC424,AD424,AF424)</f>
        <v>0</v>
      </c>
      <c r="U424" s="269"/>
      <c r="V424" s="271"/>
      <c r="W424" s="269"/>
      <c r="X424" s="271"/>
      <c r="Y424" s="269"/>
      <c r="Z424" s="298"/>
      <c r="AA424" s="269"/>
      <c r="AB424" s="271"/>
      <c r="AC424" s="271"/>
      <c r="AD424" s="271"/>
      <c r="AE424" s="298"/>
      <c r="AF424" s="257"/>
    </row>
    <row r="425" spans="1:32" s="299" customFormat="1" ht="15" customHeight="1">
      <c r="A425" s="138" t="s">
        <v>131</v>
      </c>
      <c r="B425" s="138" t="s">
        <v>185</v>
      </c>
      <c r="C425" s="30">
        <v>222822</v>
      </c>
      <c r="D425" s="229">
        <v>9</v>
      </c>
      <c r="E425" s="297">
        <f>SUM(G425,I425,K425,L425,M425,Q425)</f>
        <v>105265</v>
      </c>
      <c r="F425" s="251">
        <f>SUM(H425,J425,N425,O425,P425,R425)</f>
        <v>102837</v>
      </c>
      <c r="G425" s="269">
        <v>86209</v>
      </c>
      <c r="H425" s="695">
        <v>79237</v>
      </c>
      <c r="I425" s="269">
        <v>13267</v>
      </c>
      <c r="J425" s="695">
        <v>12452</v>
      </c>
      <c r="K425" s="269">
        <v>4691</v>
      </c>
      <c r="L425" s="298">
        <v>852</v>
      </c>
      <c r="M425" s="269">
        <v>246</v>
      </c>
      <c r="N425" s="695">
        <v>9181</v>
      </c>
      <c r="O425" s="695">
        <v>1967</v>
      </c>
      <c r="P425" s="695"/>
      <c r="Q425" s="298"/>
      <c r="R425" s="252"/>
      <c r="S425" s="297">
        <f>SUM(U425,W425,Y425,Z425,AA425,AE425)</f>
        <v>0</v>
      </c>
      <c r="T425" s="251">
        <f>SUM(V425,X425,AB425,AC425,AD425,AF425)</f>
        <v>0</v>
      </c>
      <c r="U425" s="269"/>
      <c r="V425" s="271"/>
      <c r="W425" s="269"/>
      <c r="X425" s="271"/>
      <c r="Y425" s="269"/>
      <c r="Z425" s="298"/>
      <c r="AA425" s="269"/>
      <c r="AB425" s="271"/>
      <c r="AC425" s="271"/>
      <c r="AD425" s="271"/>
      <c r="AE425" s="298"/>
      <c r="AF425" s="257"/>
    </row>
    <row r="426" spans="1:32" s="299" customFormat="1" ht="15" customHeight="1">
      <c r="A426" s="138" t="s">
        <v>131</v>
      </c>
      <c r="B426" s="138" t="s">
        <v>166</v>
      </c>
      <c r="C426" s="30">
        <v>222992</v>
      </c>
      <c r="D426" s="229">
        <v>8</v>
      </c>
      <c r="E426" s="297">
        <f>SUM(G426,I426,K426,L426,M426,Q426)</f>
        <v>578328</v>
      </c>
      <c r="F426" s="251">
        <f>SUM(H426,J426,N426,O426,P426,R426)</f>
        <v>588741</v>
      </c>
      <c r="G426" s="269">
        <v>484224</v>
      </c>
      <c r="H426" s="696">
        <v>480236</v>
      </c>
      <c r="I426" s="269">
        <v>20862</v>
      </c>
      <c r="J426" s="696">
        <v>23199</v>
      </c>
      <c r="K426" s="269">
        <v>25685</v>
      </c>
      <c r="L426" s="298"/>
      <c r="M426" s="269">
        <v>47557</v>
      </c>
      <c r="N426" s="696">
        <v>85306</v>
      </c>
      <c r="O426" s="697"/>
      <c r="P426" s="696"/>
      <c r="Q426" s="298"/>
      <c r="R426" s="252"/>
      <c r="S426" s="297">
        <f>SUM(U426,W426,Y426,Z426,AA426,AE426)</f>
        <v>0</v>
      </c>
      <c r="T426" s="251">
        <f>SUM(V426,X426,AB426,AC426,AD426,AF426)</f>
        <v>0</v>
      </c>
      <c r="U426" s="269"/>
      <c r="V426" s="271"/>
      <c r="W426" s="269"/>
      <c r="X426" s="271"/>
      <c r="Y426" s="269"/>
      <c r="Z426" s="298"/>
      <c r="AA426" s="269"/>
      <c r="AB426" s="271"/>
      <c r="AC426" s="271"/>
      <c r="AD426" s="271"/>
      <c r="AE426" s="298"/>
      <c r="AF426" s="257"/>
    </row>
    <row r="427" spans="1:32" s="299" customFormat="1" ht="15" customHeight="1">
      <c r="A427" s="138" t="s">
        <v>131</v>
      </c>
      <c r="B427" s="138" t="s">
        <v>167</v>
      </c>
      <c r="C427" s="30">
        <v>223427</v>
      </c>
      <c r="D427" s="229">
        <v>8</v>
      </c>
      <c r="E427" s="297">
        <f>SUM(G427,I427,K427,L427,M427,Q427)</f>
        <v>315245</v>
      </c>
      <c r="F427" s="251">
        <f>SUM(H427,J427,N427,O427,P427,R427)</f>
        <v>318108</v>
      </c>
      <c r="G427" s="269">
        <v>65961</v>
      </c>
      <c r="H427" s="696">
        <v>59813</v>
      </c>
      <c r="I427" s="269">
        <v>234704</v>
      </c>
      <c r="J427" s="696">
        <v>238784</v>
      </c>
      <c r="K427" s="269">
        <v>12810</v>
      </c>
      <c r="L427" s="298"/>
      <c r="M427" s="269">
        <v>1770</v>
      </c>
      <c r="N427" s="696">
        <v>18872</v>
      </c>
      <c r="O427" s="697"/>
      <c r="P427" s="696">
        <v>639</v>
      </c>
      <c r="Q427" s="298"/>
      <c r="R427" s="252"/>
      <c r="S427" s="297">
        <f>SUM(U427,W427,Y427,Z427,AA427,AE427)</f>
        <v>0</v>
      </c>
      <c r="T427" s="251">
        <f>SUM(V427,X427,AB427,AC427,AD427,AF427)</f>
        <v>0</v>
      </c>
      <c r="U427" s="269"/>
      <c r="V427" s="292"/>
      <c r="W427" s="269"/>
      <c r="X427" s="292"/>
      <c r="Y427" s="269"/>
      <c r="Z427" s="298"/>
      <c r="AA427" s="269"/>
      <c r="AB427" s="292"/>
      <c r="AC427" s="271"/>
      <c r="AD427" s="292"/>
      <c r="AE427" s="298"/>
      <c r="AF427" s="257"/>
    </row>
    <row r="428" spans="1:32" s="299" customFormat="1" ht="15" customHeight="1">
      <c r="A428" s="138" t="s">
        <v>131</v>
      </c>
      <c r="B428" s="138" t="s">
        <v>186</v>
      </c>
      <c r="C428" s="30">
        <v>223506</v>
      </c>
      <c r="D428" s="229">
        <v>9</v>
      </c>
      <c r="E428" s="297">
        <f>SUM(G428,I428,K428,L428,M428,Q428)</f>
        <v>67637</v>
      </c>
      <c r="F428" s="251">
        <f>SUM(H428,J428,N428,O428,P428,R428)</f>
        <v>64823</v>
      </c>
      <c r="G428" s="269">
        <v>62214</v>
      </c>
      <c r="H428" s="695">
        <v>58405</v>
      </c>
      <c r="I428" s="269">
        <v>2046</v>
      </c>
      <c r="J428" s="695">
        <v>2805</v>
      </c>
      <c r="K428" s="269">
        <v>2062</v>
      </c>
      <c r="L428" s="298">
        <v>261</v>
      </c>
      <c r="M428" s="269">
        <v>1054</v>
      </c>
      <c r="N428" s="695">
        <v>3340</v>
      </c>
      <c r="O428" s="695"/>
      <c r="P428" s="695">
        <v>273</v>
      </c>
      <c r="Q428" s="298"/>
      <c r="R428" s="252"/>
      <c r="S428" s="297">
        <f>SUM(U428,W428,Y428,Z428,AA428,AE428)</f>
        <v>0</v>
      </c>
      <c r="T428" s="251">
        <f>SUM(V428,X428,AB428,AC428,AD428,AF428)</f>
        <v>0</v>
      </c>
      <c r="U428" s="269"/>
      <c r="V428" s="292"/>
      <c r="W428" s="269"/>
      <c r="X428" s="292"/>
      <c r="Y428" s="269"/>
      <c r="Z428" s="298"/>
      <c r="AA428" s="269"/>
      <c r="AB428" s="292"/>
      <c r="AC428" s="271"/>
      <c r="AD428" s="292"/>
      <c r="AE428" s="298"/>
      <c r="AF428" s="257"/>
    </row>
    <row r="429" spans="1:32" s="299" customFormat="1" ht="15" customHeight="1">
      <c r="A429" s="138" t="s">
        <v>131</v>
      </c>
      <c r="B429" s="138" t="s">
        <v>168</v>
      </c>
      <c r="C429" s="30">
        <v>223524</v>
      </c>
      <c r="D429" s="229">
        <v>8</v>
      </c>
      <c r="E429" s="297">
        <f>SUM(G429,I429,K429,L429,M429,Q429)</f>
        <v>190981</v>
      </c>
      <c r="F429" s="251">
        <f>SUM(H429,J429,N429,O429,P429,R429)</f>
        <v>192527</v>
      </c>
      <c r="G429" s="269">
        <v>176043</v>
      </c>
      <c r="H429" s="696">
        <v>164899</v>
      </c>
      <c r="I429" s="269"/>
      <c r="J429" s="696"/>
      <c r="K429" s="269">
        <v>9575</v>
      </c>
      <c r="L429" s="298"/>
      <c r="M429" s="269">
        <v>5363</v>
      </c>
      <c r="N429" s="696">
        <v>17176</v>
      </c>
      <c r="O429" s="697"/>
      <c r="P429" s="696">
        <v>10452</v>
      </c>
      <c r="Q429" s="298"/>
      <c r="R429" s="252"/>
      <c r="S429" s="297">
        <f>SUM(U429,W429,Y429,Z429,AA429,AE429)</f>
        <v>0</v>
      </c>
      <c r="T429" s="251">
        <f>SUM(V429,X429,AB429,AC429,AD429,AF429)</f>
        <v>0</v>
      </c>
      <c r="U429" s="269"/>
      <c r="V429" s="292"/>
      <c r="W429" s="269"/>
      <c r="X429" s="292"/>
      <c r="Y429" s="269"/>
      <c r="Z429" s="298"/>
      <c r="AA429" s="269"/>
      <c r="AB429" s="292"/>
      <c r="AC429" s="271"/>
      <c r="AD429" s="292"/>
      <c r="AE429" s="298"/>
      <c r="AF429" s="257"/>
    </row>
    <row r="430" spans="1:32" s="299" customFormat="1" ht="15" customHeight="1">
      <c r="A430" s="138" t="s">
        <v>131</v>
      </c>
      <c r="B430" s="138" t="s">
        <v>187</v>
      </c>
      <c r="C430" s="30">
        <v>223773</v>
      </c>
      <c r="D430" s="229">
        <v>9</v>
      </c>
      <c r="E430" s="297">
        <f>SUM(G430,I430,K430,L430,M430,Q430)</f>
        <v>81112</v>
      </c>
      <c r="F430" s="251">
        <f>SUM(H430,J430,N430,O430,P430,R430)</f>
        <v>86031</v>
      </c>
      <c r="G430" s="269">
        <v>69232</v>
      </c>
      <c r="H430" s="695">
        <v>69348</v>
      </c>
      <c r="I430" s="269"/>
      <c r="J430" s="695"/>
      <c r="K430" s="269">
        <v>8835</v>
      </c>
      <c r="L430" s="298"/>
      <c r="M430" s="269">
        <v>3045</v>
      </c>
      <c r="N430" s="695">
        <v>14658</v>
      </c>
      <c r="O430" s="695" t="s">
        <v>9</v>
      </c>
      <c r="P430" s="695">
        <v>2025</v>
      </c>
      <c r="Q430" s="298"/>
      <c r="R430" s="252"/>
      <c r="S430" s="297">
        <f>SUM(U430,W430,Y430,Z430,AA430,AE430)</f>
        <v>0</v>
      </c>
      <c r="T430" s="251">
        <f>SUM(V430,X430,AB430,AC430,AD430,AF430)</f>
        <v>0</v>
      </c>
      <c r="U430" s="269"/>
      <c r="V430" s="292"/>
      <c r="W430" s="269"/>
      <c r="X430" s="292"/>
      <c r="Y430" s="269"/>
      <c r="Z430" s="298"/>
      <c r="AA430" s="269"/>
      <c r="AB430" s="292"/>
      <c r="AC430" s="271"/>
      <c r="AD430" s="292"/>
      <c r="AE430" s="298"/>
      <c r="AF430" s="257"/>
    </row>
    <row r="431" spans="1:32" s="299" customFormat="1" ht="15" customHeight="1">
      <c r="A431" s="138" t="s">
        <v>131</v>
      </c>
      <c r="B431" s="138" t="s">
        <v>169</v>
      </c>
      <c r="C431" s="30">
        <v>223816</v>
      </c>
      <c r="D431" s="229">
        <v>8</v>
      </c>
      <c r="E431" s="297">
        <f>SUM(G431,I431,K431,L431,M431,Q431)</f>
        <v>233928</v>
      </c>
      <c r="F431" s="251">
        <f>SUM(H431,J431,N431,O431,P431,R431)</f>
        <v>242320</v>
      </c>
      <c r="G431" s="269">
        <v>124260</v>
      </c>
      <c r="H431" s="696">
        <v>111614</v>
      </c>
      <c r="I431" s="269">
        <v>69408</v>
      </c>
      <c r="J431" s="696">
        <v>62698</v>
      </c>
      <c r="K431" s="269">
        <v>39432</v>
      </c>
      <c r="L431" s="298">
        <v>828</v>
      </c>
      <c r="M431" s="269"/>
      <c r="N431" s="695">
        <v>67378</v>
      </c>
      <c r="O431" s="697">
        <v>630</v>
      </c>
      <c r="P431" s="696"/>
      <c r="Q431" s="298"/>
      <c r="R431" s="252"/>
      <c r="S431" s="297">
        <f>SUM(U431,W431,Y431,Z431,AA431,AE431)</f>
        <v>0</v>
      </c>
      <c r="T431" s="251">
        <f>SUM(V431,X431,AB431,AC431,AD431,AF431)</f>
        <v>0</v>
      </c>
      <c r="U431" s="269"/>
      <c r="V431" s="292"/>
      <c r="W431" s="269"/>
      <c r="X431" s="292"/>
      <c r="Y431" s="269"/>
      <c r="Z431" s="298"/>
      <c r="AA431" s="269"/>
      <c r="AB431" s="292"/>
      <c r="AC431" s="271"/>
      <c r="AD431" s="292"/>
      <c r="AE431" s="298"/>
      <c r="AF431" s="257"/>
    </row>
    <row r="432" spans="1:32" s="299" customFormat="1" ht="15" customHeight="1">
      <c r="A432" s="138" t="s">
        <v>131</v>
      </c>
      <c r="B432" s="138" t="s">
        <v>214</v>
      </c>
      <c r="C432" s="30">
        <v>223898</v>
      </c>
      <c r="D432" s="229">
        <v>10</v>
      </c>
      <c r="E432" s="297">
        <f>SUM(G432,I432,K432,L432,M432,Q432)</f>
        <v>68474</v>
      </c>
      <c r="F432" s="251">
        <f>SUM(H432,J432,N432,O432,P432,R432)</f>
        <v>77128</v>
      </c>
      <c r="G432" s="269">
        <v>17085</v>
      </c>
      <c r="H432" s="695">
        <v>17247</v>
      </c>
      <c r="I432" s="269">
        <v>50816</v>
      </c>
      <c r="J432" s="695">
        <v>56936</v>
      </c>
      <c r="K432" s="269">
        <v>231</v>
      </c>
      <c r="L432" s="298"/>
      <c r="M432" s="269">
        <v>342</v>
      </c>
      <c r="N432" s="695">
        <v>2945</v>
      </c>
      <c r="O432" s="695"/>
      <c r="P432" s="695"/>
      <c r="Q432" s="298"/>
      <c r="R432" s="252"/>
      <c r="S432" s="297">
        <f>SUM(U432,W432,Y432,Z432,AA432,AE432)</f>
        <v>0</v>
      </c>
      <c r="T432" s="251">
        <f>SUM(V432,X432,AB432,AC432,AD432,AF432)</f>
        <v>0</v>
      </c>
      <c r="U432" s="269"/>
      <c r="V432" s="292"/>
      <c r="W432" s="269"/>
      <c r="X432" s="292"/>
      <c r="Y432" s="269"/>
      <c r="Z432" s="298"/>
      <c r="AA432" s="269"/>
      <c r="AB432" s="292"/>
      <c r="AC432" s="271"/>
      <c r="AD432" s="292"/>
      <c r="AE432" s="298"/>
      <c r="AF432" s="257"/>
    </row>
    <row r="433" spans="1:32" s="299" customFormat="1" ht="15" customHeight="1">
      <c r="A433" s="138" t="s">
        <v>131</v>
      </c>
      <c r="B433" s="138" t="s">
        <v>215</v>
      </c>
      <c r="C433" s="30">
        <v>223922</v>
      </c>
      <c r="D433" s="229">
        <v>10</v>
      </c>
      <c r="E433" s="297">
        <f>SUM(G433,I433,K433,L433,M433,Q433)</f>
        <v>20230</v>
      </c>
      <c r="F433" s="251">
        <f>SUM(H433,J433,N433,O433,P433,R433)</f>
        <v>23844</v>
      </c>
      <c r="G433" s="269">
        <v>10438</v>
      </c>
      <c r="H433" s="695">
        <v>12548</v>
      </c>
      <c r="I433" s="269">
        <v>7730</v>
      </c>
      <c r="J433" s="695">
        <v>9655</v>
      </c>
      <c r="K433" s="269">
        <v>992</v>
      </c>
      <c r="L433" s="298">
        <v>1013</v>
      </c>
      <c r="M433" s="269">
        <v>57</v>
      </c>
      <c r="N433" s="695">
        <v>881</v>
      </c>
      <c r="O433" s="695">
        <v>231</v>
      </c>
      <c r="P433" s="695">
        <v>529</v>
      </c>
      <c r="Q433" s="298"/>
      <c r="R433" s="252"/>
      <c r="S433" s="297">
        <f>SUM(U433,W433,Y433,Z433,AA433,AE433)</f>
        <v>0</v>
      </c>
      <c r="T433" s="251">
        <f>SUM(V433,X433,AB433,AC433,AD433,AF433)</f>
        <v>0</v>
      </c>
      <c r="U433" s="269"/>
      <c r="V433" s="292"/>
      <c r="W433" s="269"/>
      <c r="X433" s="292"/>
      <c r="Y433" s="269"/>
      <c r="Z433" s="298"/>
      <c r="AA433" s="269"/>
      <c r="AB433" s="292"/>
      <c r="AC433" s="271"/>
      <c r="AD433" s="292"/>
      <c r="AE433" s="298"/>
      <c r="AF433" s="257"/>
    </row>
    <row r="434" spans="1:32" s="299" customFormat="1" ht="15" customHeight="1">
      <c r="A434" s="138" t="s">
        <v>131</v>
      </c>
      <c r="B434" s="138" t="s">
        <v>188</v>
      </c>
      <c r="C434" s="30">
        <v>223320</v>
      </c>
      <c r="D434" s="229">
        <v>9</v>
      </c>
      <c r="E434" s="297">
        <f>SUM(G434,I434,K434,L434,M434,Q434)</f>
        <v>77747</v>
      </c>
      <c r="F434" s="251">
        <f>SUM(H434,J434,N434,O434,P434,R434)</f>
        <v>68949</v>
      </c>
      <c r="G434" s="269">
        <v>31892</v>
      </c>
      <c r="H434" s="695">
        <v>25944</v>
      </c>
      <c r="I434" s="269">
        <v>37258</v>
      </c>
      <c r="J434" s="695">
        <v>32347</v>
      </c>
      <c r="K434" s="269">
        <v>4936</v>
      </c>
      <c r="L434" s="298">
        <v>3661</v>
      </c>
      <c r="M434" s="269"/>
      <c r="N434" s="695">
        <v>6336</v>
      </c>
      <c r="O434" s="695">
        <v>4322</v>
      </c>
      <c r="P434" s="695"/>
      <c r="Q434" s="298"/>
      <c r="R434" s="252"/>
      <c r="S434" s="297">
        <f>SUM(U434,W434,Y434,Z434,AA434,AE434)</f>
        <v>0</v>
      </c>
      <c r="T434" s="251">
        <f>SUM(V434,X434,AB434,AC434,AD434,AF434)</f>
        <v>0</v>
      </c>
      <c r="U434" s="269"/>
      <c r="V434" s="292"/>
      <c r="W434" s="269"/>
      <c r="X434" s="292"/>
      <c r="Y434" s="269"/>
      <c r="Z434" s="298"/>
      <c r="AA434" s="269"/>
      <c r="AB434" s="292"/>
      <c r="AC434" s="271"/>
      <c r="AD434" s="292"/>
      <c r="AE434" s="298"/>
      <c r="AF434" s="257"/>
    </row>
    <row r="435" spans="1:32" s="299" customFormat="1" ht="15" customHeight="1">
      <c r="A435" s="138" t="s">
        <v>131</v>
      </c>
      <c r="B435" s="138" t="s">
        <v>189</v>
      </c>
      <c r="C435" s="30">
        <v>226408</v>
      </c>
      <c r="D435" s="229">
        <v>9</v>
      </c>
      <c r="E435" s="297">
        <f>SUM(G435,I435,K435,L435,M435,Q435)</f>
        <v>81674</v>
      </c>
      <c r="F435" s="251">
        <f>SUM(H435,J435,N435,O435,P435,R435)</f>
        <v>83546</v>
      </c>
      <c r="G435" s="269">
        <v>75953</v>
      </c>
      <c r="H435" s="695">
        <v>74035</v>
      </c>
      <c r="I435" s="269">
        <v>1507</v>
      </c>
      <c r="J435" s="695">
        <v>1384</v>
      </c>
      <c r="K435" s="269">
        <v>4214</v>
      </c>
      <c r="L435" s="298"/>
      <c r="M435" s="269"/>
      <c r="N435" s="695">
        <v>8127</v>
      </c>
      <c r="O435" s="695"/>
      <c r="P435" s="695"/>
      <c r="Q435" s="298"/>
      <c r="R435" s="252"/>
      <c r="S435" s="297">
        <f>SUM(U435,W435,Y435,Z435,AA435,AE435)</f>
        <v>0</v>
      </c>
      <c r="T435" s="251">
        <f>SUM(V435,X435,AB435,AC435,AD435,AF435)</f>
        <v>0</v>
      </c>
      <c r="U435" s="269"/>
      <c r="V435" s="292"/>
      <c r="W435" s="269"/>
      <c r="X435" s="292"/>
      <c r="Y435" s="269"/>
      <c r="Z435" s="298"/>
      <c r="AA435" s="269"/>
      <c r="AB435" s="292"/>
      <c r="AC435" s="271"/>
      <c r="AD435" s="292"/>
      <c r="AE435" s="298"/>
      <c r="AF435" s="257"/>
    </row>
    <row r="436" spans="1:32" s="299" customFormat="1" ht="15" customHeight="1">
      <c r="A436" s="138" t="s">
        <v>131</v>
      </c>
      <c r="B436" s="138" t="s">
        <v>170</v>
      </c>
      <c r="C436" s="30">
        <v>247834</v>
      </c>
      <c r="D436" s="229">
        <v>8</v>
      </c>
      <c r="E436" s="297">
        <f>SUM(G436,I436,K436,L436,M436,Q436)</f>
        <v>325913</v>
      </c>
      <c r="F436" s="251">
        <f>SUM(H436,J436,N436,O436,P436,R436)</f>
        <v>362736</v>
      </c>
      <c r="G436" s="269">
        <v>301363</v>
      </c>
      <c r="H436" s="696">
        <v>330521</v>
      </c>
      <c r="I436" s="269">
        <v>2470</v>
      </c>
      <c r="J436" s="696">
        <v>3195</v>
      </c>
      <c r="K436" s="269">
        <v>15444</v>
      </c>
      <c r="L436" s="298">
        <v>357</v>
      </c>
      <c r="M436" s="269">
        <v>6279</v>
      </c>
      <c r="N436" s="696">
        <v>17465</v>
      </c>
      <c r="O436" s="697">
        <v>87</v>
      </c>
      <c r="P436" s="696">
        <v>11468</v>
      </c>
      <c r="Q436" s="298"/>
      <c r="R436" s="252"/>
      <c r="S436" s="297">
        <f>SUM(U436,W436,Y436,Z436,AA436,AE436)</f>
        <v>0</v>
      </c>
      <c r="T436" s="251">
        <f>SUM(V436,X436,AB436,AC436,AD436,AF436)</f>
        <v>0</v>
      </c>
      <c r="U436" s="269"/>
      <c r="V436" s="292"/>
      <c r="W436" s="269"/>
      <c r="X436" s="292"/>
      <c r="Y436" s="269"/>
      <c r="Z436" s="298"/>
      <c r="AA436" s="269"/>
      <c r="AB436" s="292"/>
      <c r="AC436" s="271"/>
      <c r="AD436" s="292"/>
      <c r="AE436" s="298"/>
      <c r="AF436" s="257"/>
    </row>
    <row r="437" spans="1:32" s="299" customFormat="1" ht="15" customHeight="1">
      <c r="A437" s="138" t="s">
        <v>131</v>
      </c>
      <c r="B437" s="138" t="s">
        <v>171</v>
      </c>
      <c r="C437" s="30">
        <v>224350</v>
      </c>
      <c r="D437" s="229">
        <v>8</v>
      </c>
      <c r="E437" s="297">
        <f>SUM(G437,I437,K437,L437,M437,Q437)</f>
        <v>223061</v>
      </c>
      <c r="F437" s="251">
        <f>SUM(H437,J437,N437,O437,P437,R437)</f>
        <v>227998</v>
      </c>
      <c r="G437" s="269">
        <v>202370</v>
      </c>
      <c r="H437" s="696">
        <v>206673</v>
      </c>
      <c r="I437" s="269">
        <v>2370</v>
      </c>
      <c r="J437" s="696">
        <v>1368</v>
      </c>
      <c r="K437" s="269">
        <v>14489</v>
      </c>
      <c r="L437" s="298"/>
      <c r="M437" s="269">
        <v>3832</v>
      </c>
      <c r="N437" s="696">
        <v>18253</v>
      </c>
      <c r="O437" s="697">
        <v>225</v>
      </c>
      <c r="P437" s="696">
        <v>1479</v>
      </c>
      <c r="Q437" s="298"/>
      <c r="R437" s="252"/>
      <c r="S437" s="297">
        <f>SUM(U437,W437,Y437,Z437,AA437,AE437)</f>
        <v>0</v>
      </c>
      <c r="T437" s="251">
        <f>SUM(V437,X437,AB437,AC437,AD437,AF437)</f>
        <v>0</v>
      </c>
      <c r="U437" s="269"/>
      <c r="V437" s="292"/>
      <c r="W437" s="269"/>
      <c r="X437" s="292"/>
      <c r="Y437" s="269"/>
      <c r="Z437" s="298"/>
      <c r="AA437" s="269"/>
      <c r="AB437" s="292"/>
      <c r="AC437" s="271"/>
      <c r="AD437" s="292"/>
      <c r="AE437" s="298"/>
      <c r="AF437" s="257"/>
    </row>
    <row r="438" spans="1:32" s="299" customFormat="1" ht="15" customHeight="1">
      <c r="A438" s="138" t="s">
        <v>131</v>
      </c>
      <c r="B438" s="138" t="s">
        <v>172</v>
      </c>
      <c r="C438" s="30">
        <v>224572</v>
      </c>
      <c r="D438" s="229">
        <v>8</v>
      </c>
      <c r="E438" s="297">
        <f>SUM(G438,I438,K438,L438,M438,Q438)</f>
        <v>195988</v>
      </c>
      <c r="F438" s="251">
        <f>SUM(H438,J438,N438,O438,P438,R438)</f>
        <v>190372</v>
      </c>
      <c r="G438" s="269">
        <v>171105</v>
      </c>
      <c r="H438" s="696">
        <v>168751</v>
      </c>
      <c r="I438" s="269"/>
      <c r="J438" s="696"/>
      <c r="K438" s="269">
        <v>16077</v>
      </c>
      <c r="L438" s="298"/>
      <c r="M438" s="269">
        <v>8806</v>
      </c>
      <c r="N438" s="696">
        <v>16314</v>
      </c>
      <c r="O438" s="697"/>
      <c r="P438" s="696">
        <v>5307</v>
      </c>
      <c r="Q438" s="298"/>
      <c r="R438" s="252"/>
      <c r="S438" s="297">
        <f>SUM(U438,W438,Y438,Z438,AA438,AE438)</f>
        <v>0</v>
      </c>
      <c r="T438" s="251">
        <f>SUM(V438,X438,AB438,AC438,AD438,AF438)</f>
        <v>0</v>
      </c>
      <c r="U438" s="269"/>
      <c r="V438" s="292"/>
      <c r="W438" s="269"/>
      <c r="X438" s="292"/>
      <c r="Y438" s="269"/>
      <c r="Z438" s="298"/>
      <c r="AA438" s="269"/>
      <c r="AB438" s="292"/>
      <c r="AC438" s="271"/>
      <c r="AD438" s="292"/>
      <c r="AE438" s="298"/>
      <c r="AF438" s="257"/>
    </row>
    <row r="439" spans="1:32" s="299" customFormat="1" ht="15" customHeight="1">
      <c r="A439" s="138" t="s">
        <v>131</v>
      </c>
      <c r="B439" s="138" t="s">
        <v>190</v>
      </c>
      <c r="C439" s="30">
        <v>224615</v>
      </c>
      <c r="D439" s="229">
        <v>9</v>
      </c>
      <c r="E439" s="297">
        <f>SUM(G439,I439,K439,L439,M439,Q439)</f>
        <v>114422</v>
      </c>
      <c r="F439" s="251">
        <f>SUM(H439,J439,N439,O439,P439,R439)</f>
        <v>114598</v>
      </c>
      <c r="G439" s="269">
        <v>109634</v>
      </c>
      <c r="H439" s="695">
        <v>107125</v>
      </c>
      <c r="I439" s="269"/>
      <c r="J439" s="695"/>
      <c r="K439" s="269">
        <v>2242</v>
      </c>
      <c r="L439" s="298"/>
      <c r="M439" s="269">
        <v>2546</v>
      </c>
      <c r="N439" s="695">
        <v>5783</v>
      </c>
      <c r="O439" s="695"/>
      <c r="P439" s="695">
        <v>1690</v>
      </c>
      <c r="Q439" s="298"/>
      <c r="R439" s="252"/>
      <c r="S439" s="297">
        <f>SUM(U439,W439,Y439,Z439,AA439,AE439)</f>
        <v>0</v>
      </c>
      <c r="T439" s="251">
        <f>SUM(V439,X439,AB439,AC439,AD439,AF439)</f>
        <v>0</v>
      </c>
      <c r="U439" s="269"/>
      <c r="V439" s="292"/>
      <c r="W439" s="269"/>
      <c r="X439" s="292"/>
      <c r="Y439" s="269"/>
      <c r="Z439" s="298"/>
      <c r="AA439" s="269"/>
      <c r="AB439" s="292"/>
      <c r="AC439" s="271"/>
      <c r="AD439" s="292"/>
      <c r="AE439" s="298"/>
      <c r="AF439" s="257"/>
    </row>
    <row r="440" spans="1:32" s="299" customFormat="1" ht="15" customHeight="1">
      <c r="A440" s="138" t="s">
        <v>131</v>
      </c>
      <c r="B440" s="138" t="s">
        <v>173</v>
      </c>
      <c r="C440" s="30">
        <v>224642</v>
      </c>
      <c r="D440" s="229">
        <v>8</v>
      </c>
      <c r="E440" s="297">
        <f>SUM(G440,I440,K440,L440,M440,Q440)</f>
        <v>449699</v>
      </c>
      <c r="F440" s="251">
        <f>SUM(H440,J440,N440,O440,P440,R440)</f>
        <v>506414</v>
      </c>
      <c r="G440" s="269">
        <v>433070</v>
      </c>
      <c r="H440" s="696">
        <v>485847</v>
      </c>
      <c r="I440" s="269">
        <v>3432</v>
      </c>
      <c r="J440" s="696">
        <v>1803</v>
      </c>
      <c r="K440" s="269">
        <v>9809</v>
      </c>
      <c r="L440" s="298">
        <v>1078</v>
      </c>
      <c r="M440" s="269">
        <v>2310</v>
      </c>
      <c r="N440" s="696">
        <v>14228</v>
      </c>
      <c r="O440" s="697">
        <v>579</v>
      </c>
      <c r="P440" s="696">
        <v>3957</v>
      </c>
      <c r="Q440" s="298"/>
      <c r="R440" s="252"/>
      <c r="S440" s="297">
        <f>SUM(U440,W440,Y440,Z440,AA440,AE440)</f>
        <v>0</v>
      </c>
      <c r="T440" s="251">
        <f>SUM(V440,X440,AB440,AC440,AD440,AF440)</f>
        <v>0</v>
      </c>
      <c r="U440" s="269"/>
      <c r="V440" s="292"/>
      <c r="W440" s="269"/>
      <c r="X440" s="292"/>
      <c r="Y440" s="269"/>
      <c r="Z440" s="298"/>
      <c r="AA440" s="269"/>
      <c r="AB440" s="292"/>
      <c r="AC440" s="271"/>
      <c r="AD440" s="292"/>
      <c r="AE440" s="298"/>
      <c r="AF440" s="257"/>
    </row>
    <row r="441" spans="1:32" s="299" customFormat="1" ht="15" customHeight="1">
      <c r="A441" s="138" t="s">
        <v>131</v>
      </c>
      <c r="B441" s="138" t="s">
        <v>216</v>
      </c>
      <c r="C441" s="30">
        <v>224891</v>
      </c>
      <c r="D441" s="229">
        <v>10</v>
      </c>
      <c r="E441" s="297">
        <f>SUM(G441,I441,K441,L441,M441,Q441)</f>
        <v>25729</v>
      </c>
      <c r="F441" s="251">
        <f>SUM(H441,J441,N441,O441,P441,R441)</f>
        <v>26492</v>
      </c>
      <c r="G441" s="269">
        <v>20358</v>
      </c>
      <c r="H441" s="695">
        <v>19374</v>
      </c>
      <c r="I441" s="269">
        <v>2216</v>
      </c>
      <c r="J441" s="695">
        <v>2239</v>
      </c>
      <c r="K441" s="269">
        <v>1317</v>
      </c>
      <c r="L441" s="298"/>
      <c r="M441" s="269">
        <v>1838</v>
      </c>
      <c r="N441" s="695">
        <v>1723</v>
      </c>
      <c r="O441" s="695"/>
      <c r="P441" s="695">
        <v>3156</v>
      </c>
      <c r="Q441" s="298"/>
      <c r="R441" s="252"/>
      <c r="S441" s="297">
        <f>SUM(U441,W441,Y441,Z441,AA441,AE441)</f>
        <v>0</v>
      </c>
      <c r="T441" s="251">
        <f>SUM(V441,X441,AB441,AC441,AD441,AF441)</f>
        <v>0</v>
      </c>
      <c r="U441" s="269"/>
      <c r="V441" s="292"/>
      <c r="W441" s="269"/>
      <c r="X441" s="292"/>
      <c r="Y441" s="269"/>
      <c r="Z441" s="298"/>
      <c r="AA441" s="269"/>
      <c r="AB441" s="292"/>
      <c r="AC441" s="271"/>
      <c r="AD441" s="292"/>
      <c r="AE441" s="298"/>
      <c r="AF441" s="257"/>
    </row>
    <row r="442" spans="1:32" s="299" customFormat="1" ht="15" customHeight="1">
      <c r="A442" s="138" t="s">
        <v>131</v>
      </c>
      <c r="B442" s="138" t="s">
        <v>217</v>
      </c>
      <c r="C442" s="30">
        <v>224961</v>
      </c>
      <c r="D442" s="229">
        <v>10</v>
      </c>
      <c r="E442" s="297">
        <f>SUM(G442,I442,K442,L442,M442,Q442)</f>
        <v>42546</v>
      </c>
      <c r="F442" s="251">
        <f>SUM(H442,J442,N442,O442,P442,R442)</f>
        <v>45650</v>
      </c>
      <c r="G442" s="269">
        <v>40272</v>
      </c>
      <c r="H442" s="695">
        <v>43770</v>
      </c>
      <c r="I442" s="269"/>
      <c r="J442" s="695">
        <v>27</v>
      </c>
      <c r="K442" s="269">
        <v>1983</v>
      </c>
      <c r="L442" s="298"/>
      <c r="M442" s="269">
        <v>291</v>
      </c>
      <c r="N442" s="695">
        <v>1853</v>
      </c>
      <c r="O442" s="695"/>
      <c r="P442" s="695"/>
      <c r="Q442" s="298"/>
      <c r="R442" s="252"/>
      <c r="S442" s="297">
        <f>SUM(U442,W442,Y442,Z442,AA442,AE442)</f>
        <v>0</v>
      </c>
      <c r="T442" s="251">
        <f>SUM(V442,X442,AB442,AC442,AD442,AF442)</f>
        <v>0</v>
      </c>
      <c r="U442" s="269"/>
      <c r="V442" s="292"/>
      <c r="W442" s="269"/>
      <c r="X442" s="292"/>
      <c r="Y442" s="269"/>
      <c r="Z442" s="298"/>
      <c r="AA442" s="269"/>
      <c r="AB442" s="292"/>
      <c r="AC442" s="271"/>
      <c r="AD442" s="292"/>
      <c r="AE442" s="298"/>
      <c r="AF442" s="257"/>
    </row>
    <row r="443" spans="1:32" s="299" customFormat="1" ht="15" customHeight="1">
      <c r="A443" s="138" t="s">
        <v>131</v>
      </c>
      <c r="B443" s="138" t="s">
        <v>191</v>
      </c>
      <c r="C443" s="30">
        <v>225070</v>
      </c>
      <c r="D443" s="229">
        <v>9</v>
      </c>
      <c r="E443" s="297">
        <f>SUM(G443,I443,K443,L443,M443,Q443)</f>
        <v>82532</v>
      </c>
      <c r="F443" s="251">
        <f>SUM(H443,J443,N443,O443,P443,R443)</f>
        <v>81757</v>
      </c>
      <c r="G443" s="269">
        <v>64534</v>
      </c>
      <c r="H443" s="695">
        <v>64162</v>
      </c>
      <c r="I443" s="269">
        <v>680</v>
      </c>
      <c r="J443" s="695">
        <v>465</v>
      </c>
      <c r="K443" s="269">
        <v>16271</v>
      </c>
      <c r="L443" s="298">
        <v>708</v>
      </c>
      <c r="M443" s="269">
        <v>339</v>
      </c>
      <c r="N443" s="695">
        <v>16137</v>
      </c>
      <c r="O443" s="695">
        <v>993</v>
      </c>
      <c r="P443" s="695"/>
      <c r="Q443" s="298"/>
      <c r="R443" s="252"/>
      <c r="S443" s="297">
        <f>SUM(U443,W443,Y443,Z443,AA443,AE443)</f>
        <v>0</v>
      </c>
      <c r="T443" s="251">
        <f>SUM(V443,X443,AB443,AC443,AD443,AF443)</f>
        <v>0</v>
      </c>
      <c r="U443" s="269"/>
      <c r="V443" s="292"/>
      <c r="W443" s="269"/>
      <c r="X443" s="292"/>
      <c r="Y443" s="269"/>
      <c r="Z443" s="298"/>
      <c r="AA443" s="269"/>
      <c r="AB443" s="292"/>
      <c r="AC443" s="271"/>
      <c r="AD443" s="292"/>
      <c r="AE443" s="298"/>
      <c r="AF443" s="257"/>
    </row>
    <row r="444" spans="1:32" s="299" customFormat="1" ht="15" customHeight="1">
      <c r="A444" s="138" t="s">
        <v>131</v>
      </c>
      <c r="B444" s="138" t="s">
        <v>218</v>
      </c>
      <c r="C444" s="30">
        <v>225371</v>
      </c>
      <c r="D444" s="229">
        <v>10</v>
      </c>
      <c r="E444" s="297">
        <f>SUM(G444,I444,K444,L444,M444,Q444)</f>
        <v>68107</v>
      </c>
      <c r="F444" s="251">
        <f>SUM(H444,J444,N444,O444,P444,R444)</f>
        <v>64972</v>
      </c>
      <c r="G444" s="269">
        <v>23535</v>
      </c>
      <c r="H444" s="695">
        <v>20596</v>
      </c>
      <c r="I444" s="269">
        <v>40590</v>
      </c>
      <c r="J444" s="695">
        <v>35497</v>
      </c>
      <c r="K444" s="269">
        <v>2665</v>
      </c>
      <c r="L444" s="298">
        <v>969</v>
      </c>
      <c r="M444" s="269">
        <v>348</v>
      </c>
      <c r="N444" s="695">
        <v>6992</v>
      </c>
      <c r="O444" s="695">
        <v>873</v>
      </c>
      <c r="P444" s="695">
        <v>1014</v>
      </c>
      <c r="Q444" s="298"/>
      <c r="R444" s="252"/>
      <c r="S444" s="297">
        <f>SUM(U444,W444,Y444,Z444,AA444,AE444)</f>
        <v>0</v>
      </c>
      <c r="T444" s="251">
        <f>SUM(V444,X444,AB444,AC444,AD444,AF444)</f>
        <v>0</v>
      </c>
      <c r="U444" s="269"/>
      <c r="V444" s="292"/>
      <c r="W444" s="269"/>
      <c r="X444" s="292"/>
      <c r="Y444" s="269"/>
      <c r="Z444" s="298"/>
      <c r="AA444" s="269"/>
      <c r="AB444" s="292"/>
      <c r="AC444" s="271"/>
      <c r="AD444" s="292"/>
      <c r="AE444" s="298"/>
      <c r="AF444" s="257"/>
    </row>
    <row r="445" spans="1:32" s="299" customFormat="1" ht="15" customHeight="1">
      <c r="A445" s="138" t="s">
        <v>131</v>
      </c>
      <c r="B445" s="138" t="s">
        <v>174</v>
      </c>
      <c r="C445" s="30">
        <v>225423</v>
      </c>
      <c r="D445" s="229">
        <v>8</v>
      </c>
      <c r="E445" s="297">
        <f>SUM(G445,I445,K445,L445,M445,Q445)</f>
        <v>768685</v>
      </c>
      <c r="F445" s="251">
        <f>SUM(H445,J445,N445,O445,P445,R445)</f>
        <v>768363</v>
      </c>
      <c r="G445" s="269">
        <v>515342</v>
      </c>
      <c r="H445" s="696">
        <v>500781</v>
      </c>
      <c r="I445" s="269">
        <v>196123</v>
      </c>
      <c r="J445" s="696">
        <v>191195</v>
      </c>
      <c r="K445" s="269">
        <v>53480</v>
      </c>
      <c r="L445" s="298"/>
      <c r="M445" s="269">
        <v>3740</v>
      </c>
      <c r="N445" s="696">
        <v>73353</v>
      </c>
      <c r="O445" s="697"/>
      <c r="P445" s="696">
        <v>3034</v>
      </c>
      <c r="Q445" s="298"/>
      <c r="R445" s="252"/>
      <c r="S445" s="297">
        <f>SUM(U445,W445,Y445,Z445,AA445,AE445)</f>
        <v>0</v>
      </c>
      <c r="T445" s="251">
        <f>SUM(V445,X445,AB445,AC445,AD445,AF445)</f>
        <v>0</v>
      </c>
      <c r="U445" s="269"/>
      <c r="V445" s="292"/>
      <c r="W445" s="269"/>
      <c r="X445" s="292"/>
      <c r="Y445" s="269"/>
      <c r="Z445" s="298"/>
      <c r="AA445" s="269"/>
      <c r="AB445" s="292"/>
      <c r="AC445" s="271"/>
      <c r="AD445" s="292"/>
      <c r="AE445" s="298"/>
      <c r="AF445" s="257"/>
    </row>
    <row r="446" spans="1:32" s="299" customFormat="1" ht="15" customHeight="1">
      <c r="A446" s="138" t="s">
        <v>131</v>
      </c>
      <c r="B446" s="138" t="s">
        <v>192</v>
      </c>
      <c r="C446" s="30">
        <v>225520</v>
      </c>
      <c r="D446" s="229">
        <v>9</v>
      </c>
      <c r="E446" s="297">
        <f>SUM(G446,I446,K446,L446,M446,Q446)</f>
        <v>56100</v>
      </c>
      <c r="F446" s="251">
        <f>SUM(H446,J446,N446,O446,P446,R446)</f>
        <v>56533</v>
      </c>
      <c r="G446" s="269">
        <v>25125</v>
      </c>
      <c r="H446" s="695">
        <v>22857</v>
      </c>
      <c r="I446" s="269">
        <v>27725</v>
      </c>
      <c r="J446" s="695">
        <v>24466</v>
      </c>
      <c r="K446" s="269">
        <v>976</v>
      </c>
      <c r="L446" s="298">
        <v>2274</v>
      </c>
      <c r="M446" s="269"/>
      <c r="N446" s="695">
        <v>6269</v>
      </c>
      <c r="O446" s="695">
        <v>2631</v>
      </c>
      <c r="P446" s="695">
        <v>310</v>
      </c>
      <c r="Q446" s="298"/>
      <c r="R446" s="252"/>
      <c r="S446" s="297">
        <f>SUM(U446,W446,Y446,Z446,AA446,AE446)</f>
        <v>0</v>
      </c>
      <c r="T446" s="251">
        <f>SUM(V446,X446,AB446,AC446,AD446,AF446)</f>
        <v>0</v>
      </c>
      <c r="U446" s="269"/>
      <c r="V446" s="292"/>
      <c r="W446" s="269"/>
      <c r="X446" s="292"/>
      <c r="Y446" s="269"/>
      <c r="Z446" s="298"/>
      <c r="AA446" s="269"/>
      <c r="AB446" s="292"/>
      <c r="AC446" s="271"/>
      <c r="AD446" s="292"/>
      <c r="AE446" s="298"/>
      <c r="AF446" s="257"/>
    </row>
    <row r="447" spans="1:32" s="299" customFormat="1" ht="15" customHeight="1">
      <c r="A447" s="138" t="s">
        <v>131</v>
      </c>
      <c r="B447" s="138" t="s">
        <v>193</v>
      </c>
      <c r="C447" s="30">
        <v>226019</v>
      </c>
      <c r="D447" s="229">
        <v>9</v>
      </c>
      <c r="E447" s="297">
        <f>SUM(G447,I447,K447,L447,M447,Q447)</f>
        <v>111873</v>
      </c>
      <c r="F447" s="251">
        <f>SUM(H447,J447,N447,O447,P447,R447)</f>
        <v>110246</v>
      </c>
      <c r="G447" s="269">
        <v>88347</v>
      </c>
      <c r="H447" s="695">
        <v>82888</v>
      </c>
      <c r="I447" s="269">
        <v>20060</v>
      </c>
      <c r="J447" s="695">
        <v>21218</v>
      </c>
      <c r="K447" s="269">
        <v>1938</v>
      </c>
      <c r="L447" s="298">
        <v>295</v>
      </c>
      <c r="M447" s="269">
        <v>1233</v>
      </c>
      <c r="N447" s="695">
        <v>4287</v>
      </c>
      <c r="O447" s="695">
        <v>212</v>
      </c>
      <c r="P447" s="695">
        <v>1641</v>
      </c>
      <c r="Q447" s="298"/>
      <c r="R447" s="252"/>
      <c r="S447" s="297">
        <f>SUM(U447,W447,Y447,Z447,AA447,AE447)</f>
        <v>0</v>
      </c>
      <c r="T447" s="251">
        <f>SUM(V447,X447,AB447,AC447,AD447,AF447)</f>
        <v>0</v>
      </c>
      <c r="U447" s="269"/>
      <c r="V447" s="292"/>
      <c r="W447" s="269"/>
      <c r="X447" s="292"/>
      <c r="Y447" s="269"/>
      <c r="Z447" s="298"/>
      <c r="AA447" s="269"/>
      <c r="AB447" s="292"/>
      <c r="AC447" s="271"/>
      <c r="AD447" s="292"/>
      <c r="AE447" s="298"/>
      <c r="AF447" s="257"/>
    </row>
    <row r="448" spans="1:32" s="299" customFormat="1" ht="15" customHeight="1">
      <c r="A448" s="138" t="s">
        <v>131</v>
      </c>
      <c r="B448" s="391" t="s">
        <v>219</v>
      </c>
      <c r="C448" s="121">
        <v>441760</v>
      </c>
      <c r="D448" s="229">
        <v>9</v>
      </c>
      <c r="E448" s="297">
        <f>SUM(G448,I448,K448,L448,M448,Q448)</f>
        <v>54272</v>
      </c>
      <c r="F448" s="251">
        <f>SUM(H448,J448,N448,O448,P448,R448)</f>
        <v>57151</v>
      </c>
      <c r="G448" s="269">
        <v>53508</v>
      </c>
      <c r="H448" s="695">
        <v>55614</v>
      </c>
      <c r="I448" s="269">
        <v>218</v>
      </c>
      <c r="J448" s="695">
        <v>162</v>
      </c>
      <c r="K448" s="269">
        <v>546</v>
      </c>
      <c r="L448" s="298"/>
      <c r="M448" s="269"/>
      <c r="N448" s="695">
        <v>1375</v>
      </c>
      <c r="O448" s="695"/>
      <c r="P448" s="695"/>
      <c r="Q448" s="298"/>
      <c r="R448" s="252"/>
      <c r="S448" s="297">
        <f>SUM(U448,W448,Y448,Z448,AA448,AE448)</f>
        <v>0</v>
      </c>
      <c r="T448" s="251">
        <f>SUM(V448,X448,AB448,AC448,AD448,AF448)</f>
        <v>0</v>
      </c>
      <c r="U448" s="269"/>
      <c r="V448" s="292"/>
      <c r="W448" s="269"/>
      <c r="X448" s="292"/>
      <c r="Y448" s="269"/>
      <c r="Z448" s="298"/>
      <c r="AA448" s="269"/>
      <c r="AB448" s="292"/>
      <c r="AC448" s="271"/>
      <c r="AD448" s="292"/>
      <c r="AE448" s="298"/>
      <c r="AF448" s="257"/>
    </row>
    <row r="449" spans="1:32" s="299" customFormat="1" ht="15" customHeight="1">
      <c r="A449" s="138" t="s">
        <v>131</v>
      </c>
      <c r="B449" s="391" t="s">
        <v>220</v>
      </c>
      <c r="C449" s="30">
        <v>226107</v>
      </c>
      <c r="D449" s="229">
        <v>10</v>
      </c>
      <c r="E449" s="297">
        <f>SUM(G449,I449,K449,L449,M449,Q449)</f>
        <v>37138</v>
      </c>
      <c r="F449" s="251">
        <f>SUM(H449,J449,N449,O449,P449,R449)</f>
        <v>42453</v>
      </c>
      <c r="G449" s="269">
        <v>34566</v>
      </c>
      <c r="H449" s="695">
        <v>39180</v>
      </c>
      <c r="I449" s="269">
        <v>1283</v>
      </c>
      <c r="J449" s="695">
        <v>1253</v>
      </c>
      <c r="K449" s="269">
        <v>1133</v>
      </c>
      <c r="L449" s="298"/>
      <c r="M449" s="269">
        <v>156</v>
      </c>
      <c r="N449" s="695">
        <v>2020</v>
      </c>
      <c r="O449" s="695"/>
      <c r="P449" s="695"/>
      <c r="Q449" s="298"/>
      <c r="R449" s="252"/>
      <c r="S449" s="297">
        <f>SUM(U449,W449,Y449,Z449,AA449,AE449)</f>
        <v>0</v>
      </c>
      <c r="T449" s="251">
        <f>SUM(V449,X449,AB449,AC449,AD449,AF449)</f>
        <v>0</v>
      </c>
      <c r="U449" s="269"/>
      <c r="V449" s="292"/>
      <c r="W449" s="269"/>
      <c r="X449" s="292"/>
      <c r="Y449" s="269"/>
      <c r="Z449" s="298"/>
      <c r="AA449" s="269"/>
      <c r="AB449" s="292"/>
      <c r="AC449" s="271"/>
      <c r="AD449" s="292"/>
      <c r="AE449" s="298"/>
      <c r="AF449" s="257"/>
    </row>
    <row r="450" spans="1:32" s="299" customFormat="1" ht="15" customHeight="1">
      <c r="A450" s="138" t="s">
        <v>131</v>
      </c>
      <c r="B450" s="391" t="s">
        <v>194</v>
      </c>
      <c r="C450" s="30">
        <v>226116</v>
      </c>
      <c r="D450" s="229">
        <v>9</v>
      </c>
      <c r="E450" s="297">
        <f>SUM(G450,I450,K450,L450,M450,Q450)</f>
        <v>53164</v>
      </c>
      <c r="F450" s="251">
        <f>SUM(H450,J450,N450,O450,P450,R450)</f>
        <v>52056</v>
      </c>
      <c r="G450" s="269">
        <v>46674</v>
      </c>
      <c r="H450" s="695">
        <v>45277</v>
      </c>
      <c r="I450" s="269">
        <v>4989</v>
      </c>
      <c r="J450" s="695">
        <v>4830</v>
      </c>
      <c r="K450" s="269">
        <v>1384</v>
      </c>
      <c r="L450" s="298"/>
      <c r="M450" s="269">
        <v>117</v>
      </c>
      <c r="N450" s="695">
        <v>1949</v>
      </c>
      <c r="O450" s="695"/>
      <c r="P450" s="695"/>
      <c r="Q450" s="298"/>
      <c r="R450" s="252"/>
      <c r="S450" s="297">
        <f>SUM(U450,W450,Y450,Z450,AA450,AE450)</f>
        <v>0</v>
      </c>
      <c r="T450" s="251">
        <f>SUM(V450,X450,AB450,AC450,AD450,AF450)</f>
        <v>0</v>
      </c>
      <c r="U450" s="269"/>
      <c r="V450" s="292"/>
      <c r="W450" s="269"/>
      <c r="X450" s="292"/>
      <c r="Y450" s="269"/>
      <c r="Z450" s="298"/>
      <c r="AA450" s="269"/>
      <c r="AB450" s="292"/>
      <c r="AC450" s="271"/>
      <c r="AD450" s="292"/>
      <c r="AE450" s="298"/>
      <c r="AF450" s="257"/>
    </row>
    <row r="451" spans="1:32" s="299" customFormat="1" ht="15" customHeight="1">
      <c r="A451" s="138" t="s">
        <v>131</v>
      </c>
      <c r="B451" s="138" t="s">
        <v>175</v>
      </c>
      <c r="C451" s="30">
        <v>226134</v>
      </c>
      <c r="D451" s="229">
        <v>8</v>
      </c>
      <c r="E451" s="297">
        <f>SUM(G451,I451,K451,L451,M451,Q451)</f>
        <v>159706</v>
      </c>
      <c r="F451" s="251">
        <f>SUM(H451,J451,N451,O451,P451,R451)</f>
        <v>166690</v>
      </c>
      <c r="G451" s="269">
        <v>148649</v>
      </c>
      <c r="H451" s="696">
        <v>146583</v>
      </c>
      <c r="I451" s="269"/>
      <c r="J451" s="696"/>
      <c r="K451" s="269">
        <v>10880</v>
      </c>
      <c r="L451" s="298">
        <v>96</v>
      </c>
      <c r="M451" s="269">
        <v>81</v>
      </c>
      <c r="N451" s="696">
        <v>20017</v>
      </c>
      <c r="O451" s="697">
        <v>90</v>
      </c>
      <c r="P451" s="696"/>
      <c r="Q451" s="298"/>
      <c r="R451" s="252"/>
      <c r="S451" s="297">
        <f>SUM(U451,W451,Y451,Z451,AA451,AE451)</f>
        <v>0</v>
      </c>
      <c r="T451" s="251">
        <f>SUM(V451,X451,AB451,AC451,AD451,AF451)</f>
        <v>0</v>
      </c>
      <c r="U451" s="269"/>
      <c r="V451" s="292"/>
      <c r="W451" s="269"/>
      <c r="X451" s="292"/>
      <c r="Y451" s="269"/>
      <c r="Z451" s="298"/>
      <c r="AA451" s="269"/>
      <c r="AB451" s="292"/>
      <c r="AC451" s="271"/>
      <c r="AD451" s="292"/>
      <c r="AE451" s="298"/>
      <c r="AF451" s="257"/>
    </row>
    <row r="452" spans="1:32" s="299" customFormat="1" ht="15" customHeight="1">
      <c r="A452" s="138" t="s">
        <v>131</v>
      </c>
      <c r="B452" s="138" t="s">
        <v>195</v>
      </c>
      <c r="C452" s="30">
        <v>226204</v>
      </c>
      <c r="D452" s="229">
        <v>9</v>
      </c>
      <c r="E452" s="297">
        <f>SUM(G452,I452,K452,L452,M452,Q452)</f>
        <v>132400</v>
      </c>
      <c r="F452" s="251">
        <f>SUM(H452,J452,N452,O452,P452,R452)</f>
        <v>116302</v>
      </c>
      <c r="G452" s="269">
        <v>103874</v>
      </c>
      <c r="H452" s="695">
        <v>98827</v>
      </c>
      <c r="I452" s="269">
        <v>26120</v>
      </c>
      <c r="J452" s="695">
        <v>15355</v>
      </c>
      <c r="K452" s="269">
        <v>1627</v>
      </c>
      <c r="L452" s="298"/>
      <c r="M452" s="269">
        <v>779</v>
      </c>
      <c r="N452" s="695">
        <v>1706</v>
      </c>
      <c r="O452" s="695"/>
      <c r="P452" s="695">
        <v>414</v>
      </c>
      <c r="Q452" s="298"/>
      <c r="R452" s="252"/>
      <c r="S452" s="297">
        <f>SUM(U452,W452,Y452,Z452,AA452,AE452)</f>
        <v>0</v>
      </c>
      <c r="T452" s="251">
        <f>SUM(V452,X452,AB452,AC452,AD452,AF452)</f>
        <v>0</v>
      </c>
      <c r="U452" s="269"/>
      <c r="V452" s="292"/>
      <c r="W452" s="269"/>
      <c r="X452" s="292"/>
      <c r="Y452" s="269"/>
      <c r="Z452" s="298"/>
      <c r="AA452" s="269"/>
      <c r="AB452" s="292"/>
      <c r="AC452" s="271"/>
      <c r="AD452" s="292"/>
      <c r="AE452" s="298"/>
      <c r="AF452" s="257"/>
    </row>
    <row r="453" spans="1:32" s="299" customFormat="1" ht="15" customHeight="1">
      <c r="A453" s="138" t="s">
        <v>131</v>
      </c>
      <c r="B453" s="138" t="s">
        <v>196</v>
      </c>
      <c r="C453" s="30">
        <v>226578</v>
      </c>
      <c r="D453" s="229">
        <v>9</v>
      </c>
      <c r="E453" s="297">
        <f>SUM(G453,I453,K453,L453,M453,Q453)</f>
        <v>159606</v>
      </c>
      <c r="F453" s="251">
        <f>SUM(H453,J453,N453,O453,P453,R453)</f>
        <v>172623</v>
      </c>
      <c r="G453" s="269">
        <v>142095</v>
      </c>
      <c r="H453" s="695">
        <v>148244</v>
      </c>
      <c r="I453" s="269">
        <v>3014</v>
      </c>
      <c r="J453" s="695">
        <v>3819</v>
      </c>
      <c r="K453" s="269">
        <v>12270</v>
      </c>
      <c r="L453" s="298">
        <v>937</v>
      </c>
      <c r="M453" s="269">
        <v>1290</v>
      </c>
      <c r="N453" s="695">
        <v>18870</v>
      </c>
      <c r="O453" s="695">
        <v>1423</v>
      </c>
      <c r="P453" s="695">
        <v>267</v>
      </c>
      <c r="Q453" s="298"/>
      <c r="R453" s="252"/>
      <c r="S453" s="297">
        <f>SUM(U453,W453,Y453,Z453,AA453,AE453)</f>
        <v>0</v>
      </c>
      <c r="T453" s="251">
        <f>SUM(V453,X453,AB453,AC453,AD453,AF453)</f>
        <v>0</v>
      </c>
      <c r="U453" s="269"/>
      <c r="V453" s="292"/>
      <c r="W453" s="269"/>
      <c r="X453" s="292"/>
      <c r="Y453" s="269"/>
      <c r="Z453" s="298"/>
      <c r="AA453" s="269"/>
      <c r="AB453" s="292"/>
      <c r="AC453" s="271"/>
      <c r="AD453" s="292"/>
      <c r="AE453" s="298"/>
      <c r="AF453" s="257"/>
    </row>
    <row r="454" spans="1:32" s="299" customFormat="1" ht="15" customHeight="1">
      <c r="A454" s="138" t="s">
        <v>131</v>
      </c>
      <c r="B454" s="138" t="s">
        <v>197</v>
      </c>
      <c r="C454" s="30">
        <v>226806</v>
      </c>
      <c r="D454" s="229">
        <v>9</v>
      </c>
      <c r="E454" s="297">
        <f>SUM(G454,I454,K454,L454,M454,Q454)</f>
        <v>107918</v>
      </c>
      <c r="F454" s="251">
        <f>SUM(H454,J454,N454,O454,P454,R454)</f>
        <v>112265</v>
      </c>
      <c r="G454" s="269">
        <v>89555</v>
      </c>
      <c r="H454" s="695">
        <v>85592</v>
      </c>
      <c r="I454" s="269">
        <v>4931</v>
      </c>
      <c r="J454" s="695">
        <v>4416</v>
      </c>
      <c r="K454" s="269">
        <v>11390</v>
      </c>
      <c r="L454" s="298">
        <v>2042</v>
      </c>
      <c r="M454" s="269"/>
      <c r="N454" s="695">
        <v>19726</v>
      </c>
      <c r="O454" s="695">
        <v>2531</v>
      </c>
      <c r="P454" s="695"/>
      <c r="Q454" s="298"/>
      <c r="R454" s="252"/>
      <c r="S454" s="297">
        <f>SUM(U454,W454,Y454,Z454,AA454,AE454)</f>
        <v>0</v>
      </c>
      <c r="T454" s="251">
        <f>SUM(V454,X454,AB454,AC454,AD454,AF454)</f>
        <v>0</v>
      </c>
      <c r="U454" s="269"/>
      <c r="V454" s="292"/>
      <c r="W454" s="269"/>
      <c r="X454" s="292"/>
      <c r="Y454" s="269"/>
      <c r="Z454" s="298"/>
      <c r="AA454" s="269"/>
      <c r="AB454" s="292"/>
      <c r="AC454" s="271"/>
      <c r="AD454" s="292"/>
      <c r="AE454" s="298"/>
      <c r="AF454" s="257"/>
    </row>
    <row r="455" spans="1:32" s="299" customFormat="1" ht="15" customHeight="1">
      <c r="A455" s="138" t="s">
        <v>131</v>
      </c>
      <c r="B455" s="138" t="s">
        <v>198</v>
      </c>
      <c r="C455" s="30">
        <v>226930</v>
      </c>
      <c r="D455" s="229">
        <v>9</v>
      </c>
      <c r="E455" s="297">
        <f>SUM(G455,I455,K455,L455,M455,Q455)</f>
        <v>115617</v>
      </c>
      <c r="F455" s="251">
        <f>SUM(H455,J455,N455,O455,P455,R455)</f>
        <v>116874</v>
      </c>
      <c r="G455" s="269">
        <v>109268</v>
      </c>
      <c r="H455" s="695">
        <v>105561</v>
      </c>
      <c r="I455" s="269"/>
      <c r="J455" s="695"/>
      <c r="K455" s="269">
        <v>3631</v>
      </c>
      <c r="L455" s="298"/>
      <c r="M455" s="269">
        <v>2718</v>
      </c>
      <c r="N455" s="695">
        <v>8802</v>
      </c>
      <c r="O455" s="695"/>
      <c r="P455" s="695">
        <v>2511</v>
      </c>
      <c r="Q455" s="298"/>
      <c r="R455" s="252"/>
      <c r="S455" s="297">
        <f>SUM(U455,W455,Y455,Z455,AA455,AE455)</f>
        <v>0</v>
      </c>
      <c r="T455" s="251">
        <f>SUM(V455,X455,AB455,AC455,AD455,AF455)</f>
        <v>0</v>
      </c>
      <c r="U455" s="269"/>
      <c r="V455" s="292"/>
      <c r="W455" s="269"/>
      <c r="X455" s="292"/>
      <c r="Y455" s="269"/>
      <c r="Z455" s="298"/>
      <c r="AA455" s="269"/>
      <c r="AB455" s="292"/>
      <c r="AC455" s="271"/>
      <c r="AD455" s="292"/>
      <c r="AE455" s="298"/>
      <c r="AF455" s="257"/>
    </row>
    <row r="456" spans="1:32" s="299" customFormat="1" ht="15" customHeight="1">
      <c r="A456" s="138" t="s">
        <v>131</v>
      </c>
      <c r="B456" s="391" t="s">
        <v>199</v>
      </c>
      <c r="C456" s="30">
        <v>227146</v>
      </c>
      <c r="D456" s="229">
        <v>9</v>
      </c>
      <c r="E456" s="297">
        <f>SUM(G456,I456,K456,L456,M456,Q456)</f>
        <v>125384</v>
      </c>
      <c r="F456" s="251">
        <f>SUM(H456,J456,N456,O456,P456,R456)</f>
        <v>145139</v>
      </c>
      <c r="G456" s="269">
        <v>71453</v>
      </c>
      <c r="H456" s="695">
        <v>64632</v>
      </c>
      <c r="I456" s="269">
        <v>50068</v>
      </c>
      <c r="J456" s="695">
        <v>58698</v>
      </c>
      <c r="K456" s="269">
        <v>972</v>
      </c>
      <c r="L456" s="298"/>
      <c r="M456" s="269">
        <v>2891</v>
      </c>
      <c r="N456" s="695">
        <v>19196</v>
      </c>
      <c r="O456" s="695">
        <v>30</v>
      </c>
      <c r="P456" s="695">
        <v>2583</v>
      </c>
      <c r="Q456" s="298"/>
      <c r="R456" s="252"/>
      <c r="S456" s="297">
        <f>SUM(U456,W456,Y456,Z456,AA456,AE456)</f>
        <v>0</v>
      </c>
      <c r="T456" s="251">
        <f>SUM(V456,X456,AB456,AC456,AD456,AF456)</f>
        <v>0</v>
      </c>
      <c r="U456" s="269"/>
      <c r="V456" s="292"/>
      <c r="W456" s="269"/>
      <c r="X456" s="292"/>
      <c r="Y456" s="269"/>
      <c r="Z456" s="298"/>
      <c r="AA456" s="269"/>
      <c r="AB456" s="292"/>
      <c r="AC456" s="271"/>
      <c r="AD456" s="292"/>
      <c r="AE456" s="298"/>
      <c r="AF456" s="257"/>
    </row>
    <row r="457" spans="1:32" s="299" customFormat="1" ht="15" customHeight="1">
      <c r="A457" s="138" t="s">
        <v>131</v>
      </c>
      <c r="B457" s="138" t="s">
        <v>200</v>
      </c>
      <c r="C457" s="30">
        <v>224110</v>
      </c>
      <c r="D457" s="229">
        <v>9</v>
      </c>
      <c r="E457" s="297">
        <f>SUM(G457,I457,K457,L457,M457,Q457)</f>
        <v>125346</v>
      </c>
      <c r="F457" s="251">
        <f>SUM(H457,J457,N457,O457,P457,R457)</f>
        <v>130085</v>
      </c>
      <c r="G457" s="269">
        <v>32806</v>
      </c>
      <c r="H457" s="695">
        <v>31965</v>
      </c>
      <c r="I457" s="269">
        <v>91029</v>
      </c>
      <c r="J457" s="695">
        <v>93268</v>
      </c>
      <c r="K457" s="269">
        <v>1511</v>
      </c>
      <c r="L457" s="298"/>
      <c r="M457" s="269"/>
      <c r="N457" s="695">
        <v>4543</v>
      </c>
      <c r="O457" s="695">
        <v>270</v>
      </c>
      <c r="P457" s="695">
        <v>39</v>
      </c>
      <c r="Q457" s="298"/>
      <c r="R457" s="252"/>
      <c r="S457" s="297">
        <f>SUM(U457,W457,Y457,Z457,AA457,AE457)</f>
        <v>0</v>
      </c>
      <c r="T457" s="251">
        <f>SUM(V457,X457,AB457,AC457,AD457,AF457)</f>
        <v>0</v>
      </c>
      <c r="U457" s="269"/>
      <c r="V457" s="292"/>
      <c r="W457" s="269"/>
      <c r="X457" s="292"/>
      <c r="Y457" s="269"/>
      <c r="Z457" s="298"/>
      <c r="AA457" s="269"/>
      <c r="AB457" s="292"/>
      <c r="AC457" s="271"/>
      <c r="AD457" s="292"/>
      <c r="AE457" s="298"/>
      <c r="AF457" s="257"/>
    </row>
    <row r="458" spans="1:32" s="299" customFormat="1" ht="15" customHeight="1">
      <c r="A458" s="138" t="s">
        <v>131</v>
      </c>
      <c r="B458" s="138" t="s">
        <v>176</v>
      </c>
      <c r="C458" s="30">
        <v>227182</v>
      </c>
      <c r="D458" s="229">
        <v>8</v>
      </c>
      <c r="E458" s="297">
        <f>SUM(G458,I458,K458,L458,M458,Q458)</f>
        <v>651442</v>
      </c>
      <c r="F458" s="251">
        <f>SUM(H458,J458,N458,O458,P458,R458)</f>
        <v>748578</v>
      </c>
      <c r="G458" s="269">
        <v>599807</v>
      </c>
      <c r="H458" s="695">
        <v>651299</v>
      </c>
      <c r="I458" s="269">
        <v>874</v>
      </c>
      <c r="J458" s="695">
        <v>1249</v>
      </c>
      <c r="K458" s="269">
        <v>46634</v>
      </c>
      <c r="L458" s="298">
        <v>12</v>
      </c>
      <c r="M458" s="269">
        <v>4115</v>
      </c>
      <c r="N458" s="695">
        <v>86405</v>
      </c>
      <c r="O458" s="695"/>
      <c r="P458" s="695">
        <v>9625</v>
      </c>
      <c r="Q458" s="298"/>
      <c r="R458" s="252"/>
      <c r="S458" s="297">
        <f>SUM(U458,W458,Y458,Z458,AA458,AE458)</f>
        <v>0</v>
      </c>
      <c r="T458" s="251">
        <f>SUM(V458,X458,AB458,AC458,AD458,AF458)</f>
        <v>0</v>
      </c>
      <c r="U458" s="269"/>
      <c r="V458" s="292"/>
      <c r="W458" s="269"/>
      <c r="X458" s="292"/>
      <c r="Y458" s="269"/>
      <c r="Z458" s="298"/>
      <c r="AA458" s="269"/>
      <c r="AB458" s="292"/>
      <c r="AC458" s="271"/>
      <c r="AD458" s="292"/>
      <c r="AE458" s="298"/>
      <c r="AF458" s="257"/>
    </row>
    <row r="459" spans="1:32" s="299" customFormat="1" ht="15" customHeight="1">
      <c r="A459" s="138" t="s">
        <v>131</v>
      </c>
      <c r="B459" s="138" t="s">
        <v>177</v>
      </c>
      <c r="C459" s="30">
        <v>227191</v>
      </c>
      <c r="D459" s="229">
        <v>8</v>
      </c>
      <c r="E459" s="297">
        <f>SUM(G459,I459,K459,L459,M459,Q459)</f>
        <v>161877</v>
      </c>
      <c r="F459" s="251">
        <f>SUM(H459,J459,N459,O459,P459,R459)</f>
        <v>163325</v>
      </c>
      <c r="G459" s="269">
        <v>148336</v>
      </c>
      <c r="H459" s="695">
        <v>143324</v>
      </c>
      <c r="I459" s="269">
        <v>9</v>
      </c>
      <c r="J459" s="695">
        <v>1197</v>
      </c>
      <c r="K459" s="269">
        <v>10479</v>
      </c>
      <c r="L459" s="298"/>
      <c r="M459" s="269">
        <v>3053</v>
      </c>
      <c r="N459" s="695">
        <v>15756</v>
      </c>
      <c r="O459" s="695"/>
      <c r="P459" s="695">
        <v>3048</v>
      </c>
      <c r="Q459" s="298"/>
      <c r="R459" s="252"/>
      <c r="S459" s="297">
        <f>SUM(U459,W459,Y459,Z459,AA459,AE459)</f>
        <v>0</v>
      </c>
      <c r="T459" s="251">
        <f>SUM(V459,X459,AB459,AC459,AD459,AF459)</f>
        <v>0</v>
      </c>
      <c r="U459" s="269"/>
      <c r="V459" s="292"/>
      <c r="W459" s="269"/>
      <c r="X459" s="292"/>
      <c r="Y459" s="269"/>
      <c r="Z459" s="298"/>
      <c r="AA459" s="269"/>
      <c r="AB459" s="292"/>
      <c r="AC459" s="271"/>
      <c r="AD459" s="292"/>
      <c r="AE459" s="298"/>
      <c r="AF459" s="257"/>
    </row>
    <row r="460" spans="1:32" s="299" customFormat="1" ht="15" customHeight="1">
      <c r="A460" s="138" t="s">
        <v>131</v>
      </c>
      <c r="B460" s="138" t="s">
        <v>221</v>
      </c>
      <c r="C460" s="30">
        <v>227225</v>
      </c>
      <c r="D460" s="229">
        <v>10</v>
      </c>
      <c r="E460" s="297">
        <f>SUM(G460,I460,K460,L460,M460,Q460)</f>
        <v>55738</v>
      </c>
      <c r="F460" s="251">
        <f>SUM(H460,J460,N460,O460,P460,R460)</f>
        <v>54921</v>
      </c>
      <c r="G460" s="269">
        <v>52229</v>
      </c>
      <c r="H460" s="695">
        <v>51810</v>
      </c>
      <c r="I460" s="269">
        <v>957</v>
      </c>
      <c r="J460" s="695">
        <v>1134</v>
      </c>
      <c r="K460" s="269">
        <v>2552</v>
      </c>
      <c r="L460" s="298"/>
      <c r="M460" s="269"/>
      <c r="N460" s="695">
        <v>1974</v>
      </c>
      <c r="O460" s="695"/>
      <c r="P460" s="695">
        <v>3</v>
      </c>
      <c r="Q460" s="298"/>
      <c r="R460" s="252"/>
      <c r="S460" s="297">
        <f>SUM(U460,W460,Y460,Z460,AA460,AE460)</f>
        <v>0</v>
      </c>
      <c r="T460" s="251">
        <f>SUM(V460,X460,AB460,AC460,AD460,AF460)</f>
        <v>0</v>
      </c>
      <c r="U460" s="269"/>
      <c r="V460" s="292"/>
      <c r="W460" s="269"/>
      <c r="X460" s="292"/>
      <c r="Y460" s="269"/>
      <c r="Z460" s="298"/>
      <c r="AA460" s="269"/>
      <c r="AB460" s="292"/>
      <c r="AC460" s="271"/>
      <c r="AD460" s="292"/>
      <c r="AE460" s="298"/>
      <c r="AF460" s="257"/>
    </row>
    <row r="461" spans="1:32" s="299" customFormat="1" ht="15" customHeight="1">
      <c r="A461" s="138" t="s">
        <v>131</v>
      </c>
      <c r="B461" s="391" t="s">
        <v>201</v>
      </c>
      <c r="C461" s="30">
        <v>420398</v>
      </c>
      <c r="D461" s="229">
        <v>8</v>
      </c>
      <c r="E461" s="297">
        <f>SUM(G461,I461,K461,L461,M461,Q461)</f>
        <v>154407</v>
      </c>
      <c r="F461" s="251">
        <f>SUM(H461,J461,N461,O461,P461,R461)</f>
        <v>174862</v>
      </c>
      <c r="G461" s="269">
        <v>144961</v>
      </c>
      <c r="H461" s="695">
        <v>162144</v>
      </c>
      <c r="I461" s="269"/>
      <c r="J461" s="695" t="s">
        <v>14</v>
      </c>
      <c r="K461" s="269">
        <v>9446</v>
      </c>
      <c r="L461" s="298"/>
      <c r="M461" s="269"/>
      <c r="N461" s="695">
        <v>12718</v>
      </c>
      <c r="O461" s="695"/>
      <c r="P461" s="695"/>
      <c r="Q461" s="298"/>
      <c r="R461" s="252"/>
      <c r="S461" s="297">
        <f>SUM(U461,W461,Y461,Z461,AA461,AE461)</f>
        <v>0</v>
      </c>
      <c r="T461" s="251">
        <f>SUM(V461,X461,AB461,AC461,AD461,AF461)</f>
        <v>0</v>
      </c>
      <c r="U461" s="269"/>
      <c r="V461" s="292"/>
      <c r="W461" s="269"/>
      <c r="X461" s="292"/>
      <c r="Y461" s="269"/>
      <c r="Z461" s="298"/>
      <c r="AA461" s="269"/>
      <c r="AB461" s="292"/>
      <c r="AC461" s="271"/>
      <c r="AD461" s="292"/>
      <c r="AE461" s="298"/>
      <c r="AF461" s="257"/>
    </row>
    <row r="462" spans="1:32" s="299" customFormat="1" ht="15" customHeight="1">
      <c r="A462" s="138" t="s">
        <v>131</v>
      </c>
      <c r="B462" s="138" t="s">
        <v>202</v>
      </c>
      <c r="C462" s="30">
        <v>227304</v>
      </c>
      <c r="D462" s="229">
        <v>9</v>
      </c>
      <c r="E462" s="297">
        <f>SUM(G462,I462,K462,L462,M462,Q462)</f>
        <v>98952</v>
      </c>
      <c r="F462" s="251">
        <f>SUM(H462,J462,N462,O462,P462,R462)</f>
        <v>95759</v>
      </c>
      <c r="G462" s="269">
        <v>84328</v>
      </c>
      <c r="H462" s="695">
        <v>75360</v>
      </c>
      <c r="I462" s="269">
        <v>6259</v>
      </c>
      <c r="J462" s="695">
        <v>8077</v>
      </c>
      <c r="K462" s="269">
        <v>7348</v>
      </c>
      <c r="L462" s="298">
        <v>702</v>
      </c>
      <c r="M462" s="269">
        <v>315</v>
      </c>
      <c r="N462" s="695">
        <v>12040</v>
      </c>
      <c r="O462" s="695">
        <v>282</v>
      </c>
      <c r="P462" s="695"/>
      <c r="Q462" s="298"/>
      <c r="R462" s="252"/>
      <c r="S462" s="297">
        <f>SUM(U462,W462,Y462,Z462,AA462,AE462)</f>
        <v>0</v>
      </c>
      <c r="T462" s="251">
        <f>SUM(V462,X462,AB462,AC462,AD462,AF462)</f>
        <v>0</v>
      </c>
      <c r="U462" s="269"/>
      <c r="V462" s="271"/>
      <c r="W462" s="269"/>
      <c r="X462" s="271"/>
      <c r="Y462" s="269"/>
      <c r="Z462" s="298"/>
      <c r="AA462" s="269"/>
      <c r="AB462" s="271"/>
      <c r="AC462" s="271"/>
      <c r="AD462" s="271"/>
      <c r="AE462" s="298"/>
      <c r="AF462" s="257"/>
    </row>
    <row r="463" spans="1:32" s="299" customFormat="1" ht="15" customHeight="1">
      <c r="A463" s="138" t="s">
        <v>131</v>
      </c>
      <c r="B463" s="391" t="s">
        <v>203</v>
      </c>
      <c r="C463" s="30">
        <v>246354</v>
      </c>
      <c r="D463" s="229">
        <v>8</v>
      </c>
      <c r="E463" s="297">
        <f>SUM(G463,I463,K463,L463,M463,Q463)</f>
        <v>154041</v>
      </c>
      <c r="F463" s="251">
        <f>SUM(H463,J463,N463,O463,P463,R463)</f>
        <v>162234</v>
      </c>
      <c r="G463" s="269">
        <v>129066</v>
      </c>
      <c r="H463" s="695">
        <v>134426</v>
      </c>
      <c r="I463" s="269">
        <v>7014</v>
      </c>
      <c r="J463" s="695">
        <v>2113</v>
      </c>
      <c r="K463" s="269">
        <v>14682</v>
      </c>
      <c r="L463" s="298">
        <v>534</v>
      </c>
      <c r="M463" s="269">
        <v>2745</v>
      </c>
      <c r="N463" s="695">
        <v>21891</v>
      </c>
      <c r="O463" s="695">
        <v>780</v>
      </c>
      <c r="P463" s="695">
        <v>3024</v>
      </c>
      <c r="Q463" s="298"/>
      <c r="R463" s="252"/>
      <c r="S463" s="297">
        <f>SUM(U463,W463,Y463,Z463,AA463,AE463)</f>
        <v>0</v>
      </c>
      <c r="T463" s="251">
        <f>SUM(V463,X463,AB463,AC463,AD463,AF463)</f>
        <v>0</v>
      </c>
      <c r="U463" s="269"/>
      <c r="V463" s="271"/>
      <c r="W463" s="269"/>
      <c r="X463" s="271"/>
      <c r="Y463" s="269"/>
      <c r="Z463" s="298"/>
      <c r="AA463" s="269"/>
      <c r="AB463" s="271"/>
      <c r="AC463" s="271"/>
      <c r="AD463" s="271"/>
      <c r="AE463" s="298"/>
      <c r="AF463" s="257"/>
    </row>
    <row r="464" spans="1:32" s="299" customFormat="1" ht="15" customHeight="1">
      <c r="A464" s="138" t="s">
        <v>131</v>
      </c>
      <c r="B464" s="138" t="s">
        <v>222</v>
      </c>
      <c r="C464" s="30">
        <v>227386</v>
      </c>
      <c r="D464" s="229">
        <v>10</v>
      </c>
      <c r="E464" s="297">
        <f>SUM(G464,I464,K464,L464,M464,Q464)</f>
        <v>39652</v>
      </c>
      <c r="F464" s="251">
        <f>SUM(H464,J464,N464,O464,P464,R464)</f>
        <v>41649</v>
      </c>
      <c r="G464" s="269">
        <v>28978</v>
      </c>
      <c r="H464" s="695">
        <v>27687</v>
      </c>
      <c r="I464" s="269">
        <v>5830</v>
      </c>
      <c r="J464" s="695">
        <v>5704</v>
      </c>
      <c r="K464" s="269">
        <v>3786</v>
      </c>
      <c r="L464" s="298">
        <v>1058</v>
      </c>
      <c r="M464" s="269"/>
      <c r="N464" s="695">
        <v>7489</v>
      </c>
      <c r="O464" s="695">
        <v>766</v>
      </c>
      <c r="P464" s="695">
        <v>3</v>
      </c>
      <c r="Q464" s="298"/>
      <c r="R464" s="252"/>
      <c r="S464" s="297">
        <f>SUM(U464,W464,Y464,Z464,AA464,AE464)</f>
        <v>0</v>
      </c>
      <c r="T464" s="251">
        <f>SUM(V464,X464,AB464,AC464,AD464,AF464)</f>
        <v>0</v>
      </c>
      <c r="U464" s="269"/>
      <c r="V464" s="271"/>
      <c r="W464" s="269"/>
      <c r="X464" s="271"/>
      <c r="Y464" s="269"/>
      <c r="Z464" s="298"/>
      <c r="AA464" s="269"/>
      <c r="AB464" s="271"/>
      <c r="AC464" s="271"/>
      <c r="AD464" s="271"/>
      <c r="AE464" s="298"/>
      <c r="AF464" s="257"/>
    </row>
    <row r="465" spans="1:32" s="299" customFormat="1" ht="15" customHeight="1">
      <c r="A465" s="138" t="s">
        <v>131</v>
      </c>
      <c r="B465" s="138" t="s">
        <v>204</v>
      </c>
      <c r="C465" s="30">
        <v>227401</v>
      </c>
      <c r="D465" s="229">
        <v>9</v>
      </c>
      <c r="E465" s="297">
        <f>SUM(G465,I465,K465,L465,M465,Q465)</f>
        <v>83938</v>
      </c>
      <c r="F465" s="251">
        <f>SUM(H465,J465,N465,O465,P465,R465)</f>
        <v>87860</v>
      </c>
      <c r="G465" s="269">
        <v>50263</v>
      </c>
      <c r="H465" s="695">
        <v>43528</v>
      </c>
      <c r="I465" s="269">
        <v>30808</v>
      </c>
      <c r="J465" s="695">
        <v>32906</v>
      </c>
      <c r="K465" s="269">
        <v>2552</v>
      </c>
      <c r="L465" s="298">
        <v>315</v>
      </c>
      <c r="M465" s="269"/>
      <c r="N465" s="695">
        <v>9528</v>
      </c>
      <c r="O465" s="695">
        <v>1898</v>
      </c>
      <c r="P465" s="695"/>
      <c r="Q465" s="298"/>
      <c r="R465" s="252"/>
      <c r="S465" s="297">
        <f>SUM(U465,W465,Y465,Z465,AA465,AE465)</f>
        <v>0</v>
      </c>
      <c r="T465" s="251">
        <f>SUM(V465,X465,AB465,AC465,AD465,AF465)</f>
        <v>0</v>
      </c>
      <c r="U465" s="269"/>
      <c r="V465" s="271"/>
      <c r="W465" s="269"/>
      <c r="X465" s="271"/>
      <c r="Y465" s="269"/>
      <c r="Z465" s="298"/>
      <c r="AA465" s="269"/>
      <c r="AB465" s="271"/>
      <c r="AC465" s="271"/>
      <c r="AD465" s="271"/>
      <c r="AE465" s="298"/>
      <c r="AF465" s="257"/>
    </row>
    <row r="466" spans="1:32" s="299" customFormat="1" ht="15" customHeight="1">
      <c r="A466" s="138" t="s">
        <v>131</v>
      </c>
      <c r="B466" s="138" t="s">
        <v>223</v>
      </c>
      <c r="C466" s="30">
        <v>227687</v>
      </c>
      <c r="D466" s="229">
        <v>10</v>
      </c>
      <c r="E466" s="297">
        <f>SUM(G466,I466,K466,L466,M466,Q466)</f>
        <v>19050</v>
      </c>
      <c r="F466" s="251">
        <f>SUM(H466,J466,N466,O466,P466,R466)</f>
        <v>19007</v>
      </c>
      <c r="G466" s="269">
        <v>10098</v>
      </c>
      <c r="H466" s="695">
        <v>10990</v>
      </c>
      <c r="I466" s="269">
        <v>8276</v>
      </c>
      <c r="J466" s="695">
        <v>6679</v>
      </c>
      <c r="K466" s="269">
        <v>208</v>
      </c>
      <c r="L466" s="298">
        <v>39</v>
      </c>
      <c r="M466" s="269">
        <v>429</v>
      </c>
      <c r="N466" s="695">
        <v>802</v>
      </c>
      <c r="O466" s="695">
        <v>536</v>
      </c>
      <c r="P466" s="695"/>
      <c r="Q466" s="298"/>
      <c r="R466" s="252"/>
      <c r="S466" s="297">
        <f>SUM(U466,W466,Y466,Z466,AA466,AE466)</f>
        <v>0</v>
      </c>
      <c r="T466" s="251">
        <f>SUM(V466,X466,AB466,AC466,AD466,AF466)</f>
        <v>0</v>
      </c>
      <c r="U466" s="269"/>
      <c r="V466" s="271"/>
      <c r="W466" s="269"/>
      <c r="X466" s="271"/>
      <c r="Y466" s="269"/>
      <c r="Z466" s="298"/>
      <c r="AA466" s="269"/>
      <c r="AB466" s="271"/>
      <c r="AC466" s="271"/>
      <c r="AD466" s="271"/>
      <c r="AE466" s="298"/>
      <c r="AF466" s="257"/>
    </row>
    <row r="467" spans="1:32" s="299" customFormat="1" ht="15" customHeight="1">
      <c r="A467" s="138" t="s">
        <v>131</v>
      </c>
      <c r="B467" s="138" t="s">
        <v>178</v>
      </c>
      <c r="C467" s="30">
        <v>227766</v>
      </c>
      <c r="D467" s="229">
        <v>8</v>
      </c>
      <c r="E467" s="297">
        <f>SUM(G467,I467,K467,L467,M467,Q467)</f>
        <v>265805</v>
      </c>
      <c r="F467" s="251">
        <f>SUM(H467,J467,N467,O467,P467,R467)</f>
        <v>268839</v>
      </c>
      <c r="G467" s="269">
        <v>254279</v>
      </c>
      <c r="H467" s="695">
        <v>251610</v>
      </c>
      <c r="I467" s="269"/>
      <c r="J467" s="695" t="s">
        <v>14</v>
      </c>
      <c r="K467" s="269">
        <v>5895</v>
      </c>
      <c r="L467" s="298"/>
      <c r="M467" s="269">
        <v>5631</v>
      </c>
      <c r="N467" s="695">
        <v>13930</v>
      </c>
      <c r="O467" s="695"/>
      <c r="P467" s="695">
        <v>3299</v>
      </c>
      <c r="Q467" s="298"/>
      <c r="R467" s="252"/>
      <c r="S467" s="297">
        <f>SUM(U467,W467,Y467,Z467,AA467,AE467)</f>
        <v>0</v>
      </c>
      <c r="T467" s="251">
        <f>SUM(V467,X467,AB467,AC467,AD467,AF467)</f>
        <v>0</v>
      </c>
      <c r="U467" s="269"/>
      <c r="V467" s="271"/>
      <c r="W467" s="269"/>
      <c r="X467" s="271"/>
      <c r="Y467" s="269"/>
      <c r="Z467" s="298"/>
      <c r="AA467" s="269"/>
      <c r="AB467" s="271"/>
      <c r="AC467" s="271"/>
      <c r="AD467" s="271"/>
      <c r="AE467" s="298"/>
      <c r="AF467" s="257"/>
    </row>
    <row r="468" spans="1:32" s="299" customFormat="1" ht="15" customHeight="1">
      <c r="A468" s="138" t="s">
        <v>131</v>
      </c>
      <c r="B468" s="138" t="s">
        <v>179</v>
      </c>
      <c r="C468" s="30">
        <v>227924</v>
      </c>
      <c r="D468" s="229">
        <v>8</v>
      </c>
      <c r="E468" s="297">
        <f>SUM(G468,I468,K468,L468,M468,Q468)</f>
        <v>442393</v>
      </c>
      <c r="F468" s="251">
        <f>SUM(H468,J468,N468,O468,P468,R468)</f>
        <v>431080</v>
      </c>
      <c r="G468" s="269">
        <v>394453</v>
      </c>
      <c r="H468" s="695">
        <v>374890</v>
      </c>
      <c r="I468" s="269">
        <v>5854</v>
      </c>
      <c r="J468" s="695">
        <v>5802</v>
      </c>
      <c r="K468" s="269">
        <v>34613</v>
      </c>
      <c r="L468" s="298">
        <v>90</v>
      </c>
      <c r="M468" s="269">
        <v>7383</v>
      </c>
      <c r="N468" s="695">
        <v>40779</v>
      </c>
      <c r="O468" s="695">
        <v>146</v>
      </c>
      <c r="P468" s="695">
        <v>9463</v>
      </c>
      <c r="Q468" s="298"/>
      <c r="R468" s="252"/>
      <c r="S468" s="297">
        <f>SUM(U468,W468,Y468,Z468,AA468,AE468)</f>
        <v>0</v>
      </c>
      <c r="T468" s="251">
        <f>SUM(V468,X468,AB468,AC468,AD468,AF468)</f>
        <v>0</v>
      </c>
      <c r="U468" s="269"/>
      <c r="V468" s="271"/>
      <c r="W468" s="269"/>
      <c r="X468" s="271"/>
      <c r="Y468" s="269"/>
      <c r="Z468" s="298"/>
      <c r="AA468" s="269"/>
      <c r="AB468" s="271"/>
      <c r="AC468" s="271"/>
      <c r="AD468" s="271"/>
      <c r="AE468" s="298"/>
      <c r="AF468" s="257"/>
    </row>
    <row r="469" spans="1:32" s="299" customFormat="1" ht="15" customHeight="1">
      <c r="A469" s="138" t="s">
        <v>131</v>
      </c>
      <c r="B469" s="138" t="s">
        <v>413</v>
      </c>
      <c r="C469" s="30">
        <v>227979</v>
      </c>
      <c r="D469" s="229">
        <v>8</v>
      </c>
      <c r="E469" s="297">
        <f>SUM(G469,I469,K469,L469,M469,Q469)</f>
        <v>461929</v>
      </c>
      <c r="F469" s="251">
        <f>SUM(H469,J469,N469,O469,P469,R469)</f>
        <v>483759</v>
      </c>
      <c r="G469" s="269">
        <v>442986</v>
      </c>
      <c r="H469" s="695">
        <v>447419</v>
      </c>
      <c r="I469" s="269">
        <v>678</v>
      </c>
      <c r="J469" s="695">
        <v>1050</v>
      </c>
      <c r="K469" s="269">
        <v>16873</v>
      </c>
      <c r="L469" s="298"/>
      <c r="M469" s="269">
        <v>1392</v>
      </c>
      <c r="N469" s="695">
        <v>34305</v>
      </c>
      <c r="O469" s="695">
        <v>461</v>
      </c>
      <c r="P469" s="695">
        <v>524</v>
      </c>
      <c r="Q469" s="298"/>
      <c r="R469" s="252"/>
      <c r="S469" s="297">
        <f>SUM(U469,W469,Y469,Z469,AA469,AE469)</f>
        <v>0</v>
      </c>
      <c r="T469" s="251">
        <f>SUM(V469,X469,AB469,AC469,AD469,AF469)</f>
        <v>0</v>
      </c>
      <c r="U469" s="269"/>
      <c r="V469" s="271"/>
      <c r="W469" s="269"/>
      <c r="X469" s="271"/>
      <c r="Y469" s="269"/>
      <c r="Z469" s="298"/>
      <c r="AA469" s="269"/>
      <c r="AB469" s="271"/>
      <c r="AC469" s="271"/>
      <c r="AD469" s="271"/>
      <c r="AE469" s="298"/>
      <c r="AF469" s="257"/>
    </row>
    <row r="470" spans="1:32" s="299" customFormat="1" ht="15" customHeight="1">
      <c r="A470" s="138" t="s">
        <v>131</v>
      </c>
      <c r="B470" s="138" t="s">
        <v>180</v>
      </c>
      <c r="C470" s="30">
        <v>228158</v>
      </c>
      <c r="D470" s="229">
        <v>8</v>
      </c>
      <c r="E470" s="297">
        <f>SUM(G470,I470,K470,L470,M470,Q470)</f>
        <v>200670</v>
      </c>
      <c r="F470" s="251">
        <f>SUM(H470,J470,N470,O470,P470,R470)</f>
        <v>202066</v>
      </c>
      <c r="G470" s="269">
        <v>104851</v>
      </c>
      <c r="H470" s="695">
        <v>102134</v>
      </c>
      <c r="I470" s="269">
        <v>83253</v>
      </c>
      <c r="J470" s="695">
        <v>81873</v>
      </c>
      <c r="K470" s="269">
        <v>10364</v>
      </c>
      <c r="L470" s="298">
        <v>810</v>
      </c>
      <c r="M470" s="269">
        <v>1392</v>
      </c>
      <c r="N470" s="695">
        <v>16536</v>
      </c>
      <c r="O470" s="695">
        <v>1523</v>
      </c>
      <c r="P470" s="695"/>
      <c r="Q470" s="298"/>
      <c r="R470" s="252"/>
      <c r="S470" s="297">
        <f>SUM(U470,W470,Y470,Z470,AA470,AE470)</f>
        <v>0</v>
      </c>
      <c r="T470" s="251">
        <f>SUM(V470,X470,AB470,AC470,AD470,AF470)</f>
        <v>0</v>
      </c>
      <c r="U470" s="269"/>
      <c r="V470" s="271"/>
      <c r="W470" s="269"/>
      <c r="X470" s="271"/>
      <c r="Y470" s="269"/>
      <c r="Z470" s="298"/>
      <c r="AA470" s="269"/>
      <c r="AB470" s="271"/>
      <c r="AC470" s="271"/>
      <c r="AD470" s="271"/>
      <c r="AE470" s="298"/>
      <c r="AF470" s="257"/>
    </row>
    <row r="471" spans="1:32" s="299" customFormat="1" ht="15" customHeight="1">
      <c r="A471" s="138" t="s">
        <v>131</v>
      </c>
      <c r="B471" s="391" t="s">
        <v>693</v>
      </c>
      <c r="C471" s="30">
        <v>409315</v>
      </c>
      <c r="D471" s="229">
        <v>8</v>
      </c>
      <c r="E471" s="297">
        <f>SUM(G471,I471,K471,L471,M471,Q471)</f>
        <v>310137</v>
      </c>
      <c r="F471" s="251">
        <f>SUM(H471,J471,N471,O471,P471,R471)</f>
        <v>327891</v>
      </c>
      <c r="G471" s="269">
        <v>295623</v>
      </c>
      <c r="H471" s="695">
        <v>305331</v>
      </c>
      <c r="I471" s="269"/>
      <c r="J471" s="695" t="s">
        <v>14</v>
      </c>
      <c r="K471" s="269">
        <v>13457</v>
      </c>
      <c r="L471" s="298">
        <v>613</v>
      </c>
      <c r="M471" s="269">
        <v>444</v>
      </c>
      <c r="N471" s="695">
        <v>21512</v>
      </c>
      <c r="O471" s="695">
        <v>253</v>
      </c>
      <c r="P471" s="695">
        <v>795</v>
      </c>
      <c r="Q471" s="298"/>
      <c r="R471" s="252"/>
      <c r="S471" s="297">
        <f>SUM(U471,W471,Y471,Z471,AA471,AE471)</f>
        <v>0</v>
      </c>
      <c r="T471" s="251">
        <f>SUM(V471,X471,AB471,AC471,AD471,AF471)</f>
        <v>0</v>
      </c>
      <c r="U471" s="269"/>
      <c r="V471" s="271"/>
      <c r="W471" s="269"/>
      <c r="X471" s="271"/>
      <c r="Y471" s="269"/>
      <c r="Z471" s="298"/>
      <c r="AA471" s="269"/>
      <c r="AB471" s="271"/>
      <c r="AC471" s="271"/>
      <c r="AD471" s="271"/>
      <c r="AE471" s="298"/>
      <c r="AF471" s="257"/>
    </row>
    <row r="472" spans="1:32" s="299" customFormat="1" ht="15" customHeight="1">
      <c r="A472" s="138" t="s">
        <v>131</v>
      </c>
      <c r="B472" s="138" t="s">
        <v>224</v>
      </c>
      <c r="C472" s="30">
        <v>382911</v>
      </c>
      <c r="D472" s="229">
        <v>10</v>
      </c>
      <c r="E472" s="297">
        <f>SUM(G472,I472,K472,L472,M472,Q472)</f>
        <v>2736</v>
      </c>
      <c r="F472" s="251">
        <f>SUM(H472,J472,N472,O472,P472,R472)</f>
        <v>2657</v>
      </c>
      <c r="G472" s="269">
        <v>2736</v>
      </c>
      <c r="H472" s="695">
        <v>2657</v>
      </c>
      <c r="I472" s="269"/>
      <c r="J472" s="695"/>
      <c r="K472" s="269"/>
      <c r="L472" s="298"/>
      <c r="M472" s="269"/>
      <c r="N472" s="695"/>
      <c r="O472" s="695"/>
      <c r="P472" s="695"/>
      <c r="Q472" s="298"/>
      <c r="R472" s="252"/>
      <c r="S472" s="297">
        <f>SUM(U472,W472,Y472,Z472,AA472,AE472)</f>
        <v>0</v>
      </c>
      <c r="T472" s="251">
        <f>SUM(V472,X472,AB472,AC472,AD472,AF472)</f>
        <v>0</v>
      </c>
      <c r="U472" s="269"/>
      <c r="V472" s="271"/>
      <c r="W472" s="269"/>
      <c r="X472" s="271"/>
      <c r="Y472" s="269"/>
      <c r="Z472" s="298"/>
      <c r="AA472" s="269"/>
      <c r="AB472" s="271"/>
      <c r="AC472" s="271"/>
      <c r="AD472" s="271"/>
      <c r="AE472" s="298"/>
      <c r="AF472" s="257"/>
    </row>
    <row r="473" spans="1:32" s="299" customFormat="1" ht="15" customHeight="1">
      <c r="A473" s="138" t="s">
        <v>131</v>
      </c>
      <c r="B473" s="138" t="s">
        <v>205</v>
      </c>
      <c r="C473" s="30">
        <v>228316</v>
      </c>
      <c r="D473" s="229">
        <v>9</v>
      </c>
      <c r="E473" s="297">
        <f>SUM(G473,I473,K473,L473,M473,Q473)</f>
        <v>93468</v>
      </c>
      <c r="F473" s="251">
        <f>SUM(H473,J473,N473,O473,P473,R473)</f>
        <v>102400</v>
      </c>
      <c r="G473" s="269">
        <v>35600</v>
      </c>
      <c r="H473" s="695">
        <v>30780</v>
      </c>
      <c r="I473" s="269">
        <v>45572</v>
      </c>
      <c r="J473" s="695">
        <v>50722</v>
      </c>
      <c r="K473" s="269">
        <v>6353</v>
      </c>
      <c r="L473" s="298">
        <v>5638</v>
      </c>
      <c r="M473" s="269">
        <v>305</v>
      </c>
      <c r="N473" s="695">
        <v>7474</v>
      </c>
      <c r="O473" s="695">
        <v>7720</v>
      </c>
      <c r="P473" s="695">
        <v>5704</v>
      </c>
      <c r="Q473" s="298"/>
      <c r="R473" s="252"/>
      <c r="S473" s="297">
        <f>SUM(U473,W473,Y473,Z473,AA473,AE473)</f>
        <v>0</v>
      </c>
      <c r="T473" s="251">
        <f>SUM(V473,X473,AB473,AC473,AD473,AF473)</f>
        <v>0</v>
      </c>
      <c r="U473" s="269"/>
      <c r="V473" s="271"/>
      <c r="W473" s="269"/>
      <c r="X473" s="271"/>
      <c r="Y473" s="269"/>
      <c r="Z473" s="298"/>
      <c r="AA473" s="269"/>
      <c r="AB473" s="271"/>
      <c r="AC473" s="271"/>
      <c r="AD473" s="271"/>
      <c r="AE473" s="298"/>
      <c r="AF473" s="257"/>
    </row>
    <row r="474" spans="1:32" s="299" customFormat="1" ht="15" customHeight="1">
      <c r="A474" s="138" t="s">
        <v>131</v>
      </c>
      <c r="B474" s="138" t="s">
        <v>181</v>
      </c>
      <c r="C474" s="30">
        <v>227854</v>
      </c>
      <c r="D474" s="229">
        <v>8</v>
      </c>
      <c r="E474" s="297">
        <f>SUM(G474,I474,K474,L474,M474,Q474)</f>
        <v>212499</v>
      </c>
      <c r="F474" s="251">
        <f>SUM(H474,J474,N474,O474,P474,R474)</f>
        <v>220355</v>
      </c>
      <c r="G474" s="269">
        <v>197636</v>
      </c>
      <c r="H474" s="695">
        <v>201197</v>
      </c>
      <c r="I474" s="269">
        <v>3495</v>
      </c>
      <c r="J474" s="695">
        <v>2626</v>
      </c>
      <c r="K474" s="269">
        <v>8308</v>
      </c>
      <c r="L474" s="298"/>
      <c r="M474" s="269">
        <v>3060</v>
      </c>
      <c r="N474" s="695">
        <v>13537</v>
      </c>
      <c r="O474" s="695">
        <v>40</v>
      </c>
      <c r="P474" s="695">
        <v>2955</v>
      </c>
      <c r="Q474" s="298"/>
      <c r="R474" s="252"/>
      <c r="S474" s="297">
        <f>SUM(U474,W474,Y474,Z474,AA474,AE474)</f>
        <v>0</v>
      </c>
      <c r="T474" s="251">
        <f>SUM(V474,X474,AB474,AC474,AD474,AF474)</f>
        <v>0</v>
      </c>
      <c r="U474" s="269"/>
      <c r="V474" s="271"/>
      <c r="W474" s="269"/>
      <c r="X474" s="271"/>
      <c r="Y474" s="269"/>
      <c r="Z474" s="298"/>
      <c r="AA474" s="269"/>
      <c r="AB474" s="271"/>
      <c r="AC474" s="271"/>
      <c r="AD474" s="271"/>
      <c r="AE474" s="298"/>
      <c r="AF474" s="257"/>
    </row>
    <row r="475" spans="1:32" s="299" customFormat="1" ht="15" customHeight="1">
      <c r="A475" s="138" t="s">
        <v>131</v>
      </c>
      <c r="B475" s="138" t="s">
        <v>414</v>
      </c>
      <c r="C475" s="30">
        <v>228547</v>
      </c>
      <c r="D475" s="229">
        <v>8</v>
      </c>
      <c r="E475" s="297">
        <f>SUM(G475,I475,K475,L475,M475,Q475)</f>
        <v>654353</v>
      </c>
      <c r="F475" s="251">
        <f>SUM(H475,J475,N475,O475,P475,R475)</f>
        <v>680447</v>
      </c>
      <c r="G475" s="269">
        <v>596246</v>
      </c>
      <c r="H475" s="695">
        <v>618466</v>
      </c>
      <c r="I475" s="269"/>
      <c r="J475" s="695" t="s">
        <v>14</v>
      </c>
      <c r="K475" s="269">
        <v>30061</v>
      </c>
      <c r="L475" s="298"/>
      <c r="M475" s="269">
        <v>28046</v>
      </c>
      <c r="N475" s="695">
        <v>35843</v>
      </c>
      <c r="O475" s="695"/>
      <c r="P475" s="695">
        <v>26138</v>
      </c>
      <c r="Q475" s="298"/>
      <c r="R475" s="252"/>
      <c r="S475" s="297">
        <f>SUM(U475,W475,Y475,Z475,AA475,AE475)</f>
        <v>0</v>
      </c>
      <c r="T475" s="251">
        <f>SUM(V475,X475,AB475,AC475,AD475,AF475)</f>
        <v>0</v>
      </c>
      <c r="U475" s="269"/>
      <c r="V475" s="271"/>
      <c r="W475" s="269"/>
      <c r="X475" s="271"/>
      <c r="Y475" s="269"/>
      <c r="Z475" s="298"/>
      <c r="AA475" s="269"/>
      <c r="AB475" s="271"/>
      <c r="AC475" s="271"/>
      <c r="AD475" s="271"/>
      <c r="AE475" s="298"/>
      <c r="AF475" s="257"/>
    </row>
    <row r="476" spans="1:32" s="299" customFormat="1" ht="15" customHeight="1">
      <c r="A476" s="138" t="s">
        <v>131</v>
      </c>
      <c r="B476" s="138" t="s">
        <v>206</v>
      </c>
      <c r="C476" s="30">
        <v>228608</v>
      </c>
      <c r="D476" s="229">
        <v>9</v>
      </c>
      <c r="E476" s="297">
        <f>SUM(G476,I476,K476,L476,M476,Q476)</f>
        <v>76240</v>
      </c>
      <c r="F476" s="251">
        <f>SUM(H476,J476,N476,O476,P476,R476)</f>
        <v>77061</v>
      </c>
      <c r="G476" s="269">
        <v>60375</v>
      </c>
      <c r="H476" s="695">
        <v>56102</v>
      </c>
      <c r="I476" s="269">
        <v>10699</v>
      </c>
      <c r="J476" s="695">
        <v>15471</v>
      </c>
      <c r="K476" s="269">
        <v>3555</v>
      </c>
      <c r="L476" s="298">
        <v>330</v>
      </c>
      <c r="M476" s="269">
        <v>1281</v>
      </c>
      <c r="N476" s="695">
        <v>4687</v>
      </c>
      <c r="O476" s="695">
        <v>168</v>
      </c>
      <c r="P476" s="695">
        <v>633</v>
      </c>
      <c r="Q476" s="298"/>
      <c r="R476" s="252"/>
      <c r="S476" s="297">
        <f>SUM(U476,W476,Y476,Z476,AA476,AE476)</f>
        <v>0</v>
      </c>
      <c r="T476" s="251">
        <f>SUM(V476,X476,AB476,AC476,AD476,AF476)</f>
        <v>0</v>
      </c>
      <c r="U476" s="269"/>
      <c r="V476" s="271"/>
      <c r="W476" s="269"/>
      <c r="X476" s="271"/>
      <c r="Y476" s="269"/>
      <c r="Z476" s="298"/>
      <c r="AA476" s="269"/>
      <c r="AB476" s="271"/>
      <c r="AC476" s="271"/>
      <c r="AD476" s="271"/>
      <c r="AE476" s="298"/>
      <c r="AF476" s="257"/>
    </row>
    <row r="477" spans="1:32" s="299" customFormat="1" ht="15" customHeight="1">
      <c r="A477" s="138" t="s">
        <v>131</v>
      </c>
      <c r="B477" s="138" t="s">
        <v>207</v>
      </c>
      <c r="C477" s="30">
        <v>228699</v>
      </c>
      <c r="D477" s="229">
        <v>9</v>
      </c>
      <c r="E477" s="297">
        <f>SUM(G477,I477,K477,L477,M477,Q477)</f>
        <v>84691</v>
      </c>
      <c r="F477" s="251">
        <f>SUM(H477,J477,N477,O477,P477,R477)</f>
        <v>85234</v>
      </c>
      <c r="G477" s="269">
        <v>77493</v>
      </c>
      <c r="H477" s="695">
        <v>78588</v>
      </c>
      <c r="I477" s="269">
        <v>5291</v>
      </c>
      <c r="J477" s="695">
        <v>5114</v>
      </c>
      <c r="K477" s="269">
        <v>1907</v>
      </c>
      <c r="L477" s="298"/>
      <c r="M477" s="269"/>
      <c r="N477" s="695">
        <v>1532</v>
      </c>
      <c r="O477" s="695"/>
      <c r="P477" s="695"/>
      <c r="Q477" s="298"/>
      <c r="R477" s="252"/>
      <c r="S477" s="297">
        <f>SUM(U477,W477,Y477,Z477,AA477,AE477)</f>
        <v>0</v>
      </c>
      <c r="T477" s="251">
        <f>SUM(V477,X477,AB477,AC477,AD477,AF477)</f>
        <v>0</v>
      </c>
      <c r="U477" s="269"/>
      <c r="V477" s="271"/>
      <c r="W477" s="269"/>
      <c r="X477" s="271"/>
      <c r="Y477" s="269"/>
      <c r="Z477" s="298"/>
      <c r="AA477" s="269"/>
      <c r="AB477" s="271"/>
      <c r="AC477" s="271"/>
      <c r="AD477" s="271"/>
      <c r="AE477" s="298"/>
      <c r="AF477" s="257"/>
    </row>
    <row r="478" spans="1:32" s="299" customFormat="1" ht="15" customHeight="1">
      <c r="A478" s="138" t="s">
        <v>131</v>
      </c>
      <c r="B478" s="138" t="s">
        <v>182</v>
      </c>
      <c r="C478" s="30">
        <v>229072</v>
      </c>
      <c r="D478" s="229">
        <v>8</v>
      </c>
      <c r="E478" s="297">
        <f>SUM(G478,I478,K478,L478,M478,Q478)</f>
        <v>171995</v>
      </c>
      <c r="F478" s="251">
        <f>SUM(H478,J478,N478,O478,P478,R478)</f>
        <v>188617</v>
      </c>
      <c r="G478" s="269">
        <v>169329</v>
      </c>
      <c r="H478" s="695">
        <v>184258</v>
      </c>
      <c r="I478" s="269">
        <v>1645</v>
      </c>
      <c r="J478" s="695">
        <v>2272</v>
      </c>
      <c r="K478" s="269">
        <v>706</v>
      </c>
      <c r="L478" s="298"/>
      <c r="M478" s="269">
        <v>315</v>
      </c>
      <c r="N478" s="695">
        <v>2087</v>
      </c>
      <c r="O478" s="695"/>
      <c r="P478" s="695"/>
      <c r="Q478" s="298"/>
      <c r="R478" s="252"/>
      <c r="S478" s="297">
        <f>SUM(U478,W478,Y478,Z478,AA478,AE478)</f>
        <v>0</v>
      </c>
      <c r="T478" s="251">
        <f>SUM(V478,X478,AB478,AC478,AD478,AF478)</f>
        <v>0</v>
      </c>
      <c r="U478" s="269"/>
      <c r="V478" s="271"/>
      <c r="W478" s="269"/>
      <c r="X478" s="271"/>
      <c r="Y478" s="269"/>
      <c r="Z478" s="298"/>
      <c r="AA478" s="269"/>
      <c r="AB478" s="271"/>
      <c r="AC478" s="271"/>
      <c r="AD478" s="271"/>
      <c r="AE478" s="298"/>
      <c r="AF478" s="257"/>
    </row>
    <row r="479" spans="1:32" s="299" customFormat="1" ht="15" customHeight="1">
      <c r="A479" s="138" t="s">
        <v>131</v>
      </c>
      <c r="B479" s="138" t="s">
        <v>208</v>
      </c>
      <c r="C479" s="30">
        <v>229319</v>
      </c>
      <c r="D479" s="229">
        <v>9</v>
      </c>
      <c r="E479" s="297">
        <f>SUM(G479,I479,K479,L479,M479,Q479)</f>
        <v>101232</v>
      </c>
      <c r="F479" s="251">
        <f>SUM(H479,J479,N479,O479,P479,R479)</f>
        <v>108940</v>
      </c>
      <c r="G479" s="269">
        <v>96767</v>
      </c>
      <c r="H479" s="695">
        <v>99745</v>
      </c>
      <c r="I479" s="269">
        <v>1987</v>
      </c>
      <c r="J479" s="695">
        <v>3796</v>
      </c>
      <c r="K479" s="269">
        <v>1113</v>
      </c>
      <c r="L479" s="298">
        <v>1365</v>
      </c>
      <c r="M479" s="269"/>
      <c r="N479" s="695">
        <v>3182</v>
      </c>
      <c r="O479" s="695">
        <v>2217</v>
      </c>
      <c r="P479" s="695"/>
      <c r="Q479" s="298"/>
      <c r="R479" s="252"/>
      <c r="S479" s="297">
        <f>SUM(U479,W479,Y479,Z479,AA479,AE479)</f>
        <v>0</v>
      </c>
      <c r="T479" s="251">
        <f>SUM(V479,X479,AB479,AC479,AD479,AF479)</f>
        <v>0</v>
      </c>
      <c r="U479" s="269"/>
      <c r="V479" s="271"/>
      <c r="W479" s="269"/>
      <c r="X479" s="271"/>
      <c r="Y479" s="269"/>
      <c r="Z479" s="298"/>
      <c r="AA479" s="269"/>
      <c r="AB479" s="271"/>
      <c r="AC479" s="271"/>
      <c r="AD479" s="271"/>
      <c r="AE479" s="298"/>
      <c r="AF479" s="257"/>
    </row>
    <row r="480" spans="1:32" s="299" customFormat="1" ht="15" customHeight="1">
      <c r="A480" s="138" t="s">
        <v>131</v>
      </c>
      <c r="B480" s="138" t="s">
        <v>225</v>
      </c>
      <c r="C480" s="124"/>
      <c r="D480" s="229">
        <v>10</v>
      </c>
      <c r="E480" s="297">
        <f>SUM(G480,I480,K480,L480,M480,Q480)</f>
        <v>17652</v>
      </c>
      <c r="F480" s="251">
        <f>SUM(H480,J480,N480,O480,P480,R480)</f>
        <v>14544</v>
      </c>
      <c r="G480" s="269">
        <v>16847</v>
      </c>
      <c r="H480" s="695">
        <f>3861+6526</f>
        <v>10387</v>
      </c>
      <c r="I480" s="269">
        <v>125</v>
      </c>
      <c r="J480" s="695">
        <v>158</v>
      </c>
      <c r="K480" s="269">
        <v>641</v>
      </c>
      <c r="L480" s="298"/>
      <c r="M480" s="269">
        <v>39</v>
      </c>
      <c r="N480" s="695">
        <f>1433+2463</f>
        <v>3896</v>
      </c>
      <c r="O480" s="695">
        <v>103</v>
      </c>
      <c r="P480" s="695"/>
      <c r="Q480" s="298"/>
      <c r="R480" s="252"/>
      <c r="S480" s="297">
        <f>SUM(U480,W480,Y480,Z480,AA480,AE480)</f>
        <v>0</v>
      </c>
      <c r="T480" s="251">
        <f>SUM(V480,X480,AB480,AC480,AD480,AF480)</f>
        <v>0</v>
      </c>
      <c r="U480" s="269"/>
      <c r="V480" s="271"/>
      <c r="W480" s="269"/>
      <c r="X480" s="271"/>
      <c r="Y480" s="269"/>
      <c r="Z480" s="298"/>
      <c r="AA480" s="269"/>
      <c r="AB480" s="271"/>
      <c r="AC480" s="271"/>
      <c r="AD480" s="271"/>
      <c r="AE480" s="298"/>
      <c r="AF480" s="257"/>
    </row>
    <row r="481" spans="1:32" s="299" customFormat="1" ht="15" customHeight="1">
      <c r="A481" s="138" t="s">
        <v>131</v>
      </c>
      <c r="B481" s="138" t="s">
        <v>209</v>
      </c>
      <c r="C481" s="30">
        <v>228680</v>
      </c>
      <c r="D481" s="229">
        <v>9</v>
      </c>
      <c r="E481" s="297">
        <f>SUM(G481,I481,K481,L481,M481,Q481)</f>
        <v>130253</v>
      </c>
      <c r="F481" s="251">
        <f>SUM(H481,J481,N481,O481,P481,R481)</f>
        <v>133516</v>
      </c>
      <c r="G481" s="269">
        <v>119787</v>
      </c>
      <c r="H481" s="695">
        <v>121163</v>
      </c>
      <c r="I481" s="269">
        <v>4494</v>
      </c>
      <c r="J481" s="695">
        <v>6671</v>
      </c>
      <c r="K481" s="269">
        <v>5972</v>
      </c>
      <c r="L481" s="298"/>
      <c r="M481" s="269"/>
      <c r="N481" s="695">
        <v>5682</v>
      </c>
      <c r="O481" s="695"/>
      <c r="P481" s="695"/>
      <c r="Q481" s="298"/>
      <c r="R481" s="252"/>
      <c r="S481" s="297">
        <f>SUM(U481,W481,Y481,Z481,AA481,AE481)</f>
        <v>0</v>
      </c>
      <c r="T481" s="251">
        <f>SUM(V481,X481,AB481,AC481,AD481,AF481)</f>
        <v>0</v>
      </c>
      <c r="U481" s="269"/>
      <c r="V481" s="271"/>
      <c r="W481" s="269"/>
      <c r="X481" s="271"/>
      <c r="Y481" s="269"/>
      <c r="Z481" s="298"/>
      <c r="AA481" s="269"/>
      <c r="AB481" s="271"/>
      <c r="AC481" s="271"/>
      <c r="AD481" s="271"/>
      <c r="AE481" s="298"/>
      <c r="AF481" s="257"/>
    </row>
    <row r="482" spans="1:32" s="299" customFormat="1" ht="15" customHeight="1">
      <c r="A482" s="138" t="s">
        <v>131</v>
      </c>
      <c r="B482" s="391" t="s">
        <v>226</v>
      </c>
      <c r="C482" s="30">
        <v>229328</v>
      </c>
      <c r="D482" s="229">
        <v>10</v>
      </c>
      <c r="E482" s="297">
        <f>SUM(G482,I482,K482,L482,M482,Q482)</f>
        <v>50419</v>
      </c>
      <c r="F482" s="251">
        <f>SUM(H482,J482,N482,O482,P482,R482)</f>
        <v>47016</v>
      </c>
      <c r="G482" s="269">
        <v>22427</v>
      </c>
      <c r="H482" s="695">
        <v>18786</v>
      </c>
      <c r="I482" s="269">
        <v>24336</v>
      </c>
      <c r="J482" s="695">
        <v>19878</v>
      </c>
      <c r="K482" s="269">
        <v>199</v>
      </c>
      <c r="L482" s="298">
        <v>3457</v>
      </c>
      <c r="M482" s="269"/>
      <c r="N482" s="695">
        <v>3962</v>
      </c>
      <c r="O482" s="695">
        <v>4387</v>
      </c>
      <c r="P482" s="695">
        <v>3</v>
      </c>
      <c r="Q482" s="298"/>
      <c r="R482" s="252"/>
      <c r="S482" s="297">
        <f>SUM(U482,W482,Y482,Z482,AA482,AE482)</f>
        <v>0</v>
      </c>
      <c r="T482" s="251">
        <f>SUM(V482,X482,AB482,AC482,AD482,AF482)</f>
        <v>0</v>
      </c>
      <c r="U482" s="269"/>
      <c r="V482" s="271"/>
      <c r="W482" s="269"/>
      <c r="X482" s="271"/>
      <c r="Y482" s="269"/>
      <c r="Z482" s="298"/>
      <c r="AA482" s="269"/>
      <c r="AB482" s="271"/>
      <c r="AC482" s="271"/>
      <c r="AD482" s="271"/>
      <c r="AE482" s="298"/>
      <c r="AF482" s="257"/>
    </row>
    <row r="483" spans="1:32" s="299" customFormat="1" ht="15" customHeight="1">
      <c r="A483" s="138" t="s">
        <v>131</v>
      </c>
      <c r="B483" s="138" t="s">
        <v>210</v>
      </c>
      <c r="C483" s="30">
        <v>225308</v>
      </c>
      <c r="D483" s="229">
        <v>9</v>
      </c>
      <c r="E483" s="297">
        <f>SUM(G483,I483,K483,L483,M483,Q483)</f>
        <v>131393</v>
      </c>
      <c r="F483" s="251">
        <f>SUM(H483,J483,N483,O483,P483,R483)</f>
        <v>138655</v>
      </c>
      <c r="G483" s="269">
        <v>77492</v>
      </c>
      <c r="H483" s="695">
        <v>80266</v>
      </c>
      <c r="I483" s="269">
        <v>44688</v>
      </c>
      <c r="J483" s="695">
        <v>44628</v>
      </c>
      <c r="K483" s="269">
        <v>5048</v>
      </c>
      <c r="L483" s="298">
        <v>751</v>
      </c>
      <c r="M483" s="269">
        <v>3414</v>
      </c>
      <c r="N483" s="695">
        <v>9489</v>
      </c>
      <c r="O483" s="695">
        <v>2682</v>
      </c>
      <c r="P483" s="695">
        <v>1590</v>
      </c>
      <c r="Q483" s="298"/>
      <c r="R483" s="252"/>
      <c r="S483" s="297">
        <f>SUM(U483,W483,Y483,Z483,AA483,AE483)</f>
        <v>0</v>
      </c>
      <c r="T483" s="251">
        <f>SUM(V483,X483,AB483,AC483,AD483,AF483)</f>
        <v>0</v>
      </c>
      <c r="U483" s="269"/>
      <c r="V483" s="271"/>
      <c r="W483" s="269"/>
      <c r="X483" s="271"/>
      <c r="Y483" s="269"/>
      <c r="Z483" s="298"/>
      <c r="AA483" s="269"/>
      <c r="AB483" s="271"/>
      <c r="AC483" s="271"/>
      <c r="AD483" s="271"/>
      <c r="AE483" s="298"/>
      <c r="AF483" s="257"/>
    </row>
    <row r="484" spans="1:32" s="299" customFormat="1" ht="15" customHeight="1">
      <c r="A484" s="138" t="s">
        <v>131</v>
      </c>
      <c r="B484" s="138" t="s">
        <v>183</v>
      </c>
      <c r="C484" s="30">
        <v>229355</v>
      </c>
      <c r="D484" s="229">
        <v>8</v>
      </c>
      <c r="E484" s="297">
        <f>SUM(G484,I484,K484,L484,M484,Q484)</f>
        <v>215186</v>
      </c>
      <c r="F484" s="251">
        <f>SUM(H484,J484,N484,O484,P484,R484)</f>
        <v>209978</v>
      </c>
      <c r="G484" s="269">
        <v>184336</v>
      </c>
      <c r="H484" s="695">
        <v>167782</v>
      </c>
      <c r="I484" s="269">
        <v>3056</v>
      </c>
      <c r="J484" s="695">
        <v>5581</v>
      </c>
      <c r="K484" s="269">
        <v>23847</v>
      </c>
      <c r="L484" s="298"/>
      <c r="M484" s="269">
        <v>3947</v>
      </c>
      <c r="N484" s="695">
        <v>33291</v>
      </c>
      <c r="O484" s="695"/>
      <c r="P484" s="695">
        <v>3324</v>
      </c>
      <c r="Q484" s="298"/>
      <c r="R484" s="252"/>
      <c r="S484" s="297">
        <f>SUM(U484,W484,Y484,Z484,AA484,AE484)</f>
        <v>0</v>
      </c>
      <c r="T484" s="251">
        <f>SUM(V484,X484,AB484,AC484,AD484,AF484)</f>
        <v>0</v>
      </c>
      <c r="U484" s="269"/>
      <c r="V484" s="271"/>
      <c r="W484" s="269"/>
      <c r="X484" s="271"/>
      <c r="Y484" s="269"/>
      <c r="Z484" s="298"/>
      <c r="AA484" s="269"/>
      <c r="AB484" s="271"/>
      <c r="AC484" s="271"/>
      <c r="AD484" s="271"/>
      <c r="AE484" s="298"/>
      <c r="AF484" s="257"/>
    </row>
    <row r="485" spans="1:32" s="299" customFormat="1" ht="15" customHeight="1">
      <c r="A485" s="138" t="s">
        <v>131</v>
      </c>
      <c r="B485" s="391" t="s">
        <v>227</v>
      </c>
      <c r="C485" s="30">
        <v>229504</v>
      </c>
      <c r="D485" s="242">
        <v>9</v>
      </c>
      <c r="E485" s="297">
        <f>SUM(G485,I485,K485,L485,M485,Q485)</f>
        <v>60033</v>
      </c>
      <c r="F485" s="251">
        <f>SUM(H485,J485,N485,O485,P485,R485)</f>
        <v>58020</v>
      </c>
      <c r="G485" s="269">
        <v>13979</v>
      </c>
      <c r="H485" s="695">
        <v>11652</v>
      </c>
      <c r="I485" s="269">
        <v>30919</v>
      </c>
      <c r="J485" s="695">
        <v>27740</v>
      </c>
      <c r="K485" s="269">
        <v>9861</v>
      </c>
      <c r="L485" s="298">
        <v>5274</v>
      </c>
      <c r="M485" s="269"/>
      <c r="N485" s="695">
        <v>12773</v>
      </c>
      <c r="O485" s="695">
        <v>5851</v>
      </c>
      <c r="P485" s="695">
        <v>4</v>
      </c>
      <c r="Q485" s="298"/>
      <c r="R485" s="252"/>
      <c r="S485" s="297">
        <f>SUM(U485,W485,Y485,Z485,AA485,AE485)</f>
        <v>0</v>
      </c>
      <c r="T485" s="251">
        <f>SUM(V485,X485,AB485,AC485,AD485,AF485)</f>
        <v>0</v>
      </c>
      <c r="U485" s="269"/>
      <c r="V485" s="271"/>
      <c r="W485" s="269"/>
      <c r="X485" s="271"/>
      <c r="Y485" s="269"/>
      <c r="Z485" s="298"/>
      <c r="AA485" s="269"/>
      <c r="AB485" s="271"/>
      <c r="AC485" s="271"/>
      <c r="AD485" s="271"/>
      <c r="AE485" s="298"/>
      <c r="AF485" s="257"/>
    </row>
    <row r="486" spans="1:32" s="299" customFormat="1" ht="15" customHeight="1">
      <c r="A486" s="138" t="s">
        <v>131</v>
      </c>
      <c r="B486" s="138" t="s">
        <v>211</v>
      </c>
      <c r="C486" s="30">
        <v>229540</v>
      </c>
      <c r="D486" s="229">
        <v>9</v>
      </c>
      <c r="E486" s="297">
        <f>SUM(G486,I486,K486,L486,M486,Q486)</f>
        <v>79538</v>
      </c>
      <c r="F486" s="251">
        <f>SUM(H486,J486,N486,O486,P486,R486)</f>
        <v>78608</v>
      </c>
      <c r="G486" s="269">
        <v>63921</v>
      </c>
      <c r="H486" s="695">
        <v>57116</v>
      </c>
      <c r="I486" s="269">
        <v>3240</v>
      </c>
      <c r="J486" s="695">
        <v>3973</v>
      </c>
      <c r="K486" s="269">
        <v>9296</v>
      </c>
      <c r="L486" s="298">
        <v>3035</v>
      </c>
      <c r="M486" s="269">
        <v>46</v>
      </c>
      <c r="N486" s="695">
        <v>14998</v>
      </c>
      <c r="O486" s="695">
        <v>2494</v>
      </c>
      <c r="P486" s="695">
        <v>27</v>
      </c>
      <c r="Q486" s="298"/>
      <c r="R486" s="252"/>
      <c r="S486" s="297">
        <f>SUM(U486,W486,Y486,Z486,AA486,AE486)</f>
        <v>0</v>
      </c>
      <c r="T486" s="251">
        <f>SUM(V486,X486,AB486,AC486,AD486,AF486)</f>
        <v>0</v>
      </c>
      <c r="U486" s="269"/>
      <c r="V486" s="271"/>
      <c r="W486" s="269"/>
      <c r="X486" s="271"/>
      <c r="Y486" s="269"/>
      <c r="Z486" s="298"/>
      <c r="AA486" s="269"/>
      <c r="AB486" s="271"/>
      <c r="AC486" s="271"/>
      <c r="AD486" s="271"/>
      <c r="AE486" s="298"/>
      <c r="AF486" s="257"/>
    </row>
    <row r="487" spans="1:32" s="299" customFormat="1" ht="15" customHeight="1">
      <c r="A487" s="138" t="s">
        <v>131</v>
      </c>
      <c r="B487" s="138" t="s">
        <v>212</v>
      </c>
      <c r="C487" s="30">
        <v>229799</v>
      </c>
      <c r="D487" s="229">
        <v>9</v>
      </c>
      <c r="E487" s="297">
        <f>SUM(G487,I487,K487,L487,M487,Q487)</f>
        <v>82227</v>
      </c>
      <c r="F487" s="251">
        <f>SUM(H487,J487,N487,O487,P487,R487)</f>
        <v>94791</v>
      </c>
      <c r="G487" s="269">
        <v>66001</v>
      </c>
      <c r="H487" s="695">
        <v>72363</v>
      </c>
      <c r="I487" s="269">
        <v>6432</v>
      </c>
      <c r="J487" s="695">
        <v>8410</v>
      </c>
      <c r="K487" s="269">
        <v>8579</v>
      </c>
      <c r="L487" s="298">
        <v>1185</v>
      </c>
      <c r="M487" s="269">
        <v>30</v>
      </c>
      <c r="N487" s="695">
        <v>12206</v>
      </c>
      <c r="O487" s="695">
        <v>1665</v>
      </c>
      <c r="P487" s="695">
        <v>147</v>
      </c>
      <c r="Q487" s="298"/>
      <c r="R487" s="252"/>
      <c r="S487" s="297">
        <f>SUM(U487,W487,Y487,Z487,AA487,AE487)</f>
        <v>0</v>
      </c>
      <c r="T487" s="251">
        <f>SUM(V487,X487,AB487,AC487,AD487,AF487)</f>
        <v>0</v>
      </c>
      <c r="U487" s="269"/>
      <c r="V487" s="271"/>
      <c r="W487" s="269"/>
      <c r="X487" s="271"/>
      <c r="Y487" s="269"/>
      <c r="Z487" s="298"/>
      <c r="AA487" s="269"/>
      <c r="AB487" s="271"/>
      <c r="AC487" s="271"/>
      <c r="AD487" s="271"/>
      <c r="AE487" s="298"/>
      <c r="AF487" s="257"/>
    </row>
    <row r="488" spans="1:32" s="299" customFormat="1" ht="15" customHeight="1">
      <c r="A488" s="138" t="s">
        <v>131</v>
      </c>
      <c r="B488" s="138" t="s">
        <v>228</v>
      </c>
      <c r="C488" s="30">
        <v>229832</v>
      </c>
      <c r="D488" s="229">
        <v>10</v>
      </c>
      <c r="E488" s="297">
        <f>SUM(G488,I488,K488,L488,M488,Q488)</f>
        <v>31110</v>
      </c>
      <c r="F488" s="251">
        <f>SUM(H488,J488,N488,O488,P488,R488)</f>
        <v>34603</v>
      </c>
      <c r="G488" s="269">
        <v>16537</v>
      </c>
      <c r="H488" s="696">
        <v>15892</v>
      </c>
      <c r="I488" s="269">
        <v>9308</v>
      </c>
      <c r="J488" s="696">
        <v>9223</v>
      </c>
      <c r="K488" s="269"/>
      <c r="L488" s="298">
        <v>5265</v>
      </c>
      <c r="M488" s="269"/>
      <c r="N488" s="696">
        <v>2574</v>
      </c>
      <c r="O488" s="697">
        <v>6460</v>
      </c>
      <c r="P488" s="696">
        <v>454</v>
      </c>
      <c r="Q488" s="298"/>
      <c r="R488" s="252"/>
      <c r="S488" s="297">
        <f>SUM(U488,W488,Y488,Z488,AA488,AE488)</f>
        <v>0</v>
      </c>
      <c r="T488" s="251">
        <f>SUM(V488,X488,AB488,AC488,AD488,AF488)</f>
        <v>0</v>
      </c>
      <c r="U488" s="269"/>
      <c r="V488" s="271"/>
      <c r="W488" s="269"/>
      <c r="X488" s="271"/>
      <c r="Y488" s="269"/>
      <c r="Z488" s="298"/>
      <c r="AA488" s="269"/>
      <c r="AB488" s="271"/>
      <c r="AC488" s="271"/>
      <c r="AD488" s="271"/>
      <c r="AE488" s="298"/>
      <c r="AF488" s="257"/>
    </row>
    <row r="489" spans="1:32" s="299" customFormat="1" ht="15" customHeight="1">
      <c r="A489" s="138" t="s">
        <v>131</v>
      </c>
      <c r="B489" s="138" t="s">
        <v>213</v>
      </c>
      <c r="C489" s="30">
        <v>229841</v>
      </c>
      <c r="D489" s="229">
        <v>9</v>
      </c>
      <c r="E489" s="297">
        <f>SUM(G489,I489,K489,L489,M489,Q489)</f>
        <v>125105</v>
      </c>
      <c r="F489" s="251">
        <f>SUM(H489,J489,N489,O489,P489,R489)</f>
        <v>124710</v>
      </c>
      <c r="G489" s="269">
        <v>44569</v>
      </c>
      <c r="H489" s="695">
        <v>43923</v>
      </c>
      <c r="I489" s="269">
        <v>75140</v>
      </c>
      <c r="J489" s="695">
        <v>71402</v>
      </c>
      <c r="K489" s="269">
        <v>3487</v>
      </c>
      <c r="L489" s="298">
        <v>1161</v>
      </c>
      <c r="M489" s="269">
        <v>748</v>
      </c>
      <c r="N489" s="695">
        <v>7192</v>
      </c>
      <c r="O489" s="695">
        <v>1740</v>
      </c>
      <c r="P489" s="695">
        <v>453</v>
      </c>
      <c r="Q489" s="298"/>
      <c r="R489" s="252"/>
      <c r="S489" s="297">
        <f>SUM(U489,W489,Y489,Z489,AA489,AE489)</f>
        <v>0</v>
      </c>
      <c r="T489" s="251">
        <f>SUM(V489,X489,AB489,AC489,AD489,AF489)</f>
        <v>0</v>
      </c>
      <c r="U489" s="269"/>
      <c r="V489" s="271"/>
      <c r="W489" s="269"/>
      <c r="X489" s="271"/>
      <c r="Y489" s="269"/>
      <c r="Z489" s="298"/>
      <c r="AA489" s="269"/>
      <c r="AB489" s="271"/>
      <c r="AC489" s="271"/>
      <c r="AD489" s="271"/>
      <c r="AE489" s="298"/>
      <c r="AF489" s="257"/>
    </row>
    <row r="490" spans="1:32" s="299" customFormat="1" ht="15" customHeight="1">
      <c r="A490" s="141" t="s">
        <v>18</v>
      </c>
      <c r="B490" s="141" t="s">
        <v>19</v>
      </c>
      <c r="C490" s="125">
        <v>238032</v>
      </c>
      <c r="D490" s="273">
        <v>1</v>
      </c>
      <c r="E490" s="278">
        <f aca="true" t="shared" si="36" ref="E480:E510">SUM(G490,I490,K490,L490,M490,Q490)</f>
        <v>271601</v>
      </c>
      <c r="F490" s="267">
        <f>SUM(H490,J490,N490,O490,P490,R490)</f>
        <v>570971</v>
      </c>
      <c r="G490" s="298">
        <v>266272</v>
      </c>
      <c r="H490" s="282">
        <v>551441</v>
      </c>
      <c r="I490" s="298">
        <v>173</v>
      </c>
      <c r="J490" s="282">
        <v>1089</v>
      </c>
      <c r="K490" s="298">
        <v>4912</v>
      </c>
      <c r="L490" s="298">
        <v>0</v>
      </c>
      <c r="M490" s="262">
        <v>244</v>
      </c>
      <c r="N490" s="285">
        <v>17537</v>
      </c>
      <c r="O490" s="285">
        <v>48</v>
      </c>
      <c r="P490" s="285">
        <v>854</v>
      </c>
      <c r="Q490" s="298">
        <v>0</v>
      </c>
      <c r="R490" s="252">
        <v>2</v>
      </c>
      <c r="S490" s="297">
        <f>SUM(U490,W490,Y490,Z490,AA490,AE490)</f>
        <v>42430</v>
      </c>
      <c r="T490" s="267">
        <f>SUM(V490,X490,AB490,AC490,AD490,AF490)</f>
        <v>108377</v>
      </c>
      <c r="U490" s="298">
        <v>33656</v>
      </c>
      <c r="V490" s="252">
        <v>77497</v>
      </c>
      <c r="W490" s="298">
        <v>4352</v>
      </c>
      <c r="X490" s="252">
        <v>19282</v>
      </c>
      <c r="Y490" s="298">
        <v>2628</v>
      </c>
      <c r="Z490" s="298">
        <f>324+1455</f>
        <v>1779</v>
      </c>
      <c r="AA490" s="262">
        <v>11</v>
      </c>
      <c r="AB490" s="255">
        <v>6949</v>
      </c>
      <c r="AC490" s="255">
        <f>123+4058</f>
        <v>4181</v>
      </c>
      <c r="AD490" s="255">
        <v>468</v>
      </c>
      <c r="AE490" s="298">
        <v>4</v>
      </c>
      <c r="AF490" s="257"/>
    </row>
    <row r="491" spans="1:32" s="299" customFormat="1" ht="15" customHeight="1">
      <c r="A491" s="141" t="s">
        <v>18</v>
      </c>
      <c r="B491" s="141" t="s">
        <v>20</v>
      </c>
      <c r="C491" s="125">
        <v>237525</v>
      </c>
      <c r="D491" s="273">
        <v>3</v>
      </c>
      <c r="E491" s="278">
        <f t="shared" si="36"/>
        <v>131007</v>
      </c>
      <c r="F491" s="267">
        <f>SUM(H491,J491,N491,O491,P491,R491)</f>
        <v>267218</v>
      </c>
      <c r="G491" s="298">
        <v>120076</v>
      </c>
      <c r="H491" s="282">
        <v>236751</v>
      </c>
      <c r="I491" s="298">
        <v>5522</v>
      </c>
      <c r="J491" s="282">
        <v>11549</v>
      </c>
      <c r="K491" s="298">
        <v>5301</v>
      </c>
      <c r="L491" s="298">
        <f>69+39</f>
        <v>108</v>
      </c>
      <c r="M491" s="262">
        <v>0</v>
      </c>
      <c r="N491" s="285">
        <v>18285</v>
      </c>
      <c r="O491" s="285">
        <f>399+198</f>
        <v>597</v>
      </c>
      <c r="P491" s="285">
        <v>36</v>
      </c>
      <c r="Q491" s="298">
        <v>0</v>
      </c>
      <c r="R491" s="252"/>
      <c r="S491" s="297">
        <f>SUM(U491,W491,Y491,Z491,AA491,AE491)</f>
        <v>18075</v>
      </c>
      <c r="T491" s="267">
        <f>SUM(V491,X491,AB491,AC491,AD491,AF491)</f>
        <v>55148</v>
      </c>
      <c r="U491" s="298">
        <v>6308</v>
      </c>
      <c r="V491" s="252">
        <v>16961</v>
      </c>
      <c r="W491" s="298">
        <v>6746</v>
      </c>
      <c r="X491" s="252">
        <v>27402</v>
      </c>
      <c r="Y491" s="298">
        <v>4385</v>
      </c>
      <c r="Z491" s="298">
        <f>381+255</f>
        <v>636</v>
      </c>
      <c r="AA491" s="262">
        <v>0</v>
      </c>
      <c r="AB491" s="255">
        <v>9537</v>
      </c>
      <c r="AC491" s="255">
        <f>639+603</f>
        <v>1242</v>
      </c>
      <c r="AD491" s="255">
        <v>6</v>
      </c>
      <c r="AE491" s="298"/>
      <c r="AF491" s="257"/>
    </row>
    <row r="492" spans="1:32" s="299" customFormat="1" ht="15" customHeight="1">
      <c r="A492" s="141" t="s">
        <v>18</v>
      </c>
      <c r="B492" s="141" t="s">
        <v>21</v>
      </c>
      <c r="C492" s="125">
        <v>237215</v>
      </c>
      <c r="D492" s="273">
        <v>6</v>
      </c>
      <c r="E492" s="278">
        <f t="shared" si="36"/>
        <v>23452</v>
      </c>
      <c r="F492" s="267">
        <f>SUM(H492,J492,N492,O492,P492,R492)</f>
        <v>47442</v>
      </c>
      <c r="G492" s="298">
        <v>18280</v>
      </c>
      <c r="H492" s="282">
        <v>37221</v>
      </c>
      <c r="I492" s="298">
        <v>3046</v>
      </c>
      <c r="J492" s="282">
        <v>4898</v>
      </c>
      <c r="K492" s="298">
        <v>1153</v>
      </c>
      <c r="L492" s="298">
        <f>442+279</f>
        <v>721</v>
      </c>
      <c r="M492" s="262">
        <v>252</v>
      </c>
      <c r="N492" s="285">
        <v>3498</v>
      </c>
      <c r="O492" s="285">
        <f>743+557</f>
        <v>1300</v>
      </c>
      <c r="P492" s="285">
        <v>525</v>
      </c>
      <c r="Q492" s="298">
        <v>0</v>
      </c>
      <c r="R492" s="252"/>
      <c r="S492" s="297">
        <f>SUM(U492,W492,Y492,Z492,AA492,AE492)</f>
        <v>0</v>
      </c>
      <c r="T492" s="267">
        <f>SUM(V492,X492,AB492,AC492,AD492,AF492)</f>
        <v>0</v>
      </c>
      <c r="U492" s="298"/>
      <c r="V492" s="252"/>
      <c r="W492" s="298"/>
      <c r="X492" s="252"/>
      <c r="Y492" s="298"/>
      <c r="Z492" s="298"/>
      <c r="AA492" s="262"/>
      <c r="AB492" s="255"/>
      <c r="AC492" s="255"/>
      <c r="AD492" s="255"/>
      <c r="AE492" s="298"/>
      <c r="AF492" s="257"/>
    </row>
    <row r="493" spans="1:32" s="299" customFormat="1" ht="15" customHeight="1">
      <c r="A493" s="141" t="s">
        <v>18</v>
      </c>
      <c r="B493" s="141" t="s">
        <v>435</v>
      </c>
      <c r="C493" s="125">
        <v>237330</v>
      </c>
      <c r="D493" s="273">
        <v>6</v>
      </c>
      <c r="E493" s="278">
        <f t="shared" si="36"/>
        <v>40792</v>
      </c>
      <c r="F493" s="267">
        <f>SUM(H493,J493,N493,O493,P493,R493)</f>
        <v>82278</v>
      </c>
      <c r="G493" s="298">
        <v>36138</v>
      </c>
      <c r="H493" s="282">
        <v>72012</v>
      </c>
      <c r="I493" s="298">
        <v>4591</v>
      </c>
      <c r="J493" s="282">
        <v>9489</v>
      </c>
      <c r="K493" s="298">
        <v>0</v>
      </c>
      <c r="L493" s="298">
        <v>63</v>
      </c>
      <c r="M493" s="262">
        <v>0</v>
      </c>
      <c r="N493" s="285">
        <v>357</v>
      </c>
      <c r="O493" s="285">
        <f>135+285</f>
        <v>420</v>
      </c>
      <c r="P493" s="285"/>
      <c r="Q493" s="298">
        <v>0</v>
      </c>
      <c r="R493" s="252"/>
      <c r="S493" s="297">
        <f>SUM(U493,W493,Y493,Z493,AA493,AE493)</f>
        <v>453</v>
      </c>
      <c r="T493" s="267">
        <f>SUM(V493,X493,AB493,AC493,AD493,AF493)</f>
        <v>1077</v>
      </c>
      <c r="U493" s="298">
        <v>213</v>
      </c>
      <c r="V493" s="252">
        <v>300</v>
      </c>
      <c r="W493" s="298">
        <v>0</v>
      </c>
      <c r="X493" s="252"/>
      <c r="Y493" s="298">
        <v>240</v>
      </c>
      <c r="Z493" s="298">
        <v>0</v>
      </c>
      <c r="AA493" s="262">
        <v>0</v>
      </c>
      <c r="AB493" s="255">
        <v>777</v>
      </c>
      <c r="AC493" s="255"/>
      <c r="AD493" s="255"/>
      <c r="AE493" s="298"/>
      <c r="AF493" s="257"/>
    </row>
    <row r="494" spans="1:32" s="299" customFormat="1" ht="15" customHeight="1">
      <c r="A494" s="141" t="s">
        <v>18</v>
      </c>
      <c r="B494" s="141" t="s">
        <v>436</v>
      </c>
      <c r="C494" s="125">
        <v>237367</v>
      </c>
      <c r="D494" s="273">
        <v>6</v>
      </c>
      <c r="E494" s="278">
        <f t="shared" si="36"/>
        <v>55725</v>
      </c>
      <c r="F494" s="267">
        <f>SUM(H494,J494,N494,O494,P494,R494)</f>
        <v>123714</v>
      </c>
      <c r="G494" s="298">
        <v>46214</v>
      </c>
      <c r="H494" s="282">
        <v>99695</v>
      </c>
      <c r="I494" s="298">
        <v>7700</v>
      </c>
      <c r="J494" s="282">
        <v>17417</v>
      </c>
      <c r="K494" s="298">
        <v>1811</v>
      </c>
      <c r="L494" s="298">
        <v>0</v>
      </c>
      <c r="M494" s="262">
        <v>0</v>
      </c>
      <c r="N494" s="285">
        <v>6554</v>
      </c>
      <c r="O494" s="285"/>
      <c r="P494" s="285">
        <v>48</v>
      </c>
      <c r="Q494" s="298">
        <v>0</v>
      </c>
      <c r="R494" s="252"/>
      <c r="S494" s="297">
        <f>SUM(U494,W494,Y494,Z494,AA494,AE494)</f>
        <v>618</v>
      </c>
      <c r="T494" s="267">
        <f>SUM(V494,X494,AB494,AC494,AD494,AF494)</f>
        <v>1283</v>
      </c>
      <c r="U494" s="298">
        <v>51</v>
      </c>
      <c r="V494" s="252">
        <v>263</v>
      </c>
      <c r="W494" s="298">
        <v>0</v>
      </c>
      <c r="X494" s="252"/>
      <c r="Y494" s="298">
        <v>567</v>
      </c>
      <c r="Z494" s="298">
        <v>0</v>
      </c>
      <c r="AA494" s="262">
        <v>0</v>
      </c>
      <c r="AB494" s="255">
        <v>1020</v>
      </c>
      <c r="AC494" s="255"/>
      <c r="AD494" s="255"/>
      <c r="AE494" s="298"/>
      <c r="AF494" s="257"/>
    </row>
    <row r="495" spans="1:32" s="299" customFormat="1" ht="15" customHeight="1">
      <c r="A495" s="141" t="s">
        <v>18</v>
      </c>
      <c r="B495" s="141" t="s">
        <v>22</v>
      </c>
      <c r="C495" s="125">
        <v>237385</v>
      </c>
      <c r="D495" s="273">
        <v>6</v>
      </c>
      <c r="E495" s="278">
        <f t="shared" si="36"/>
        <v>18105</v>
      </c>
      <c r="F495" s="267">
        <f>SUM(H495,J495,N495,O495,P495,R495)</f>
        <v>37579</v>
      </c>
      <c r="G495" s="298">
        <v>17529</v>
      </c>
      <c r="H495" s="282">
        <v>33893</v>
      </c>
      <c r="I495" s="298">
        <v>159</v>
      </c>
      <c r="J495" s="282">
        <v>939</v>
      </c>
      <c r="K495" s="298">
        <v>417</v>
      </c>
      <c r="L495" s="298">
        <v>0</v>
      </c>
      <c r="M495" s="262">
        <v>0</v>
      </c>
      <c r="N495" s="285">
        <v>2747</v>
      </c>
      <c r="O495" s="285"/>
      <c r="P495" s="285"/>
      <c r="Q495" s="298">
        <v>0</v>
      </c>
      <c r="R495" s="252"/>
      <c r="S495" s="297">
        <f>SUM(U495,W495,Y495,Z495,AA495,AE495)</f>
        <v>0</v>
      </c>
      <c r="T495" s="267">
        <f>SUM(V495,X495,AB495,AC495,AD495,AF495)</f>
        <v>0</v>
      </c>
      <c r="U495" s="298"/>
      <c r="V495" s="252"/>
      <c r="W495" s="298"/>
      <c r="X495" s="252"/>
      <c r="Y495" s="298"/>
      <c r="Z495" s="298"/>
      <c r="AA495" s="262"/>
      <c r="AB495" s="255"/>
      <c r="AC495" s="255"/>
      <c r="AD495" s="255"/>
      <c r="AE495" s="298"/>
      <c r="AF495" s="257"/>
    </row>
    <row r="496" spans="1:32" s="299" customFormat="1" ht="15" customHeight="1">
      <c r="A496" s="141" t="s">
        <v>18</v>
      </c>
      <c r="B496" s="141" t="s">
        <v>437</v>
      </c>
      <c r="C496" s="126">
        <v>237792</v>
      </c>
      <c r="D496" s="273">
        <v>6</v>
      </c>
      <c r="E496" s="278">
        <f t="shared" si="36"/>
        <v>47425</v>
      </c>
      <c r="F496" s="267">
        <f>SUM(H496,J496,N496,O496,P496,R496)</f>
        <v>98381</v>
      </c>
      <c r="G496" s="298">
        <v>44824</v>
      </c>
      <c r="H496" s="282">
        <v>96107</v>
      </c>
      <c r="I496" s="298">
        <v>2264</v>
      </c>
      <c r="J496" s="282">
        <v>1531</v>
      </c>
      <c r="K496" s="298">
        <v>328</v>
      </c>
      <c r="L496" s="298">
        <f>3+6</f>
        <v>9</v>
      </c>
      <c r="M496" s="262">
        <v>0</v>
      </c>
      <c r="N496" s="285">
        <v>743</v>
      </c>
      <c r="O496" s="285"/>
      <c r="P496" s="285"/>
      <c r="Q496" s="298">
        <v>0</v>
      </c>
      <c r="R496" s="252"/>
      <c r="S496" s="297">
        <f>SUM(U496,W496,Y496,Z496,AA496,AE496)</f>
        <v>246</v>
      </c>
      <c r="T496" s="267">
        <f>SUM(V496,X496,AB496,AC496,AD496,AF496)</f>
        <v>1089</v>
      </c>
      <c r="U496" s="298">
        <v>246</v>
      </c>
      <c r="V496" s="252">
        <v>1089</v>
      </c>
      <c r="W496" s="298">
        <v>0</v>
      </c>
      <c r="X496" s="252"/>
      <c r="Y496" s="298">
        <v>0</v>
      </c>
      <c r="Z496" s="298">
        <v>0</v>
      </c>
      <c r="AA496" s="262">
        <v>0</v>
      </c>
      <c r="AB496" s="255"/>
      <c r="AC496" s="255"/>
      <c r="AD496" s="255"/>
      <c r="AE496" s="298"/>
      <c r="AF496" s="257"/>
    </row>
    <row r="497" spans="1:32" s="299" customFormat="1" ht="15" customHeight="1">
      <c r="A497" s="141" t="s">
        <v>18</v>
      </c>
      <c r="B497" s="141" t="s">
        <v>23</v>
      </c>
      <c r="C497" s="125">
        <v>237932</v>
      </c>
      <c r="D497" s="273">
        <v>6</v>
      </c>
      <c r="E497" s="278">
        <f t="shared" si="36"/>
        <v>35690</v>
      </c>
      <c r="F497" s="267">
        <f>SUM(H497,J497,N497,O497,P497,R497)</f>
        <v>67530</v>
      </c>
      <c r="G497" s="298">
        <v>34542</v>
      </c>
      <c r="H497" s="282">
        <v>64650</v>
      </c>
      <c r="I497" s="298">
        <v>911</v>
      </c>
      <c r="J497" s="282">
        <v>1760</v>
      </c>
      <c r="K497" s="298">
        <v>237</v>
      </c>
      <c r="L497" s="298">
        <v>0</v>
      </c>
      <c r="M497" s="262">
        <v>0</v>
      </c>
      <c r="N497" s="285">
        <v>1120</v>
      </c>
      <c r="O497" s="285"/>
      <c r="P497" s="285"/>
      <c r="Q497" s="298">
        <v>0</v>
      </c>
      <c r="R497" s="252"/>
      <c r="S497" s="297">
        <f>SUM(U497,W497,Y497,Z497,AA497,AE497)</f>
        <v>0</v>
      </c>
      <c r="T497" s="267">
        <f>SUM(V497,X497,AB497,AC497,AD497,AF497)</f>
        <v>162</v>
      </c>
      <c r="U497" s="298"/>
      <c r="V497" s="252">
        <v>135</v>
      </c>
      <c r="W497" s="298"/>
      <c r="X497" s="252">
        <v>27</v>
      </c>
      <c r="Y497" s="298"/>
      <c r="Z497" s="298"/>
      <c r="AA497" s="262"/>
      <c r="AB497" s="255"/>
      <c r="AC497" s="255"/>
      <c r="AD497" s="255"/>
      <c r="AE497" s="298"/>
      <c r="AF497" s="257"/>
    </row>
    <row r="498" spans="1:32" s="299" customFormat="1" ht="15" customHeight="1">
      <c r="A498" s="141" t="s">
        <v>18</v>
      </c>
      <c r="B498" s="141" t="s">
        <v>438</v>
      </c>
      <c r="C498" s="126">
        <v>237899</v>
      </c>
      <c r="D498" s="273">
        <v>6</v>
      </c>
      <c r="E498" s="278">
        <f t="shared" si="36"/>
        <v>39460</v>
      </c>
      <c r="F498" s="267">
        <f>SUM(H498,J498,N498,O498,P498,R498)</f>
        <v>80449</v>
      </c>
      <c r="G498" s="298">
        <v>38562</v>
      </c>
      <c r="H498" s="282">
        <v>77761</v>
      </c>
      <c r="I498" s="298">
        <v>898</v>
      </c>
      <c r="J498" s="282">
        <v>2688</v>
      </c>
      <c r="K498" s="298">
        <v>0</v>
      </c>
      <c r="L498" s="298">
        <v>0</v>
      </c>
      <c r="M498" s="262">
        <v>0</v>
      </c>
      <c r="N498" s="285"/>
      <c r="O498" s="285"/>
      <c r="P498" s="285"/>
      <c r="Q498" s="298">
        <v>0</v>
      </c>
      <c r="R498" s="252"/>
      <c r="S498" s="297">
        <f>SUM(U498,W498,Y498,Z498,AA498,AE498)</f>
        <v>222</v>
      </c>
      <c r="T498" s="267">
        <f>SUM(V498,X498,AB498,AC498,AD498,AF498)</f>
        <v>516</v>
      </c>
      <c r="U498" s="298">
        <v>222</v>
      </c>
      <c r="V498" s="252">
        <v>516</v>
      </c>
      <c r="W498" s="298">
        <v>0</v>
      </c>
      <c r="X498" s="252"/>
      <c r="Y498" s="298">
        <v>0</v>
      </c>
      <c r="Z498" s="298">
        <v>0</v>
      </c>
      <c r="AA498" s="262">
        <v>0</v>
      </c>
      <c r="AB498" s="255"/>
      <c r="AC498" s="255"/>
      <c r="AD498" s="255"/>
      <c r="AE498" s="298"/>
      <c r="AF498" s="257"/>
    </row>
    <row r="499" spans="1:32" s="299" customFormat="1" ht="15" customHeight="1">
      <c r="A499" s="141" t="s">
        <v>18</v>
      </c>
      <c r="B499" s="141" t="s">
        <v>415</v>
      </c>
      <c r="C499" s="125">
        <v>237950</v>
      </c>
      <c r="D499" s="273">
        <v>6</v>
      </c>
      <c r="E499" s="278">
        <f t="shared" si="36"/>
        <v>20214</v>
      </c>
      <c r="F499" s="267">
        <f>SUM(H499,J499,N499,O499,P499,R499)</f>
        <v>38909</v>
      </c>
      <c r="G499" s="298">
        <v>17917</v>
      </c>
      <c r="H499" s="282">
        <v>33870</v>
      </c>
      <c r="I499" s="298">
        <v>1532</v>
      </c>
      <c r="J499" s="282">
        <v>2820</v>
      </c>
      <c r="K499" s="298">
        <v>759</v>
      </c>
      <c r="L499" s="298">
        <v>6</v>
      </c>
      <c r="M499" s="262">
        <v>0</v>
      </c>
      <c r="N499" s="285">
        <v>2213</v>
      </c>
      <c r="O499" s="285">
        <v>6</v>
      </c>
      <c r="P499" s="285"/>
      <c r="Q499" s="298">
        <v>0</v>
      </c>
      <c r="R499" s="252"/>
      <c r="S499" s="297">
        <f>SUM(U499,W499,Y499,Z499,AA499,AE499)</f>
        <v>181</v>
      </c>
      <c r="T499" s="267">
        <f>SUM(V499,X499,AB499,AC499,AD499,AF499)</f>
        <v>332</v>
      </c>
      <c r="U499" s="298">
        <v>181</v>
      </c>
      <c r="V499" s="252">
        <v>332</v>
      </c>
      <c r="W499" s="298">
        <v>0</v>
      </c>
      <c r="X499" s="252"/>
      <c r="Y499" s="298">
        <v>0</v>
      </c>
      <c r="Z499" s="298">
        <v>0</v>
      </c>
      <c r="AA499" s="262">
        <v>0</v>
      </c>
      <c r="AB499" s="255"/>
      <c r="AC499" s="255"/>
      <c r="AD499" s="255"/>
      <c r="AE499" s="298"/>
      <c r="AF499" s="257"/>
    </row>
    <row r="500" spans="1:32" s="299" customFormat="1" ht="15" customHeight="1">
      <c r="A500" s="141" t="s">
        <v>18</v>
      </c>
      <c r="B500" s="141" t="s">
        <v>416</v>
      </c>
      <c r="C500" s="125">
        <v>237686</v>
      </c>
      <c r="D500" s="273">
        <v>7</v>
      </c>
      <c r="E500" s="278">
        <f t="shared" si="36"/>
        <v>38448</v>
      </c>
      <c r="F500" s="267">
        <f>SUM(H500,J500,N500,O500,P500,R500)</f>
        <v>82040</v>
      </c>
      <c r="G500" s="298">
        <v>26860</v>
      </c>
      <c r="H500" s="282">
        <v>57573</v>
      </c>
      <c r="I500" s="298">
        <v>7482</v>
      </c>
      <c r="J500" s="282">
        <v>18172</v>
      </c>
      <c r="K500" s="298">
        <v>4106</v>
      </c>
      <c r="L500" s="298">
        <v>0</v>
      </c>
      <c r="M500" s="262">
        <v>0</v>
      </c>
      <c r="N500" s="285">
        <v>5641</v>
      </c>
      <c r="O500" s="285"/>
      <c r="P500" s="285">
        <v>654</v>
      </c>
      <c r="Q500" s="298">
        <v>0</v>
      </c>
      <c r="R500" s="252"/>
      <c r="S500" s="297">
        <f>SUM(U500,W500,Y500,Z500,AA500,AE500)</f>
        <v>0</v>
      </c>
      <c r="T500" s="267">
        <f>SUM(V500,X500,AB500,AC500,AD500,AF500)</f>
        <v>0</v>
      </c>
      <c r="U500" s="298"/>
      <c r="V500" s="252"/>
      <c r="W500" s="298"/>
      <c r="X500" s="252"/>
      <c r="Y500" s="298"/>
      <c r="Z500" s="298"/>
      <c r="AA500" s="262"/>
      <c r="AB500" s="255"/>
      <c r="AC500" s="255"/>
      <c r="AD500" s="255"/>
      <c r="AE500" s="298"/>
      <c r="AF500" s="257"/>
    </row>
    <row r="501" spans="1:32" s="299" customFormat="1" ht="15" customHeight="1">
      <c r="A501" s="141" t="s">
        <v>18</v>
      </c>
      <c r="B501" s="141" t="s">
        <v>417</v>
      </c>
      <c r="C501" s="125">
        <v>443492</v>
      </c>
      <c r="D501" s="273">
        <v>9</v>
      </c>
      <c r="E501" s="278">
        <f t="shared" si="36"/>
        <v>34407</v>
      </c>
      <c r="F501" s="267">
        <f>SUM(H501,J501,N501,O501,P501,R501)</f>
        <v>65902</v>
      </c>
      <c r="G501" s="298">
        <v>21748</v>
      </c>
      <c r="H501" s="282">
        <v>37984</v>
      </c>
      <c r="I501" s="298">
        <v>11484</v>
      </c>
      <c r="J501" s="282">
        <v>25412</v>
      </c>
      <c r="K501" s="298">
        <v>1175</v>
      </c>
      <c r="L501" s="298">
        <v>0</v>
      </c>
      <c r="M501" s="262">
        <v>0</v>
      </c>
      <c r="N501" s="285">
        <v>2503</v>
      </c>
      <c r="O501" s="285"/>
      <c r="P501" s="285">
        <v>3</v>
      </c>
      <c r="Q501" s="298">
        <v>0</v>
      </c>
      <c r="R501" s="252"/>
      <c r="S501" s="297">
        <f>SUM(U501,W501,Y501,Z501,AA501,AE501)</f>
        <v>6</v>
      </c>
      <c r="T501" s="267">
        <f>SUM(V501,X501,AB501,AC501,AD501,AF501)</f>
        <v>6</v>
      </c>
      <c r="U501" s="298">
        <v>0</v>
      </c>
      <c r="V501" s="252"/>
      <c r="W501" s="298">
        <v>0</v>
      </c>
      <c r="X501" s="252"/>
      <c r="Y501" s="298">
        <v>6</v>
      </c>
      <c r="Z501" s="298">
        <v>0</v>
      </c>
      <c r="AA501" s="262">
        <v>0</v>
      </c>
      <c r="AB501" s="255">
        <v>6</v>
      </c>
      <c r="AC501" s="255"/>
      <c r="AD501" s="255"/>
      <c r="AE501" s="298"/>
      <c r="AF501" s="257"/>
    </row>
    <row r="502" spans="1:32" s="299" customFormat="1" ht="15" customHeight="1">
      <c r="A502" s="141" t="s">
        <v>18</v>
      </c>
      <c r="B502" s="141" t="s">
        <v>665</v>
      </c>
      <c r="C502" s="125">
        <v>445674</v>
      </c>
      <c r="D502" s="273">
        <v>10</v>
      </c>
      <c r="E502" s="278">
        <f t="shared" si="36"/>
        <v>8608</v>
      </c>
      <c r="F502" s="267">
        <f>SUM(H502,J502,N502,O502,P502,R502)</f>
        <v>16663</v>
      </c>
      <c r="G502" s="298">
        <v>7951</v>
      </c>
      <c r="H502" s="282">
        <v>15173</v>
      </c>
      <c r="I502" s="298">
        <v>290</v>
      </c>
      <c r="J502" s="282">
        <v>576</v>
      </c>
      <c r="K502" s="298">
        <v>358</v>
      </c>
      <c r="L502" s="298">
        <v>9</v>
      </c>
      <c r="M502" s="262">
        <v>0</v>
      </c>
      <c r="N502" s="285">
        <v>911</v>
      </c>
      <c r="O502" s="285">
        <v>3</v>
      </c>
      <c r="P502" s="285"/>
      <c r="Q502" s="298">
        <v>0</v>
      </c>
      <c r="R502" s="252"/>
      <c r="S502" s="297">
        <f>SUM(U502,W502,Y502,Z502,AA502,AE502)</f>
        <v>0</v>
      </c>
      <c r="T502" s="267">
        <f>SUM(V502,X502,AB502,AC502,AD502,AF502)</f>
        <v>0</v>
      </c>
      <c r="U502" s="298"/>
      <c r="V502" s="252"/>
      <c r="W502" s="298"/>
      <c r="X502" s="252"/>
      <c r="Y502" s="298"/>
      <c r="Z502" s="298"/>
      <c r="AA502" s="262"/>
      <c r="AB502" s="255"/>
      <c r="AC502" s="255"/>
      <c r="AD502" s="255"/>
      <c r="AE502" s="298"/>
      <c r="AF502" s="257"/>
    </row>
    <row r="503" spans="1:32" s="299" customFormat="1" ht="15" customHeight="1">
      <c r="A503" s="141" t="s">
        <v>18</v>
      </c>
      <c r="B503" s="143" t="s">
        <v>530</v>
      </c>
      <c r="C503" s="125"/>
      <c r="D503" s="273">
        <v>10</v>
      </c>
      <c r="E503" s="278">
        <f t="shared" si="36"/>
        <v>10199</v>
      </c>
      <c r="F503" s="267">
        <f>SUM(H503,J503,N503,O503,P503,R503)</f>
        <v>21482</v>
      </c>
      <c r="G503" s="298">
        <v>7851</v>
      </c>
      <c r="H503" s="282">
        <v>17201</v>
      </c>
      <c r="I503" s="298">
        <v>1539</v>
      </c>
      <c r="J503" s="282">
        <v>1661</v>
      </c>
      <c r="K503" s="298">
        <v>679</v>
      </c>
      <c r="L503" s="298">
        <f>66+64</f>
        <v>130</v>
      </c>
      <c r="M503" s="262">
        <v>0</v>
      </c>
      <c r="N503" s="285">
        <v>2512</v>
      </c>
      <c r="O503" s="285">
        <v>108</v>
      </c>
      <c r="P503" s="285"/>
      <c r="Q503" s="298">
        <v>0</v>
      </c>
      <c r="R503" s="252"/>
      <c r="S503" s="297">
        <f>SUM(U503,W503,Y503,Z503,AA503,AE503)</f>
        <v>0</v>
      </c>
      <c r="T503" s="267">
        <f>SUM(V503,X503,AB503,AC503,AD503,AF503)</f>
        <v>0</v>
      </c>
      <c r="U503" s="298"/>
      <c r="V503" s="252"/>
      <c r="W503" s="298"/>
      <c r="X503" s="252"/>
      <c r="Y503" s="298"/>
      <c r="Z503" s="298"/>
      <c r="AA503" s="262"/>
      <c r="AB503" s="255"/>
      <c r="AC503" s="255"/>
      <c r="AD503" s="255"/>
      <c r="AE503" s="298"/>
      <c r="AF503" s="257"/>
    </row>
    <row r="504" spans="1:32" s="299" customFormat="1" ht="15" customHeight="1">
      <c r="A504" s="141" t="s">
        <v>18</v>
      </c>
      <c r="B504" s="141" t="s">
        <v>531</v>
      </c>
      <c r="C504" s="126">
        <v>438708</v>
      </c>
      <c r="D504" s="273">
        <v>10</v>
      </c>
      <c r="E504" s="278">
        <f t="shared" si="36"/>
        <v>3720</v>
      </c>
      <c r="F504" s="267">
        <f>SUM(H504,J504,N504,O504,P504,R504)</f>
        <v>7903</v>
      </c>
      <c r="G504" s="298">
        <v>1859</v>
      </c>
      <c r="H504" s="282">
        <v>2187</v>
      </c>
      <c r="I504" s="298">
        <v>888</v>
      </c>
      <c r="J504" s="282">
        <v>3272</v>
      </c>
      <c r="K504" s="298">
        <v>456</v>
      </c>
      <c r="L504" s="298">
        <f>457+60</f>
        <v>517</v>
      </c>
      <c r="M504" s="262">
        <v>0</v>
      </c>
      <c r="N504" s="285">
        <v>1986</v>
      </c>
      <c r="O504" s="285">
        <f>389+69</f>
        <v>458</v>
      </c>
      <c r="P504" s="285"/>
      <c r="Q504" s="298">
        <v>0</v>
      </c>
      <c r="R504" s="252"/>
      <c r="S504" s="297">
        <f>SUM(U504,W504,Y504,Z504,AA504,AE504)</f>
        <v>0</v>
      </c>
      <c r="T504" s="267">
        <f>SUM(V504,X504,AB504,AC504,AD504,AF504)</f>
        <v>0</v>
      </c>
      <c r="U504" s="298"/>
      <c r="V504" s="252"/>
      <c r="W504" s="298"/>
      <c r="X504" s="252"/>
      <c r="Y504" s="298"/>
      <c r="Z504" s="298"/>
      <c r="AA504" s="262"/>
      <c r="AB504" s="255"/>
      <c r="AC504" s="255"/>
      <c r="AD504" s="255"/>
      <c r="AE504" s="298"/>
      <c r="AF504" s="257"/>
    </row>
    <row r="505" spans="1:32" s="299" customFormat="1" ht="15" customHeight="1">
      <c r="A505" s="141" t="s">
        <v>18</v>
      </c>
      <c r="B505" s="141" t="s">
        <v>434</v>
      </c>
      <c r="C505" s="125">
        <v>444954</v>
      </c>
      <c r="D505" s="273">
        <v>10</v>
      </c>
      <c r="E505" s="278">
        <f t="shared" si="36"/>
        <v>23866</v>
      </c>
      <c r="F505" s="267">
        <f>SUM(H505,J505,N505,O505,P505,R505)</f>
        <v>45953</v>
      </c>
      <c r="G505" s="298">
        <v>15921</v>
      </c>
      <c r="H505" s="282">
        <v>29640</v>
      </c>
      <c r="I505" s="298">
        <v>6762</v>
      </c>
      <c r="J505" s="282">
        <v>13247</v>
      </c>
      <c r="K505" s="298">
        <v>1183</v>
      </c>
      <c r="L505" s="298">
        <v>0</v>
      </c>
      <c r="M505" s="262">
        <v>0</v>
      </c>
      <c r="N505" s="285">
        <v>3031</v>
      </c>
      <c r="O505" s="285">
        <v>32</v>
      </c>
      <c r="P505" s="285">
        <v>3</v>
      </c>
      <c r="Q505" s="298">
        <v>0</v>
      </c>
      <c r="R505" s="252"/>
      <c r="S505" s="297">
        <f>SUM(U505,W505,Y505,Z505,AA505,AE505)</f>
        <v>0</v>
      </c>
      <c r="T505" s="267">
        <f>SUM(V505,X505,AB505,AC505,AD505,AF505)</f>
        <v>0</v>
      </c>
      <c r="U505" s="298"/>
      <c r="V505" s="252"/>
      <c r="W505" s="298"/>
      <c r="X505" s="252"/>
      <c r="Y505" s="298"/>
      <c r="Z505" s="298"/>
      <c r="AA505" s="262"/>
      <c r="AB505" s="255"/>
      <c r="AC505" s="255"/>
      <c r="AD505" s="255"/>
      <c r="AE505" s="298"/>
      <c r="AF505" s="257"/>
    </row>
    <row r="506" spans="1:32" s="299" customFormat="1" ht="15" customHeight="1">
      <c r="A506" s="141" t="s">
        <v>18</v>
      </c>
      <c r="B506" s="143" t="s">
        <v>532</v>
      </c>
      <c r="C506" s="125"/>
      <c r="D506" s="273">
        <v>10</v>
      </c>
      <c r="E506" s="278">
        <f t="shared" si="36"/>
        <v>17438</v>
      </c>
      <c r="F506" s="267">
        <f>SUM(H506,J506,N506,O506,P506,R506)</f>
        <v>38285</v>
      </c>
      <c r="G506" s="298">
        <v>1857</v>
      </c>
      <c r="H506" s="282">
        <v>2862</v>
      </c>
      <c r="I506" s="298">
        <v>13768</v>
      </c>
      <c r="J506" s="282">
        <v>31223</v>
      </c>
      <c r="K506" s="298">
        <v>237</v>
      </c>
      <c r="L506" s="298">
        <f>135+1267</f>
        <v>1402</v>
      </c>
      <c r="M506" s="262">
        <v>174</v>
      </c>
      <c r="N506" s="285">
        <v>892</v>
      </c>
      <c r="O506" s="285">
        <f>114+2876</f>
        <v>2990</v>
      </c>
      <c r="P506" s="285">
        <v>318</v>
      </c>
      <c r="Q506" s="298">
        <v>0</v>
      </c>
      <c r="R506" s="252"/>
      <c r="S506" s="297">
        <f>SUM(U506,W506,Y506,Z506,AA506,AE506)</f>
        <v>0</v>
      </c>
      <c r="T506" s="267">
        <f>SUM(V506,X506,AB506,AC506,AD506,AF506)</f>
        <v>0</v>
      </c>
      <c r="U506" s="298"/>
      <c r="V506" s="252"/>
      <c r="W506" s="298"/>
      <c r="X506" s="252"/>
      <c r="Y506" s="298"/>
      <c r="Z506" s="298"/>
      <c r="AA506" s="262"/>
      <c r="AB506" s="255"/>
      <c r="AC506" s="255"/>
      <c r="AD506" s="255"/>
      <c r="AE506" s="298"/>
      <c r="AF506" s="257"/>
    </row>
    <row r="507" spans="1:32" s="299" customFormat="1" ht="15" customHeight="1">
      <c r="A507" s="141" t="s">
        <v>18</v>
      </c>
      <c r="B507" s="141" t="s">
        <v>418</v>
      </c>
      <c r="C507" s="125">
        <v>237701</v>
      </c>
      <c r="D507" s="273">
        <v>10</v>
      </c>
      <c r="E507" s="278">
        <f t="shared" si="36"/>
        <v>15259</v>
      </c>
      <c r="F507" s="267">
        <f>SUM(H507,J507,N507,O507,P507,R507)</f>
        <v>30087</v>
      </c>
      <c r="G507" s="298">
        <v>13465</v>
      </c>
      <c r="H507" s="282">
        <v>25521</v>
      </c>
      <c r="I507" s="298">
        <v>1496</v>
      </c>
      <c r="J507" s="282">
        <v>3283</v>
      </c>
      <c r="K507" s="298">
        <v>298</v>
      </c>
      <c r="L507" s="298">
        <v>0</v>
      </c>
      <c r="M507" s="262">
        <v>0</v>
      </c>
      <c r="N507" s="285">
        <v>1283</v>
      </c>
      <c r="O507" s="285"/>
      <c r="P507" s="285"/>
      <c r="Q507" s="298">
        <v>0</v>
      </c>
      <c r="R507" s="252"/>
      <c r="S507" s="297">
        <f>SUM(U507,W507,Y507,Z507,AA507,AE507)</f>
        <v>0</v>
      </c>
      <c r="T507" s="267">
        <f>SUM(V507,X507,AB507,AC507,AD507,AF507)</f>
        <v>0</v>
      </c>
      <c r="U507" s="298"/>
      <c r="V507" s="252"/>
      <c r="W507" s="298"/>
      <c r="X507" s="252"/>
      <c r="Y507" s="298"/>
      <c r="Z507" s="298"/>
      <c r="AA507" s="262"/>
      <c r="AB507" s="255"/>
      <c r="AC507" s="255"/>
      <c r="AD507" s="255"/>
      <c r="AE507" s="298"/>
      <c r="AF507" s="257"/>
    </row>
    <row r="508" spans="1:32" s="299" customFormat="1" ht="15" customHeight="1">
      <c r="A508" s="141" t="s">
        <v>18</v>
      </c>
      <c r="B508" s="141" t="s">
        <v>533</v>
      </c>
      <c r="C508" s="125">
        <v>237817</v>
      </c>
      <c r="D508" s="273">
        <v>10</v>
      </c>
      <c r="E508" s="278">
        <f t="shared" si="36"/>
        <v>26870</v>
      </c>
      <c r="F508" s="267">
        <f>SUM(H508,J508,N508,O508,P508,R508)</f>
        <v>51123</v>
      </c>
      <c r="G508" s="298">
        <v>22923</v>
      </c>
      <c r="H508" s="282">
        <v>42232</v>
      </c>
      <c r="I508" s="298">
        <v>1565</v>
      </c>
      <c r="J508" s="282">
        <v>3089</v>
      </c>
      <c r="K508" s="298">
        <v>746</v>
      </c>
      <c r="L508" s="298">
        <f>1393+207</f>
        <v>1600</v>
      </c>
      <c r="M508" s="262">
        <v>36</v>
      </c>
      <c r="N508" s="285">
        <v>2457</v>
      </c>
      <c r="O508" s="285">
        <f>2038+1017</f>
        <v>3055</v>
      </c>
      <c r="P508" s="285">
        <v>66</v>
      </c>
      <c r="Q508" s="298">
        <v>0</v>
      </c>
      <c r="R508" s="252">
        <v>224</v>
      </c>
      <c r="S508" s="297">
        <f>SUM(U508,W508,Y508,Z508,AA508,AE508)</f>
        <v>0</v>
      </c>
      <c r="T508" s="267">
        <f>SUM(V508,X508,AB508,AC508,AD508,AF508)</f>
        <v>0</v>
      </c>
      <c r="U508" s="298"/>
      <c r="V508" s="252"/>
      <c r="W508" s="298"/>
      <c r="X508" s="252"/>
      <c r="Y508" s="298"/>
      <c r="Z508" s="298"/>
      <c r="AA508" s="262"/>
      <c r="AB508" s="255"/>
      <c r="AC508" s="255"/>
      <c r="AD508" s="255"/>
      <c r="AE508" s="298"/>
      <c r="AF508" s="257"/>
    </row>
    <row r="509" spans="1:32" s="299" customFormat="1" ht="15" customHeight="1">
      <c r="A509" s="141" t="s">
        <v>18</v>
      </c>
      <c r="B509" s="141" t="s">
        <v>419</v>
      </c>
      <c r="C509" s="125">
        <v>238014</v>
      </c>
      <c r="D509" s="273">
        <v>10</v>
      </c>
      <c r="E509" s="278">
        <f t="shared" si="36"/>
        <v>28001</v>
      </c>
      <c r="F509" s="267">
        <f>SUM(H509,J509,N509,O509,P509,R509)</f>
        <v>59852</v>
      </c>
      <c r="G509" s="298">
        <v>25611</v>
      </c>
      <c r="H509" s="282">
        <v>55177</v>
      </c>
      <c r="I509" s="298">
        <v>0</v>
      </c>
      <c r="J509" s="282"/>
      <c r="K509" s="298">
        <v>738</v>
      </c>
      <c r="L509" s="298">
        <v>1544</v>
      </c>
      <c r="M509" s="262">
        <v>108</v>
      </c>
      <c r="N509" s="285">
        <v>2213</v>
      </c>
      <c r="O509" s="285">
        <v>2274</v>
      </c>
      <c r="P509" s="285">
        <v>188</v>
      </c>
      <c r="Q509" s="298">
        <v>0</v>
      </c>
      <c r="R509" s="252"/>
      <c r="S509" s="297">
        <f>SUM(U509,W509,Y509,Z509,AA509,AE509)</f>
        <v>0</v>
      </c>
      <c r="T509" s="267">
        <f>SUM(V509,X509,AB509,AC509,AD509,AF509)</f>
        <v>0</v>
      </c>
      <c r="U509" s="298"/>
      <c r="V509" s="252"/>
      <c r="W509" s="298"/>
      <c r="X509" s="252"/>
      <c r="Y509" s="298"/>
      <c r="Z509" s="298"/>
      <c r="AA509" s="262"/>
      <c r="AB509" s="255"/>
      <c r="AC509" s="255"/>
      <c r="AD509" s="255"/>
      <c r="AE509" s="298"/>
      <c r="AF509" s="257"/>
    </row>
    <row r="510" spans="1:32" s="299" customFormat="1" ht="15" customHeight="1">
      <c r="A510" s="141" t="s">
        <v>18</v>
      </c>
      <c r="B510" s="143" t="s">
        <v>534</v>
      </c>
      <c r="C510" s="127">
        <v>445018</v>
      </c>
      <c r="D510" s="273">
        <v>10</v>
      </c>
      <c r="E510" s="278">
        <f t="shared" si="36"/>
        <v>17205</v>
      </c>
      <c r="F510" s="267">
        <f>SUM(H510,J510,N510,O510,P510,R510)</f>
        <v>35634</v>
      </c>
      <c r="G510" s="298">
        <v>16628</v>
      </c>
      <c r="H510" s="282">
        <v>34174</v>
      </c>
      <c r="I510" s="298">
        <v>577</v>
      </c>
      <c r="J510" s="282">
        <v>1460</v>
      </c>
      <c r="K510" s="298">
        <v>0</v>
      </c>
      <c r="L510" s="298">
        <v>0</v>
      </c>
      <c r="M510" s="262">
        <v>0</v>
      </c>
      <c r="N510" s="285"/>
      <c r="O510" s="285"/>
      <c r="P510" s="285"/>
      <c r="Q510" s="298">
        <v>0</v>
      </c>
      <c r="R510" s="252"/>
      <c r="S510" s="297">
        <f>SUM(U510,W510,Y510,Z510,AA510,AE510)</f>
        <v>3</v>
      </c>
      <c r="T510" s="267">
        <f>SUM(V510,X510,AB510,AC510,AD510,AF510)</f>
        <v>2</v>
      </c>
      <c r="U510" s="298">
        <v>3</v>
      </c>
      <c r="V510" s="252">
        <v>2</v>
      </c>
      <c r="W510" s="298">
        <v>0</v>
      </c>
      <c r="X510" s="252"/>
      <c r="Y510" s="298">
        <v>0</v>
      </c>
      <c r="Z510" s="298">
        <v>0</v>
      </c>
      <c r="AA510" s="262">
        <v>0</v>
      </c>
      <c r="AB510" s="255"/>
      <c r="AC510" s="255"/>
      <c r="AD510" s="255"/>
      <c r="AE510" s="298"/>
      <c r="AF510" s="257"/>
    </row>
    <row r="512" ht="12.75">
      <c r="B512" s="249"/>
    </row>
    <row r="513" ht="15.75">
      <c r="B513" s="250"/>
    </row>
  </sheetData>
  <mergeCells count="32">
    <mergeCell ref="W2:W4"/>
    <mergeCell ref="U3:U4"/>
    <mergeCell ref="G3:G4"/>
    <mergeCell ref="K3:K4"/>
    <mergeCell ref="M3:M4"/>
    <mergeCell ref="E3:E4"/>
    <mergeCell ref="F3:F4"/>
    <mergeCell ref="I2:I4"/>
    <mergeCell ref="K2:M2"/>
    <mergeCell ref="H3:H4"/>
    <mergeCell ref="J2:J4"/>
    <mergeCell ref="L3:L4"/>
    <mergeCell ref="AA3:AA4"/>
    <mergeCell ref="Y3:Y4"/>
    <mergeCell ref="N2:P2"/>
    <mergeCell ref="N3:N4"/>
    <mergeCell ref="O3:O4"/>
    <mergeCell ref="P3:P4"/>
    <mergeCell ref="Q3:Q4"/>
    <mergeCell ref="S3:S4"/>
    <mergeCell ref="Z3:Z4"/>
    <mergeCell ref="R3:R4"/>
    <mergeCell ref="AF3:AF4"/>
    <mergeCell ref="X2:X4"/>
    <mergeCell ref="V3:V4"/>
    <mergeCell ref="T3:T4"/>
    <mergeCell ref="AE3:AE4"/>
    <mergeCell ref="Y2:AA2"/>
    <mergeCell ref="AB2:AD2"/>
    <mergeCell ref="AB3:AB4"/>
    <mergeCell ref="AC3:AC4"/>
    <mergeCell ref="AD3:AD4"/>
  </mergeCells>
  <printOptions/>
  <pageMargins left="0.32" right="0.33" top="0.5" bottom="0.5" header="0.5" footer="0.5"/>
  <pageSetup fitToWidth="2" horizontalDpi="600" verticalDpi="600" orientation="landscape" scale="79" r:id="rId3"/>
  <legacyDrawing r:id="rId2"/>
</worksheet>
</file>

<file path=xl/worksheets/sheet2.xml><?xml version="1.0" encoding="utf-8"?>
<worksheet xmlns="http://schemas.openxmlformats.org/spreadsheetml/2006/main" xmlns:r="http://schemas.openxmlformats.org/officeDocument/2006/relationships">
  <dimension ref="A3:AM621"/>
  <sheetViews>
    <sheetView zoomScale="75" zoomScaleNormal="75" workbookViewId="0" topLeftCell="A1">
      <selection activeCell="C109" sqref="C109:J109"/>
    </sheetView>
  </sheetViews>
  <sheetFormatPr defaultColWidth="9.140625" defaultRowHeight="12.75"/>
  <cols>
    <col min="1" max="1" width="7.8515625" style="580" customWidth="1"/>
    <col min="2" max="2" width="27.57421875" style="580" customWidth="1"/>
    <col min="3" max="9" width="10.28125" style="580" customWidth="1"/>
    <col min="10" max="10" width="11.28125" style="580" customWidth="1"/>
    <col min="11" max="14" width="10.28125" style="580" customWidth="1"/>
    <col min="15" max="15" width="11.28125" style="580" customWidth="1"/>
    <col min="16" max="19" width="10.28125" style="580" customWidth="1"/>
    <col min="20" max="21" width="6.57421875" style="580" customWidth="1"/>
    <col min="22" max="22" width="12.00390625" style="580" bestFit="1" customWidth="1"/>
    <col min="23" max="23" width="11.57421875" style="580" bestFit="1" customWidth="1"/>
    <col min="24" max="16384" width="9.140625" style="580" customWidth="1"/>
  </cols>
  <sheetData>
    <row r="3" spans="1:19" ht="12.75" hidden="1">
      <c r="A3" s="575"/>
      <c r="B3" s="576"/>
      <c r="C3" s="577" t="s">
        <v>125</v>
      </c>
      <c r="D3" s="578" t="s">
        <v>119</v>
      </c>
      <c r="E3" s="578"/>
      <c r="F3" s="578"/>
      <c r="G3" s="578"/>
      <c r="H3" s="578"/>
      <c r="I3" s="578"/>
      <c r="J3" s="578"/>
      <c r="K3" s="578"/>
      <c r="L3" s="578"/>
      <c r="M3" s="578"/>
      <c r="N3" s="578"/>
      <c r="O3" s="578"/>
      <c r="P3" s="578"/>
      <c r="Q3" s="578"/>
      <c r="R3" s="578"/>
      <c r="S3" s="579"/>
    </row>
    <row r="4" spans="1:19" ht="45" customHeight="1">
      <c r="A4" s="575"/>
      <c r="B4" s="576"/>
      <c r="C4" s="577" t="s">
        <v>121</v>
      </c>
      <c r="D4" s="581"/>
      <c r="E4" s="581"/>
      <c r="F4" s="581"/>
      <c r="G4" s="581"/>
      <c r="H4" s="581"/>
      <c r="I4" s="581"/>
      <c r="J4" s="577" t="s">
        <v>121</v>
      </c>
      <c r="K4" s="577" t="s">
        <v>126</v>
      </c>
      <c r="L4" s="581"/>
      <c r="M4" s="581"/>
      <c r="N4" s="581"/>
      <c r="O4" s="577" t="s">
        <v>126</v>
      </c>
      <c r="P4" s="577" t="s">
        <v>420</v>
      </c>
      <c r="Q4" s="581"/>
      <c r="R4" s="581"/>
      <c r="S4" s="582" t="s">
        <v>420</v>
      </c>
    </row>
    <row r="5" spans="1:19" ht="12.75">
      <c r="A5" s="575" t="s">
        <v>15</v>
      </c>
      <c r="B5" s="575" t="s">
        <v>120</v>
      </c>
      <c r="C5" s="577">
        <v>1</v>
      </c>
      <c r="D5" s="583">
        <v>2</v>
      </c>
      <c r="E5" s="583">
        <v>3</v>
      </c>
      <c r="F5" s="583">
        <v>4</v>
      </c>
      <c r="G5" s="583">
        <v>5</v>
      </c>
      <c r="H5" s="583">
        <v>6</v>
      </c>
      <c r="I5" s="583">
        <v>15</v>
      </c>
      <c r="J5" s="584"/>
      <c r="K5" s="577">
        <v>7</v>
      </c>
      <c r="L5" s="583">
        <v>8</v>
      </c>
      <c r="M5" s="583">
        <v>9</v>
      </c>
      <c r="N5" s="583">
        <v>10</v>
      </c>
      <c r="O5" s="584"/>
      <c r="P5" s="577">
        <v>12</v>
      </c>
      <c r="Q5" s="583">
        <v>13</v>
      </c>
      <c r="R5" s="583">
        <v>14</v>
      </c>
      <c r="S5" s="585"/>
    </row>
    <row r="6" spans="1:21" s="583" customFormat="1" ht="12.75">
      <c r="A6" s="586" t="s">
        <v>232</v>
      </c>
      <c r="B6" s="577" t="s">
        <v>764</v>
      </c>
      <c r="C6" s="629">
        <v>1328165</v>
      </c>
      <c r="D6" s="630">
        <v>0</v>
      </c>
      <c r="E6" s="630">
        <v>451222</v>
      </c>
      <c r="F6" s="630">
        <v>453216</v>
      </c>
      <c r="G6" s="630">
        <v>120354</v>
      </c>
      <c r="H6" s="630">
        <v>63584</v>
      </c>
      <c r="I6" s="630"/>
      <c r="J6" s="629">
        <v>2416541</v>
      </c>
      <c r="K6" s="629"/>
      <c r="L6" s="630">
        <v>337157</v>
      </c>
      <c r="M6" s="630">
        <v>205605</v>
      </c>
      <c r="N6" s="630">
        <v>294931</v>
      </c>
      <c r="O6" s="629">
        <v>837693</v>
      </c>
      <c r="P6" s="616">
        <v>0</v>
      </c>
      <c r="Q6" s="617">
        <v>0</v>
      </c>
      <c r="R6" s="617"/>
      <c r="S6" s="618">
        <v>0</v>
      </c>
      <c r="T6" s="580"/>
      <c r="U6" s="580"/>
    </row>
    <row r="7" spans="1:19" ht="12.75">
      <c r="A7" s="475"/>
      <c r="B7" s="597" t="s">
        <v>758</v>
      </c>
      <c r="C7" s="643">
        <v>7581</v>
      </c>
      <c r="D7" s="644">
        <v>0</v>
      </c>
      <c r="E7" s="644">
        <v>16520</v>
      </c>
      <c r="F7" s="644">
        <v>41347</v>
      </c>
      <c r="G7" s="644">
        <v>98</v>
      </c>
      <c r="H7" s="644">
        <v>10639</v>
      </c>
      <c r="I7" s="644">
        <v>0</v>
      </c>
      <c r="J7" s="643">
        <v>76185</v>
      </c>
      <c r="K7" s="643">
        <v>0</v>
      </c>
      <c r="L7" s="644">
        <v>30996</v>
      </c>
      <c r="M7" s="644">
        <v>6865</v>
      </c>
      <c r="N7" s="644">
        <v>27223</v>
      </c>
      <c r="O7" s="643">
        <v>65084</v>
      </c>
      <c r="P7" s="619">
        <v>0</v>
      </c>
      <c r="Q7" s="620">
        <v>0</v>
      </c>
      <c r="R7" s="620">
        <v>0</v>
      </c>
      <c r="S7" s="621">
        <v>0</v>
      </c>
    </row>
    <row r="8" spans="1:19" ht="12.75">
      <c r="A8" s="475"/>
      <c r="B8" s="636" t="s">
        <v>760</v>
      </c>
      <c r="C8" s="637">
        <v>214578</v>
      </c>
      <c r="D8" s="638">
        <v>0</v>
      </c>
      <c r="E8" s="638">
        <v>75387</v>
      </c>
      <c r="F8" s="638">
        <v>105498</v>
      </c>
      <c r="G8" s="638">
        <v>21261</v>
      </c>
      <c r="H8" s="638">
        <v>0</v>
      </c>
      <c r="I8" s="638"/>
      <c r="J8" s="637">
        <v>416724</v>
      </c>
      <c r="K8" s="637"/>
      <c r="L8" s="638">
        <v>0</v>
      </c>
      <c r="M8" s="638">
        <v>0</v>
      </c>
      <c r="N8" s="638">
        <v>0</v>
      </c>
      <c r="O8" s="637">
        <v>0</v>
      </c>
      <c r="P8" s="619">
        <v>0</v>
      </c>
      <c r="Q8" s="620">
        <v>0</v>
      </c>
      <c r="R8" s="620"/>
      <c r="S8" s="621">
        <v>0</v>
      </c>
    </row>
    <row r="9" spans="1:19" ht="12.75">
      <c r="A9" s="475"/>
      <c r="B9" s="597" t="s">
        <v>759</v>
      </c>
      <c r="C9" s="651">
        <v>14000</v>
      </c>
      <c r="D9" s="652">
        <v>0</v>
      </c>
      <c r="E9" s="652">
        <v>12099</v>
      </c>
      <c r="F9" s="652">
        <v>27595</v>
      </c>
      <c r="G9" s="652">
        <v>6368</v>
      </c>
      <c r="H9" s="652">
        <v>0</v>
      </c>
      <c r="I9" s="652">
        <v>0</v>
      </c>
      <c r="J9" s="651">
        <v>60062</v>
      </c>
      <c r="K9" s="619">
        <v>0</v>
      </c>
      <c r="L9" s="620">
        <v>0</v>
      </c>
      <c r="M9" s="620">
        <v>0</v>
      </c>
      <c r="N9" s="620">
        <v>0</v>
      </c>
      <c r="O9" s="619">
        <v>0</v>
      </c>
      <c r="P9" s="619">
        <v>0</v>
      </c>
      <c r="Q9" s="620">
        <v>0</v>
      </c>
      <c r="R9" s="620">
        <v>0</v>
      </c>
      <c r="S9" s="621">
        <v>0</v>
      </c>
    </row>
    <row r="10" spans="1:19" ht="12.75">
      <c r="A10" s="475"/>
      <c r="B10" s="597" t="s">
        <v>761</v>
      </c>
      <c r="C10" s="632">
        <v>277018</v>
      </c>
      <c r="D10" s="633">
        <v>0</v>
      </c>
      <c r="E10" s="633">
        <v>323094</v>
      </c>
      <c r="F10" s="633">
        <v>404553</v>
      </c>
      <c r="G10" s="633">
        <v>120153</v>
      </c>
      <c r="H10" s="633">
        <v>64753</v>
      </c>
      <c r="I10" s="633"/>
      <c r="J10" s="632">
        <v>1189571</v>
      </c>
      <c r="K10" s="632"/>
      <c r="L10" s="633">
        <v>178855</v>
      </c>
      <c r="M10" s="633">
        <v>512023</v>
      </c>
      <c r="N10" s="633">
        <v>250929</v>
      </c>
      <c r="O10" s="632">
        <v>941807</v>
      </c>
      <c r="P10" s="619">
        <v>0</v>
      </c>
      <c r="Q10" s="620">
        <v>0</v>
      </c>
      <c r="R10" s="620"/>
      <c r="S10" s="621">
        <v>0</v>
      </c>
    </row>
    <row r="11" spans="1:19" ht="12.75">
      <c r="A11" s="475"/>
      <c r="B11" s="597" t="s">
        <v>762</v>
      </c>
      <c r="C11" s="647">
        <v>13045</v>
      </c>
      <c r="D11" s="650">
        <v>0</v>
      </c>
      <c r="E11" s="650">
        <v>4063</v>
      </c>
      <c r="F11" s="650">
        <v>45933</v>
      </c>
      <c r="G11" s="650">
        <v>807</v>
      </c>
      <c r="H11" s="650">
        <v>15458</v>
      </c>
      <c r="I11" s="650">
        <v>0</v>
      </c>
      <c r="J11" s="647">
        <v>79306</v>
      </c>
      <c r="K11" s="647">
        <v>0</v>
      </c>
      <c r="L11" s="650">
        <v>17764</v>
      </c>
      <c r="M11" s="650">
        <v>31794</v>
      </c>
      <c r="N11" s="650">
        <v>41604</v>
      </c>
      <c r="O11" s="647">
        <v>91162</v>
      </c>
      <c r="P11" s="619">
        <v>0</v>
      </c>
      <c r="Q11" s="620">
        <v>0</v>
      </c>
      <c r="R11" s="620">
        <v>0</v>
      </c>
      <c r="S11" s="621">
        <v>0</v>
      </c>
    </row>
    <row r="12" spans="1:19" ht="12.75">
      <c r="A12" s="475"/>
      <c r="B12" s="597" t="s">
        <v>765</v>
      </c>
      <c r="C12" s="640">
        <v>39372</v>
      </c>
      <c r="D12" s="642">
        <v>0</v>
      </c>
      <c r="E12" s="642">
        <v>32903</v>
      </c>
      <c r="F12" s="642">
        <v>82393</v>
      </c>
      <c r="G12" s="642">
        <v>24515</v>
      </c>
      <c r="H12" s="642">
        <v>0</v>
      </c>
      <c r="I12" s="642"/>
      <c r="J12" s="640">
        <v>179183</v>
      </c>
      <c r="K12" s="619"/>
      <c r="L12" s="620">
        <v>0</v>
      </c>
      <c r="M12" s="620">
        <v>0</v>
      </c>
      <c r="N12" s="620">
        <v>0</v>
      </c>
      <c r="O12" s="619">
        <v>0</v>
      </c>
      <c r="P12" s="619">
        <v>0</v>
      </c>
      <c r="Q12" s="620">
        <v>0</v>
      </c>
      <c r="R12" s="620"/>
      <c r="S12" s="621">
        <v>0</v>
      </c>
    </row>
    <row r="13" spans="1:19" ht="12.75">
      <c r="A13" s="605"/>
      <c r="B13" s="614" t="s">
        <v>763</v>
      </c>
      <c r="C13" s="622">
        <v>5453</v>
      </c>
      <c r="D13" s="623">
        <v>0</v>
      </c>
      <c r="E13" s="623">
        <v>3759</v>
      </c>
      <c r="F13" s="623">
        <v>33382</v>
      </c>
      <c r="G13" s="623">
        <v>11402</v>
      </c>
      <c r="H13" s="623">
        <v>0</v>
      </c>
      <c r="I13" s="623">
        <v>0</v>
      </c>
      <c r="J13" s="622">
        <v>53996</v>
      </c>
      <c r="K13" s="622">
        <v>0</v>
      </c>
      <c r="L13" s="623">
        <v>0</v>
      </c>
      <c r="M13" s="623">
        <v>0</v>
      </c>
      <c r="N13" s="623">
        <v>0</v>
      </c>
      <c r="O13" s="622">
        <v>0</v>
      </c>
      <c r="P13" s="622">
        <v>0</v>
      </c>
      <c r="Q13" s="623">
        <v>0</v>
      </c>
      <c r="R13" s="623">
        <v>0</v>
      </c>
      <c r="S13" s="624">
        <v>0</v>
      </c>
    </row>
    <row r="14" spans="1:19" ht="12.75">
      <c r="A14" s="586" t="s">
        <v>233</v>
      </c>
      <c r="B14" s="577" t="s">
        <v>764</v>
      </c>
      <c r="C14" s="629">
        <v>367507</v>
      </c>
      <c r="D14" s="630"/>
      <c r="E14" s="630">
        <v>704364</v>
      </c>
      <c r="F14" s="630"/>
      <c r="G14" s="630">
        <v>335668</v>
      </c>
      <c r="H14" s="630">
        <v>160450</v>
      </c>
      <c r="I14" s="630"/>
      <c r="J14" s="629">
        <v>1567989</v>
      </c>
      <c r="K14" s="629">
        <v>137246</v>
      </c>
      <c r="L14" s="630"/>
      <c r="M14" s="630">
        <v>291546</v>
      </c>
      <c r="N14" s="630">
        <v>626219</v>
      </c>
      <c r="O14" s="629">
        <v>1055011</v>
      </c>
      <c r="P14" s="616"/>
      <c r="Q14" s="617"/>
      <c r="R14" s="617"/>
      <c r="S14" s="618"/>
    </row>
    <row r="15" spans="1:19" ht="12.75">
      <c r="A15" s="475"/>
      <c r="B15" s="597" t="s">
        <v>758</v>
      </c>
      <c r="C15" s="643">
        <v>2367</v>
      </c>
      <c r="D15" s="645">
        <v>0</v>
      </c>
      <c r="E15" s="645">
        <v>42133</v>
      </c>
      <c r="F15" s="645">
        <v>0</v>
      </c>
      <c r="G15" s="645">
        <v>6267</v>
      </c>
      <c r="H15" s="645">
        <v>4033</v>
      </c>
      <c r="I15" s="645">
        <v>0</v>
      </c>
      <c r="J15" s="643">
        <v>54800</v>
      </c>
      <c r="K15" s="643">
        <v>9172</v>
      </c>
      <c r="L15" s="645">
        <v>0</v>
      </c>
      <c r="M15" s="645">
        <v>15842</v>
      </c>
      <c r="N15" s="645">
        <v>43471</v>
      </c>
      <c r="O15" s="643">
        <v>68485</v>
      </c>
      <c r="P15" s="619">
        <v>0</v>
      </c>
      <c r="Q15" s="625">
        <v>0</v>
      </c>
      <c r="R15" s="625">
        <v>0</v>
      </c>
      <c r="S15" s="621">
        <v>0</v>
      </c>
    </row>
    <row r="16" spans="1:19" ht="12.75">
      <c r="A16" s="475"/>
      <c r="B16" s="597" t="s">
        <v>760</v>
      </c>
      <c r="C16" s="637">
        <v>60829</v>
      </c>
      <c r="D16" s="639"/>
      <c r="E16" s="639">
        <v>78352</v>
      </c>
      <c r="F16" s="639"/>
      <c r="G16" s="639">
        <v>19343</v>
      </c>
      <c r="H16" s="639">
        <v>4829</v>
      </c>
      <c r="I16" s="639"/>
      <c r="J16" s="637">
        <v>163353</v>
      </c>
      <c r="K16" s="619">
        <v>0</v>
      </c>
      <c r="L16" s="625"/>
      <c r="M16" s="625">
        <v>0</v>
      </c>
      <c r="N16" s="625">
        <v>0</v>
      </c>
      <c r="O16" s="619">
        <v>0</v>
      </c>
      <c r="P16" s="619"/>
      <c r="Q16" s="625"/>
      <c r="R16" s="625"/>
      <c r="S16" s="621"/>
    </row>
    <row r="17" spans="1:19" ht="12.75">
      <c r="A17" s="475"/>
      <c r="B17" s="597" t="s">
        <v>759</v>
      </c>
      <c r="C17" s="651">
        <v>5804</v>
      </c>
      <c r="D17" s="653">
        <v>0</v>
      </c>
      <c r="E17" s="653">
        <v>7416</v>
      </c>
      <c r="F17" s="653">
        <v>0</v>
      </c>
      <c r="G17" s="653">
        <v>888</v>
      </c>
      <c r="H17" s="653">
        <v>1272</v>
      </c>
      <c r="I17" s="653">
        <v>0</v>
      </c>
      <c r="J17" s="651">
        <v>15380</v>
      </c>
      <c r="K17" s="619">
        <v>0</v>
      </c>
      <c r="L17" s="625">
        <v>0</v>
      </c>
      <c r="M17" s="625">
        <v>0</v>
      </c>
      <c r="N17" s="625">
        <v>0</v>
      </c>
      <c r="O17" s="619">
        <v>0</v>
      </c>
      <c r="P17" s="619">
        <v>0</v>
      </c>
      <c r="Q17" s="625">
        <v>0</v>
      </c>
      <c r="R17" s="625">
        <v>0</v>
      </c>
      <c r="S17" s="621">
        <v>0</v>
      </c>
    </row>
    <row r="18" spans="1:19" ht="12.75">
      <c r="A18" s="475"/>
      <c r="B18" s="597" t="s">
        <v>761</v>
      </c>
      <c r="C18" s="632">
        <v>386173</v>
      </c>
      <c r="D18" s="634"/>
      <c r="E18" s="634">
        <v>736205</v>
      </c>
      <c r="F18" s="634"/>
      <c r="G18" s="634">
        <v>345396</v>
      </c>
      <c r="H18" s="634">
        <v>165574</v>
      </c>
      <c r="I18" s="634"/>
      <c r="J18" s="632">
        <v>1633348</v>
      </c>
      <c r="K18" s="632">
        <v>149914</v>
      </c>
      <c r="L18" s="634"/>
      <c r="M18" s="634">
        <v>354163</v>
      </c>
      <c r="N18" s="634">
        <v>638474</v>
      </c>
      <c r="O18" s="632">
        <v>1142551</v>
      </c>
      <c r="P18" s="619"/>
      <c r="Q18" s="625"/>
      <c r="R18" s="625"/>
      <c r="S18" s="621"/>
    </row>
    <row r="19" spans="1:19" ht="12.75">
      <c r="A19" s="475"/>
      <c r="B19" s="597" t="s">
        <v>762</v>
      </c>
      <c r="C19" s="647">
        <v>2948</v>
      </c>
      <c r="D19" s="648">
        <v>0</v>
      </c>
      <c r="E19" s="648">
        <v>55972</v>
      </c>
      <c r="F19" s="648">
        <v>0</v>
      </c>
      <c r="G19" s="648">
        <v>10174</v>
      </c>
      <c r="H19" s="648">
        <v>8378</v>
      </c>
      <c r="I19" s="648">
        <v>0</v>
      </c>
      <c r="J19" s="647">
        <v>77472</v>
      </c>
      <c r="K19" s="647">
        <v>12521</v>
      </c>
      <c r="L19" s="648">
        <v>0</v>
      </c>
      <c r="M19" s="648">
        <v>43913</v>
      </c>
      <c r="N19" s="648">
        <v>68069</v>
      </c>
      <c r="O19" s="647">
        <v>124503</v>
      </c>
      <c r="P19" s="619">
        <v>0</v>
      </c>
      <c r="Q19" s="625">
        <v>0</v>
      </c>
      <c r="R19" s="625">
        <v>0</v>
      </c>
      <c r="S19" s="621">
        <v>0</v>
      </c>
    </row>
    <row r="20" spans="1:19" ht="12.75">
      <c r="A20" s="475"/>
      <c r="B20" s="597" t="s">
        <v>765</v>
      </c>
      <c r="C20" s="640">
        <v>67036</v>
      </c>
      <c r="D20" s="641"/>
      <c r="E20" s="641">
        <v>89440</v>
      </c>
      <c r="F20" s="641"/>
      <c r="G20" s="641">
        <v>23559</v>
      </c>
      <c r="H20" s="641">
        <v>5145</v>
      </c>
      <c r="I20" s="641"/>
      <c r="J20" s="640">
        <v>185180</v>
      </c>
      <c r="K20" s="619">
        <v>0</v>
      </c>
      <c r="L20" s="625"/>
      <c r="M20" s="625">
        <v>0</v>
      </c>
      <c r="N20" s="625">
        <v>0</v>
      </c>
      <c r="O20" s="619">
        <v>0</v>
      </c>
      <c r="P20" s="619"/>
      <c r="Q20" s="625"/>
      <c r="R20" s="625"/>
      <c r="S20" s="621"/>
    </row>
    <row r="21" spans="1:19" ht="12.75">
      <c r="A21" s="606"/>
      <c r="B21" s="597" t="s">
        <v>763</v>
      </c>
      <c r="C21" s="619">
        <v>6258</v>
      </c>
      <c r="D21" s="625">
        <v>0</v>
      </c>
      <c r="E21" s="625">
        <v>12307</v>
      </c>
      <c r="F21" s="625">
        <v>0</v>
      </c>
      <c r="G21" s="625">
        <v>1840</v>
      </c>
      <c r="H21" s="625">
        <v>2085</v>
      </c>
      <c r="I21" s="625">
        <v>0</v>
      </c>
      <c r="J21" s="619">
        <v>22490</v>
      </c>
      <c r="K21" s="619">
        <v>0</v>
      </c>
      <c r="L21" s="625">
        <v>0</v>
      </c>
      <c r="M21" s="625">
        <v>0</v>
      </c>
      <c r="N21" s="625">
        <v>0</v>
      </c>
      <c r="O21" s="619">
        <v>0</v>
      </c>
      <c r="P21" s="619">
        <v>0</v>
      </c>
      <c r="Q21" s="625">
        <v>0</v>
      </c>
      <c r="R21" s="625">
        <v>0</v>
      </c>
      <c r="S21" s="621">
        <v>0</v>
      </c>
    </row>
    <row r="22" spans="1:19" ht="12.75">
      <c r="A22" s="586" t="s">
        <v>234</v>
      </c>
      <c r="B22" s="577" t="s">
        <v>764</v>
      </c>
      <c r="C22" s="629">
        <v>505664</v>
      </c>
      <c r="D22" s="630"/>
      <c r="E22" s="630"/>
      <c r="F22" s="630">
        <v>0</v>
      </c>
      <c r="G22" s="630"/>
      <c r="H22" s="630"/>
      <c r="I22" s="630"/>
      <c r="J22" s="629">
        <v>505664</v>
      </c>
      <c r="K22" s="629"/>
      <c r="L22" s="630"/>
      <c r="M22" s="630">
        <v>233069</v>
      </c>
      <c r="N22" s="630">
        <v>51324</v>
      </c>
      <c r="O22" s="629">
        <v>284393</v>
      </c>
      <c r="P22" s="616"/>
      <c r="Q22" s="617"/>
      <c r="R22" s="617"/>
      <c r="S22" s="618"/>
    </row>
    <row r="23" spans="1:19" ht="12.75">
      <c r="A23" s="475"/>
      <c r="B23" s="597" t="s">
        <v>758</v>
      </c>
      <c r="C23" s="643">
        <v>10239</v>
      </c>
      <c r="D23" s="645">
        <v>0</v>
      </c>
      <c r="E23" s="645">
        <v>0</v>
      </c>
      <c r="F23" s="645">
        <v>0</v>
      </c>
      <c r="G23" s="645">
        <v>0</v>
      </c>
      <c r="H23" s="645">
        <v>0</v>
      </c>
      <c r="I23" s="645">
        <v>0</v>
      </c>
      <c r="J23" s="643">
        <v>10239</v>
      </c>
      <c r="K23" s="643">
        <v>0</v>
      </c>
      <c r="L23" s="645">
        <v>0</v>
      </c>
      <c r="M23" s="645">
        <v>20686</v>
      </c>
      <c r="N23" s="645">
        <v>6038</v>
      </c>
      <c r="O23" s="643">
        <v>26724</v>
      </c>
      <c r="P23" s="619">
        <v>0</v>
      </c>
      <c r="Q23" s="625">
        <v>0</v>
      </c>
      <c r="R23" s="625">
        <v>0</v>
      </c>
      <c r="S23" s="621">
        <v>0</v>
      </c>
    </row>
    <row r="24" spans="1:19" ht="12.75">
      <c r="A24" s="475"/>
      <c r="B24" s="597" t="s">
        <v>760</v>
      </c>
      <c r="C24" s="637">
        <v>58920</v>
      </c>
      <c r="D24" s="639"/>
      <c r="E24" s="639"/>
      <c r="F24" s="639">
        <v>0</v>
      </c>
      <c r="G24" s="639"/>
      <c r="H24" s="639"/>
      <c r="I24" s="639"/>
      <c r="J24" s="637">
        <v>58920</v>
      </c>
      <c r="K24" s="619"/>
      <c r="L24" s="625"/>
      <c r="M24" s="625">
        <v>0</v>
      </c>
      <c r="N24" s="625">
        <v>0</v>
      </c>
      <c r="O24" s="619">
        <v>0</v>
      </c>
      <c r="P24" s="619"/>
      <c r="Q24" s="625"/>
      <c r="R24" s="625"/>
      <c r="S24" s="621"/>
    </row>
    <row r="25" spans="1:19" ht="12.75">
      <c r="A25" s="475"/>
      <c r="B25" s="597" t="s">
        <v>759</v>
      </c>
      <c r="C25" s="651">
        <v>1617</v>
      </c>
      <c r="D25" s="653">
        <v>0</v>
      </c>
      <c r="E25" s="653">
        <v>0</v>
      </c>
      <c r="F25" s="653">
        <v>0</v>
      </c>
      <c r="G25" s="653">
        <v>0</v>
      </c>
      <c r="H25" s="653">
        <v>0</v>
      </c>
      <c r="I25" s="653">
        <v>0</v>
      </c>
      <c r="J25" s="651">
        <v>1617</v>
      </c>
      <c r="K25" s="619">
        <v>0</v>
      </c>
      <c r="L25" s="625">
        <v>0</v>
      </c>
      <c r="M25" s="625">
        <v>0</v>
      </c>
      <c r="N25" s="625">
        <v>0</v>
      </c>
      <c r="O25" s="619">
        <v>0</v>
      </c>
      <c r="P25" s="619">
        <v>0</v>
      </c>
      <c r="Q25" s="625">
        <v>0</v>
      </c>
      <c r="R25" s="625">
        <v>0</v>
      </c>
      <c r="S25" s="621">
        <v>0</v>
      </c>
    </row>
    <row r="26" spans="1:19" ht="12.75">
      <c r="A26" s="475"/>
      <c r="B26" s="597" t="s">
        <v>761</v>
      </c>
      <c r="C26" s="632">
        <v>505410</v>
      </c>
      <c r="D26" s="634"/>
      <c r="E26" s="634"/>
      <c r="F26" s="634">
        <v>0</v>
      </c>
      <c r="G26" s="634"/>
      <c r="H26" s="634"/>
      <c r="I26" s="634"/>
      <c r="J26" s="632">
        <v>505410</v>
      </c>
      <c r="K26" s="632"/>
      <c r="L26" s="634"/>
      <c r="M26" s="634">
        <v>224479</v>
      </c>
      <c r="N26" s="634">
        <v>50180</v>
      </c>
      <c r="O26" s="632">
        <v>274659</v>
      </c>
      <c r="P26" s="619"/>
      <c r="Q26" s="625"/>
      <c r="R26" s="625"/>
      <c r="S26" s="621"/>
    </row>
    <row r="27" spans="1:39" ht="12.75">
      <c r="A27" s="475"/>
      <c r="B27" s="597" t="s">
        <v>762</v>
      </c>
      <c r="C27" s="654">
        <v>1808</v>
      </c>
      <c r="D27" s="655">
        <v>0</v>
      </c>
      <c r="E27" s="655">
        <v>0</v>
      </c>
      <c r="F27" s="655">
        <v>0</v>
      </c>
      <c r="G27" s="655">
        <v>0</v>
      </c>
      <c r="H27" s="655">
        <v>0</v>
      </c>
      <c r="I27" s="655">
        <v>0</v>
      </c>
      <c r="J27" s="654">
        <v>1808</v>
      </c>
      <c r="K27" s="619">
        <v>0</v>
      </c>
      <c r="L27" s="625">
        <v>0</v>
      </c>
      <c r="M27" s="655">
        <v>19626</v>
      </c>
      <c r="N27" s="655">
        <v>6058</v>
      </c>
      <c r="O27" s="654">
        <v>25684</v>
      </c>
      <c r="P27" s="619">
        <v>0</v>
      </c>
      <c r="Q27" s="625">
        <v>0</v>
      </c>
      <c r="R27" s="625">
        <v>0</v>
      </c>
      <c r="S27" s="621">
        <v>0</v>
      </c>
      <c r="V27" s="577"/>
      <c r="W27" s="587"/>
      <c r="X27" s="588"/>
      <c r="Y27" s="588"/>
      <c r="Z27" s="588"/>
      <c r="AA27" s="588"/>
      <c r="AB27" s="588"/>
      <c r="AC27" s="588"/>
      <c r="AD27" s="587"/>
      <c r="AE27" s="587"/>
      <c r="AF27" s="588"/>
      <c r="AG27" s="588"/>
      <c r="AH27" s="588"/>
      <c r="AI27" s="587"/>
      <c r="AJ27" s="587"/>
      <c r="AK27" s="588"/>
      <c r="AL27" s="588"/>
      <c r="AM27" s="589"/>
    </row>
    <row r="28" spans="1:39" ht="12.75">
      <c r="A28" s="475"/>
      <c r="B28" s="597" t="s">
        <v>765</v>
      </c>
      <c r="C28" s="640">
        <v>58402</v>
      </c>
      <c r="D28" s="641"/>
      <c r="E28" s="641"/>
      <c r="F28" s="641">
        <v>0</v>
      </c>
      <c r="G28" s="641"/>
      <c r="H28" s="641"/>
      <c r="I28" s="641"/>
      <c r="J28" s="640">
        <v>58402</v>
      </c>
      <c r="K28" s="619"/>
      <c r="L28" s="625"/>
      <c r="M28" s="625">
        <v>0</v>
      </c>
      <c r="N28" s="625">
        <v>0</v>
      </c>
      <c r="O28" s="619">
        <v>0</v>
      </c>
      <c r="P28" s="619"/>
      <c r="Q28" s="625"/>
      <c r="R28" s="625"/>
      <c r="S28" s="621"/>
      <c r="V28" s="597"/>
      <c r="W28" s="598"/>
      <c r="X28" s="604"/>
      <c r="Y28" s="604"/>
      <c r="Z28" s="604"/>
      <c r="AA28" s="604"/>
      <c r="AB28" s="604"/>
      <c r="AC28" s="604"/>
      <c r="AD28" s="598"/>
      <c r="AE28" s="598"/>
      <c r="AF28" s="604"/>
      <c r="AG28" s="604"/>
      <c r="AH28" s="604"/>
      <c r="AI28" s="598"/>
      <c r="AJ28" s="598"/>
      <c r="AK28" s="604"/>
      <c r="AL28" s="604"/>
      <c r="AM28" s="599"/>
    </row>
    <row r="29" spans="1:39" ht="12.75">
      <c r="A29" s="606"/>
      <c r="B29" s="597" t="s">
        <v>763</v>
      </c>
      <c r="C29" s="619">
        <v>1269</v>
      </c>
      <c r="D29" s="625">
        <v>0</v>
      </c>
      <c r="E29" s="625">
        <v>0</v>
      </c>
      <c r="F29" s="625">
        <v>0</v>
      </c>
      <c r="G29" s="625">
        <v>0</v>
      </c>
      <c r="H29" s="625">
        <v>0</v>
      </c>
      <c r="I29" s="625">
        <v>0</v>
      </c>
      <c r="J29" s="619">
        <v>1269</v>
      </c>
      <c r="K29" s="619">
        <v>0</v>
      </c>
      <c r="L29" s="625">
        <v>0</v>
      </c>
      <c r="M29" s="625">
        <v>0</v>
      </c>
      <c r="N29" s="625">
        <v>0</v>
      </c>
      <c r="O29" s="619">
        <v>0</v>
      </c>
      <c r="P29" s="619">
        <v>0</v>
      </c>
      <c r="Q29" s="625">
        <v>0</v>
      </c>
      <c r="R29" s="625">
        <v>0</v>
      </c>
      <c r="S29" s="621">
        <v>0</v>
      </c>
      <c r="V29" s="600"/>
      <c r="W29" s="601"/>
      <c r="X29" s="602"/>
      <c r="Y29" s="602"/>
      <c r="Z29" s="602"/>
      <c r="AA29" s="602"/>
      <c r="AB29" s="602"/>
      <c r="AC29" s="602"/>
      <c r="AD29" s="601"/>
      <c r="AE29" s="601"/>
      <c r="AF29" s="602"/>
      <c r="AG29" s="602"/>
      <c r="AH29" s="602"/>
      <c r="AI29" s="601"/>
      <c r="AJ29" s="601"/>
      <c r="AK29" s="602"/>
      <c r="AL29" s="602"/>
      <c r="AM29" s="603"/>
    </row>
    <row r="30" spans="1:39" ht="12.75">
      <c r="A30" s="586" t="s">
        <v>235</v>
      </c>
      <c r="B30" s="577" t="s">
        <v>764</v>
      </c>
      <c r="C30" s="629">
        <v>2652661</v>
      </c>
      <c r="D30" s="630">
        <v>2154226.5</v>
      </c>
      <c r="E30" s="630">
        <v>828680.5</v>
      </c>
      <c r="F30" s="630"/>
      <c r="G30" s="630">
        <v>122029</v>
      </c>
      <c r="H30" s="630">
        <v>23536</v>
      </c>
      <c r="I30" s="630"/>
      <c r="J30" s="629">
        <v>5781133</v>
      </c>
      <c r="K30" s="629">
        <v>1878417</v>
      </c>
      <c r="L30" s="630">
        <v>4748718</v>
      </c>
      <c r="M30" s="630">
        <v>884738</v>
      </c>
      <c r="N30" s="630">
        <v>45990</v>
      </c>
      <c r="O30" s="629">
        <v>7557863</v>
      </c>
      <c r="P30" s="616"/>
      <c r="Q30" s="617"/>
      <c r="R30" s="617"/>
      <c r="S30" s="618"/>
      <c r="V30" s="597"/>
      <c r="W30" s="598"/>
      <c r="X30" s="604"/>
      <c r="Y30" s="604"/>
      <c r="Z30" s="604"/>
      <c r="AA30" s="604"/>
      <c r="AB30" s="604"/>
      <c r="AC30" s="604"/>
      <c r="AD30" s="598"/>
      <c r="AE30" s="598"/>
      <c r="AF30" s="604"/>
      <c r="AG30" s="604"/>
      <c r="AH30" s="604"/>
      <c r="AI30" s="598"/>
      <c r="AJ30" s="598"/>
      <c r="AK30" s="604"/>
      <c r="AL30" s="604"/>
      <c r="AM30" s="599"/>
    </row>
    <row r="31" spans="1:39" ht="12.75">
      <c r="A31" s="475"/>
      <c r="B31" s="597" t="s">
        <v>758</v>
      </c>
      <c r="C31" s="643">
        <v>346966</v>
      </c>
      <c r="D31" s="645">
        <v>212733</v>
      </c>
      <c r="E31" s="645">
        <v>15696</v>
      </c>
      <c r="F31" s="645">
        <v>0</v>
      </c>
      <c r="G31" s="645">
        <v>15757</v>
      </c>
      <c r="H31" s="645">
        <v>0</v>
      </c>
      <c r="I31" s="645">
        <v>0</v>
      </c>
      <c r="J31" s="643">
        <v>591152</v>
      </c>
      <c r="K31" s="643">
        <v>123439</v>
      </c>
      <c r="L31" s="645">
        <v>452323</v>
      </c>
      <c r="M31" s="645">
        <v>88974</v>
      </c>
      <c r="N31" s="645">
        <v>4442</v>
      </c>
      <c r="O31" s="643">
        <v>669178</v>
      </c>
      <c r="P31" s="619">
        <v>0</v>
      </c>
      <c r="Q31" s="625">
        <v>0</v>
      </c>
      <c r="R31" s="625">
        <v>0</v>
      </c>
      <c r="S31" s="621">
        <v>0</v>
      </c>
      <c r="V31" s="597"/>
      <c r="W31" s="598"/>
      <c r="X31" s="604"/>
      <c r="Y31" s="604"/>
      <c r="Z31" s="604"/>
      <c r="AA31" s="604"/>
      <c r="AB31" s="604"/>
      <c r="AC31" s="604"/>
      <c r="AD31" s="598"/>
      <c r="AE31" s="598"/>
      <c r="AF31" s="604"/>
      <c r="AG31" s="604"/>
      <c r="AH31" s="604"/>
      <c r="AI31" s="598"/>
      <c r="AJ31" s="598"/>
      <c r="AK31" s="604"/>
      <c r="AL31" s="604"/>
      <c r="AM31" s="599"/>
    </row>
    <row r="32" spans="1:39" ht="12.75">
      <c r="A32" s="475"/>
      <c r="B32" s="597" t="s">
        <v>760</v>
      </c>
      <c r="C32" s="637">
        <v>573049</v>
      </c>
      <c r="D32" s="639">
        <v>284695</v>
      </c>
      <c r="E32" s="639">
        <v>84691.5</v>
      </c>
      <c r="F32" s="639"/>
      <c r="G32" s="639">
        <v>14837</v>
      </c>
      <c r="H32" s="639">
        <v>0</v>
      </c>
      <c r="I32" s="639"/>
      <c r="J32" s="637">
        <v>957272.5</v>
      </c>
      <c r="K32" s="619">
        <v>0</v>
      </c>
      <c r="L32" s="625">
        <v>0</v>
      </c>
      <c r="M32" s="625">
        <v>0</v>
      </c>
      <c r="N32" s="625">
        <v>0</v>
      </c>
      <c r="O32" s="619">
        <v>0</v>
      </c>
      <c r="P32" s="619"/>
      <c r="Q32" s="625"/>
      <c r="R32" s="625"/>
      <c r="S32" s="621"/>
      <c r="V32" s="600"/>
      <c r="W32" s="601"/>
      <c r="X32" s="602"/>
      <c r="Y32" s="602"/>
      <c r="Z32" s="602"/>
      <c r="AA32" s="602"/>
      <c r="AB32" s="602"/>
      <c r="AC32" s="602"/>
      <c r="AD32" s="601"/>
      <c r="AE32" s="601"/>
      <c r="AF32" s="602"/>
      <c r="AG32" s="602"/>
      <c r="AH32" s="602"/>
      <c r="AI32" s="601"/>
      <c r="AJ32" s="601"/>
      <c r="AK32" s="602"/>
      <c r="AL32" s="602"/>
      <c r="AM32" s="603"/>
    </row>
    <row r="33" spans="1:39" ht="12.75">
      <c r="A33" s="475"/>
      <c r="B33" s="597" t="s">
        <v>759</v>
      </c>
      <c r="C33" s="651">
        <v>70252</v>
      </c>
      <c r="D33" s="653">
        <v>52811</v>
      </c>
      <c r="E33" s="653">
        <v>2525</v>
      </c>
      <c r="F33" s="653">
        <v>0</v>
      </c>
      <c r="G33" s="653">
        <v>3894</v>
      </c>
      <c r="H33" s="653">
        <v>0</v>
      </c>
      <c r="I33" s="653">
        <v>0</v>
      </c>
      <c r="J33" s="651">
        <v>129482</v>
      </c>
      <c r="K33" s="619">
        <v>0</v>
      </c>
      <c r="L33" s="625">
        <v>0</v>
      </c>
      <c r="M33" s="625">
        <v>0</v>
      </c>
      <c r="N33" s="625">
        <v>0</v>
      </c>
      <c r="O33" s="619">
        <v>0</v>
      </c>
      <c r="P33" s="619">
        <v>0</v>
      </c>
      <c r="Q33" s="625">
        <v>0</v>
      </c>
      <c r="R33" s="625">
        <v>0</v>
      </c>
      <c r="S33" s="621">
        <v>0</v>
      </c>
      <c r="V33" s="597"/>
      <c r="W33" s="598"/>
      <c r="X33" s="604"/>
      <c r="Y33" s="604"/>
      <c r="Z33" s="604"/>
      <c r="AA33" s="604"/>
      <c r="AB33" s="604"/>
      <c r="AC33" s="604"/>
      <c r="AD33" s="598"/>
      <c r="AE33" s="598"/>
      <c r="AF33" s="604"/>
      <c r="AG33" s="604"/>
      <c r="AH33" s="604"/>
      <c r="AI33" s="598"/>
      <c r="AJ33" s="598"/>
      <c r="AK33" s="604"/>
      <c r="AL33" s="604"/>
      <c r="AM33" s="599"/>
    </row>
    <row r="34" spans="1:39" ht="12.75">
      <c r="A34" s="475"/>
      <c r="B34" s="597" t="s">
        <v>761</v>
      </c>
      <c r="C34" s="632">
        <v>2743005</v>
      </c>
      <c r="D34" s="634">
        <v>2260281</v>
      </c>
      <c r="E34" s="634">
        <v>847141</v>
      </c>
      <c r="F34" s="634"/>
      <c r="G34" s="634">
        <v>142576</v>
      </c>
      <c r="H34" s="634">
        <v>25296</v>
      </c>
      <c r="I34" s="634"/>
      <c r="J34" s="632">
        <v>6018299</v>
      </c>
      <c r="K34" s="632">
        <v>1820454</v>
      </c>
      <c r="L34" s="634">
        <v>4685767</v>
      </c>
      <c r="M34" s="634">
        <v>869153</v>
      </c>
      <c r="N34" s="634">
        <v>45694</v>
      </c>
      <c r="O34" s="632">
        <v>7421068</v>
      </c>
      <c r="P34" s="619"/>
      <c r="Q34" s="625"/>
      <c r="R34" s="625"/>
      <c r="S34" s="621"/>
      <c r="V34" s="597"/>
      <c r="W34" s="598"/>
      <c r="X34" s="604"/>
      <c r="Y34" s="604"/>
      <c r="Z34" s="604"/>
      <c r="AA34" s="604"/>
      <c r="AB34" s="604"/>
      <c r="AC34" s="604"/>
      <c r="AD34" s="598"/>
      <c r="AE34" s="598"/>
      <c r="AF34" s="604"/>
      <c r="AG34" s="604"/>
      <c r="AH34" s="604"/>
      <c r="AI34" s="598"/>
      <c r="AJ34" s="598"/>
      <c r="AK34" s="604"/>
      <c r="AL34" s="604"/>
      <c r="AM34" s="599"/>
    </row>
    <row r="35" spans="1:39" ht="12.75">
      <c r="A35" s="475"/>
      <c r="B35" s="597" t="s">
        <v>762</v>
      </c>
      <c r="C35" s="647">
        <v>371591</v>
      </c>
      <c r="D35" s="648">
        <v>276633</v>
      </c>
      <c r="E35" s="648">
        <v>23554</v>
      </c>
      <c r="F35" s="648">
        <v>0</v>
      </c>
      <c r="G35" s="648">
        <v>19169</v>
      </c>
      <c r="H35" s="648">
        <v>0</v>
      </c>
      <c r="I35" s="648">
        <v>0</v>
      </c>
      <c r="J35" s="647">
        <v>690947</v>
      </c>
      <c r="K35" s="647">
        <v>156806</v>
      </c>
      <c r="L35" s="648">
        <v>452521</v>
      </c>
      <c r="M35" s="648">
        <v>100377</v>
      </c>
      <c r="N35" s="648">
        <v>4031</v>
      </c>
      <c r="O35" s="647">
        <v>713735</v>
      </c>
      <c r="P35" s="619">
        <v>0</v>
      </c>
      <c r="Q35" s="625">
        <v>0</v>
      </c>
      <c r="R35" s="625">
        <v>0</v>
      </c>
      <c r="S35" s="621">
        <v>0</v>
      </c>
      <c r="V35" s="600"/>
      <c r="W35" s="601"/>
      <c r="X35" s="602"/>
      <c r="Y35" s="602"/>
      <c r="Z35" s="602"/>
      <c r="AA35" s="602"/>
      <c r="AB35" s="602"/>
      <c r="AC35" s="602"/>
      <c r="AD35" s="601"/>
      <c r="AE35" s="601"/>
      <c r="AF35" s="602"/>
      <c r="AG35" s="602"/>
      <c r="AH35" s="602"/>
      <c r="AI35" s="601"/>
      <c r="AJ35" s="601"/>
      <c r="AK35" s="602"/>
      <c r="AL35" s="602"/>
      <c r="AM35" s="603"/>
    </row>
    <row r="36" spans="1:39" ht="12.75">
      <c r="A36" s="475"/>
      <c r="B36" s="597" t="s">
        <v>765</v>
      </c>
      <c r="C36" s="640">
        <v>587422</v>
      </c>
      <c r="D36" s="641">
        <v>291215</v>
      </c>
      <c r="E36" s="641">
        <v>85343</v>
      </c>
      <c r="F36" s="641"/>
      <c r="G36" s="641">
        <v>15068</v>
      </c>
      <c r="H36" s="641">
        <v>0</v>
      </c>
      <c r="I36" s="641"/>
      <c r="J36" s="640">
        <v>979048</v>
      </c>
      <c r="K36" s="619">
        <v>0</v>
      </c>
      <c r="L36" s="625">
        <v>0</v>
      </c>
      <c r="M36" s="625">
        <v>0</v>
      </c>
      <c r="N36" s="625">
        <v>0</v>
      </c>
      <c r="O36" s="619">
        <v>0</v>
      </c>
      <c r="P36" s="619"/>
      <c r="Q36" s="625"/>
      <c r="R36" s="625"/>
      <c r="S36" s="621"/>
      <c r="V36" s="597"/>
      <c r="W36" s="598"/>
      <c r="X36" s="604"/>
      <c r="Y36" s="604"/>
      <c r="Z36" s="604"/>
      <c r="AA36" s="604"/>
      <c r="AB36" s="604"/>
      <c r="AC36" s="604"/>
      <c r="AD36" s="598"/>
      <c r="AE36" s="598"/>
      <c r="AF36" s="604"/>
      <c r="AG36" s="604"/>
      <c r="AH36" s="604"/>
      <c r="AI36" s="598"/>
      <c r="AJ36" s="598"/>
      <c r="AK36" s="604"/>
      <c r="AL36" s="604"/>
      <c r="AM36" s="599"/>
    </row>
    <row r="37" spans="1:39" ht="12.75">
      <c r="A37" s="606"/>
      <c r="B37" s="597" t="s">
        <v>763</v>
      </c>
      <c r="C37" s="619">
        <v>69013</v>
      </c>
      <c r="D37" s="625">
        <v>53419</v>
      </c>
      <c r="E37" s="625">
        <v>5111</v>
      </c>
      <c r="F37" s="625">
        <v>0</v>
      </c>
      <c r="G37" s="625">
        <v>4458</v>
      </c>
      <c r="H37" s="625">
        <v>0</v>
      </c>
      <c r="I37" s="625">
        <v>0</v>
      </c>
      <c r="J37" s="619">
        <v>132001</v>
      </c>
      <c r="K37" s="619">
        <v>0</v>
      </c>
      <c r="L37" s="625">
        <v>0</v>
      </c>
      <c r="M37" s="625">
        <v>0</v>
      </c>
      <c r="N37" s="625">
        <v>0</v>
      </c>
      <c r="O37" s="619">
        <v>0</v>
      </c>
      <c r="P37" s="619">
        <v>0</v>
      </c>
      <c r="Q37" s="625">
        <v>0</v>
      </c>
      <c r="R37" s="625">
        <v>0</v>
      </c>
      <c r="S37" s="621">
        <v>0</v>
      </c>
      <c r="V37" s="597"/>
      <c r="W37" s="598"/>
      <c r="X37" s="604"/>
      <c r="Y37" s="604"/>
      <c r="Z37" s="604"/>
      <c r="AA37" s="604"/>
      <c r="AB37" s="604"/>
      <c r="AC37" s="604"/>
      <c r="AD37" s="598"/>
      <c r="AE37" s="598"/>
      <c r="AF37" s="604"/>
      <c r="AG37" s="604"/>
      <c r="AH37" s="604"/>
      <c r="AI37" s="598"/>
      <c r="AJ37" s="598"/>
      <c r="AK37" s="604"/>
      <c r="AL37" s="604"/>
      <c r="AM37" s="599"/>
    </row>
    <row r="38" spans="1:39" ht="12.75">
      <c r="A38" s="586" t="s">
        <v>274</v>
      </c>
      <c r="B38" s="577" t="s">
        <v>764</v>
      </c>
      <c r="C38" s="629">
        <v>1257401</v>
      </c>
      <c r="D38" s="630">
        <v>344402</v>
      </c>
      <c r="E38" s="630">
        <v>879149</v>
      </c>
      <c r="F38" s="630">
        <v>932804</v>
      </c>
      <c r="G38" s="630">
        <v>459703</v>
      </c>
      <c r="H38" s="630">
        <v>142234</v>
      </c>
      <c r="I38" s="630">
        <v>9568</v>
      </c>
      <c r="J38" s="629">
        <v>4025261</v>
      </c>
      <c r="K38" s="629">
        <v>208105</v>
      </c>
      <c r="L38" s="630">
        <v>470768</v>
      </c>
      <c r="M38" s="630">
        <v>533496</v>
      </c>
      <c r="N38" s="630">
        <v>247972</v>
      </c>
      <c r="O38" s="629">
        <v>1460341</v>
      </c>
      <c r="P38" s="629">
        <v>3224409.2</v>
      </c>
      <c r="Q38" s="630">
        <v>96457</v>
      </c>
      <c r="R38" s="630"/>
      <c r="S38" s="631">
        <v>3320866.2</v>
      </c>
      <c r="V38" s="600"/>
      <c r="W38" s="601"/>
      <c r="X38" s="602"/>
      <c r="Y38" s="602"/>
      <c r="Z38" s="602"/>
      <c r="AA38" s="602"/>
      <c r="AB38" s="602"/>
      <c r="AC38" s="602"/>
      <c r="AD38" s="601"/>
      <c r="AE38" s="601"/>
      <c r="AF38" s="602"/>
      <c r="AG38" s="602"/>
      <c r="AH38" s="602"/>
      <c r="AI38" s="601"/>
      <c r="AJ38" s="601"/>
      <c r="AK38" s="602"/>
      <c r="AL38" s="602"/>
      <c r="AM38" s="603"/>
    </row>
    <row r="39" spans="1:39" ht="12.75">
      <c r="A39" s="475"/>
      <c r="B39" s="597" t="s">
        <v>758</v>
      </c>
      <c r="C39" s="643">
        <v>2073</v>
      </c>
      <c r="D39" s="645">
        <v>3036</v>
      </c>
      <c r="E39" s="645">
        <v>25266</v>
      </c>
      <c r="F39" s="645">
        <v>19752</v>
      </c>
      <c r="G39" s="645">
        <v>11048</v>
      </c>
      <c r="H39" s="645">
        <v>17377</v>
      </c>
      <c r="I39" s="645">
        <v>164</v>
      </c>
      <c r="J39" s="643">
        <v>78716</v>
      </c>
      <c r="K39" s="643">
        <v>8188</v>
      </c>
      <c r="L39" s="645">
        <v>23368</v>
      </c>
      <c r="M39" s="645">
        <v>25124</v>
      </c>
      <c r="N39" s="645">
        <v>6447</v>
      </c>
      <c r="O39" s="643">
        <v>63127</v>
      </c>
      <c r="P39" s="643">
        <v>361418</v>
      </c>
      <c r="Q39" s="645">
        <v>10995</v>
      </c>
      <c r="R39" s="645">
        <v>0</v>
      </c>
      <c r="S39" s="646">
        <v>372413</v>
      </c>
      <c r="V39" s="597"/>
      <c r="W39" s="598"/>
      <c r="X39" s="604"/>
      <c r="Y39" s="604"/>
      <c r="Z39" s="604"/>
      <c r="AA39" s="604"/>
      <c r="AB39" s="604"/>
      <c r="AC39" s="604"/>
      <c r="AD39" s="598"/>
      <c r="AE39" s="598"/>
      <c r="AF39" s="604"/>
      <c r="AG39" s="604"/>
      <c r="AH39" s="604"/>
      <c r="AI39" s="598"/>
      <c r="AJ39" s="598"/>
      <c r="AK39" s="604"/>
      <c r="AL39" s="604"/>
      <c r="AM39" s="599"/>
    </row>
    <row r="40" spans="1:39" ht="12.75">
      <c r="A40" s="475"/>
      <c r="B40" s="597" t="s">
        <v>760</v>
      </c>
      <c r="C40" s="637">
        <v>391685</v>
      </c>
      <c r="D40" s="639">
        <v>189510</v>
      </c>
      <c r="E40" s="639">
        <v>85250</v>
      </c>
      <c r="F40" s="639">
        <v>89387</v>
      </c>
      <c r="G40" s="639">
        <v>30427</v>
      </c>
      <c r="H40" s="639">
        <v>0</v>
      </c>
      <c r="I40" s="639">
        <v>0</v>
      </c>
      <c r="J40" s="637">
        <v>786259</v>
      </c>
      <c r="K40" s="619">
        <v>0</v>
      </c>
      <c r="L40" s="625">
        <v>0</v>
      </c>
      <c r="M40" s="625">
        <v>0</v>
      </c>
      <c r="N40" s="625">
        <v>0</v>
      </c>
      <c r="O40" s="619">
        <v>0</v>
      </c>
      <c r="P40" s="619">
        <v>0</v>
      </c>
      <c r="Q40" s="625">
        <v>0</v>
      </c>
      <c r="R40" s="625"/>
      <c r="S40" s="621">
        <v>0</v>
      </c>
      <c r="V40" s="597"/>
      <c r="W40" s="598"/>
      <c r="X40" s="604"/>
      <c r="Y40" s="604"/>
      <c r="Z40" s="604"/>
      <c r="AA40" s="604"/>
      <c r="AB40" s="604"/>
      <c r="AC40" s="604"/>
      <c r="AD40" s="598"/>
      <c r="AE40" s="598"/>
      <c r="AF40" s="604"/>
      <c r="AG40" s="604"/>
      <c r="AH40" s="604"/>
      <c r="AI40" s="598"/>
      <c r="AJ40" s="598"/>
      <c r="AK40" s="604"/>
      <c r="AL40" s="604"/>
      <c r="AM40" s="599"/>
    </row>
    <row r="41" spans="1:39" ht="12.75">
      <c r="A41" s="475"/>
      <c r="B41" s="597" t="s">
        <v>759</v>
      </c>
      <c r="C41" s="651">
        <v>12332</v>
      </c>
      <c r="D41" s="653">
        <v>3215</v>
      </c>
      <c r="E41" s="653">
        <v>19582</v>
      </c>
      <c r="F41" s="653">
        <v>8321</v>
      </c>
      <c r="G41" s="653">
        <v>2165</v>
      </c>
      <c r="H41" s="653">
        <v>0</v>
      </c>
      <c r="I41" s="653">
        <v>0</v>
      </c>
      <c r="J41" s="651">
        <v>45615</v>
      </c>
      <c r="K41" s="619">
        <v>0</v>
      </c>
      <c r="L41" s="625">
        <v>0</v>
      </c>
      <c r="M41" s="625">
        <v>0</v>
      </c>
      <c r="N41" s="625">
        <v>0</v>
      </c>
      <c r="O41" s="619">
        <v>0</v>
      </c>
      <c r="P41" s="619">
        <v>0</v>
      </c>
      <c r="Q41" s="625">
        <v>0</v>
      </c>
      <c r="R41" s="625">
        <v>0</v>
      </c>
      <c r="S41" s="621">
        <v>0</v>
      </c>
      <c r="V41" s="600"/>
      <c r="W41" s="601"/>
      <c r="X41" s="602"/>
      <c r="Y41" s="602"/>
      <c r="Z41" s="602"/>
      <c r="AA41" s="602"/>
      <c r="AB41" s="602"/>
      <c r="AC41" s="602"/>
      <c r="AD41" s="601"/>
      <c r="AE41" s="601"/>
      <c r="AF41" s="602"/>
      <c r="AG41" s="602"/>
      <c r="AH41" s="602"/>
      <c r="AI41" s="601"/>
      <c r="AJ41" s="601"/>
      <c r="AK41" s="602"/>
      <c r="AL41" s="602"/>
      <c r="AM41" s="603"/>
    </row>
    <row r="42" spans="1:39" s="583" customFormat="1" ht="12.75">
      <c r="A42" s="475"/>
      <c r="B42" s="597" t="s">
        <v>761</v>
      </c>
      <c r="C42" s="632">
        <v>1237554.54</v>
      </c>
      <c r="D42" s="634">
        <v>356262</v>
      </c>
      <c r="E42" s="634">
        <v>897397.4</v>
      </c>
      <c r="F42" s="634">
        <v>957889.5</v>
      </c>
      <c r="G42" s="634">
        <v>463710.82</v>
      </c>
      <c r="H42" s="634">
        <v>146415.35</v>
      </c>
      <c r="I42" s="634">
        <v>11250</v>
      </c>
      <c r="J42" s="632">
        <v>4070479.61</v>
      </c>
      <c r="K42" s="632">
        <v>222570</v>
      </c>
      <c r="L42" s="634">
        <v>465171.1</v>
      </c>
      <c r="M42" s="634">
        <v>557825.18</v>
      </c>
      <c r="N42" s="634">
        <v>252395</v>
      </c>
      <c r="O42" s="632">
        <v>1497961.28</v>
      </c>
      <c r="P42" s="632">
        <v>3090659.5</v>
      </c>
      <c r="Q42" s="634">
        <v>96220</v>
      </c>
      <c r="R42" s="634"/>
      <c r="S42" s="635">
        <v>3186879.5</v>
      </c>
      <c r="T42" s="580"/>
      <c r="U42" s="580"/>
      <c r="V42" s="597"/>
      <c r="W42" s="598"/>
      <c r="X42" s="604"/>
      <c r="Y42" s="604"/>
      <c r="Z42" s="604"/>
      <c r="AA42" s="604"/>
      <c r="AB42" s="604"/>
      <c r="AC42" s="604"/>
      <c r="AD42" s="598"/>
      <c r="AE42" s="598"/>
      <c r="AF42" s="604"/>
      <c r="AG42" s="604"/>
      <c r="AH42" s="604"/>
      <c r="AI42" s="598"/>
      <c r="AJ42" s="598"/>
      <c r="AK42" s="604"/>
      <c r="AL42" s="604"/>
      <c r="AM42" s="599"/>
    </row>
    <row r="43" spans="1:39" ht="12.75">
      <c r="A43" s="475"/>
      <c r="B43" s="597" t="s">
        <v>762</v>
      </c>
      <c r="C43" s="647">
        <v>2470.54</v>
      </c>
      <c r="D43" s="648">
        <v>2946</v>
      </c>
      <c r="E43" s="648">
        <v>23158.95</v>
      </c>
      <c r="F43" s="648">
        <v>22828.5</v>
      </c>
      <c r="G43" s="648">
        <v>14490.97</v>
      </c>
      <c r="H43" s="648">
        <v>14666.85</v>
      </c>
      <c r="I43" s="648">
        <v>146</v>
      </c>
      <c r="J43" s="647">
        <v>80707.81</v>
      </c>
      <c r="K43" s="647">
        <v>13086</v>
      </c>
      <c r="L43" s="648">
        <v>28921.1</v>
      </c>
      <c r="M43" s="648">
        <v>32043.18</v>
      </c>
      <c r="N43" s="648">
        <v>8997</v>
      </c>
      <c r="O43" s="647">
        <v>83047.28</v>
      </c>
      <c r="P43" s="647">
        <v>455695</v>
      </c>
      <c r="Q43" s="648">
        <v>11939</v>
      </c>
      <c r="R43" s="648">
        <v>0</v>
      </c>
      <c r="S43" s="649">
        <v>467634</v>
      </c>
      <c r="V43" s="597"/>
      <c r="W43" s="598"/>
      <c r="X43" s="604"/>
      <c r="Y43" s="604"/>
      <c r="Z43" s="604"/>
      <c r="AA43" s="604"/>
      <c r="AB43" s="604"/>
      <c r="AC43" s="604"/>
      <c r="AD43" s="598"/>
      <c r="AE43" s="598"/>
      <c r="AF43" s="604"/>
      <c r="AG43" s="604"/>
      <c r="AH43" s="604"/>
      <c r="AI43" s="598"/>
      <c r="AJ43" s="598"/>
      <c r="AK43" s="604"/>
      <c r="AL43" s="604"/>
      <c r="AM43" s="599"/>
    </row>
    <row r="44" spans="1:39" ht="12.75">
      <c r="A44" s="475"/>
      <c r="B44" s="597" t="s">
        <v>765</v>
      </c>
      <c r="C44" s="640">
        <v>392070.2</v>
      </c>
      <c r="D44" s="641">
        <v>185879.8</v>
      </c>
      <c r="E44" s="641">
        <v>80182</v>
      </c>
      <c r="F44" s="641">
        <v>85009</v>
      </c>
      <c r="G44" s="641">
        <v>30099</v>
      </c>
      <c r="H44" s="641">
        <v>0</v>
      </c>
      <c r="I44" s="641">
        <v>0</v>
      </c>
      <c r="J44" s="640">
        <v>773240</v>
      </c>
      <c r="K44" s="619">
        <v>0</v>
      </c>
      <c r="L44" s="625">
        <v>0</v>
      </c>
      <c r="M44" s="625">
        <v>0</v>
      </c>
      <c r="N44" s="625">
        <v>0</v>
      </c>
      <c r="O44" s="619">
        <v>0</v>
      </c>
      <c r="P44" s="619">
        <v>0</v>
      </c>
      <c r="Q44" s="625">
        <v>0</v>
      </c>
      <c r="R44" s="625"/>
      <c r="S44" s="621">
        <v>0</v>
      </c>
      <c r="V44" s="600"/>
      <c r="W44" s="601"/>
      <c r="X44" s="602"/>
      <c r="Y44" s="602"/>
      <c r="Z44" s="602"/>
      <c r="AA44" s="602"/>
      <c r="AB44" s="602"/>
      <c r="AC44" s="602"/>
      <c r="AD44" s="601"/>
      <c r="AE44" s="601"/>
      <c r="AF44" s="602"/>
      <c r="AG44" s="602"/>
      <c r="AH44" s="602"/>
      <c r="AI44" s="601"/>
      <c r="AJ44" s="601"/>
      <c r="AK44" s="602"/>
      <c r="AL44" s="602"/>
      <c r="AM44" s="603"/>
    </row>
    <row r="45" spans="1:39" ht="12.75">
      <c r="A45" s="606"/>
      <c r="B45" s="597" t="s">
        <v>763</v>
      </c>
      <c r="C45" s="619">
        <v>13407.5</v>
      </c>
      <c r="D45" s="625">
        <v>2996</v>
      </c>
      <c r="E45" s="625">
        <v>21893</v>
      </c>
      <c r="F45" s="625">
        <v>7738</v>
      </c>
      <c r="G45" s="625">
        <v>1865.4</v>
      </c>
      <c r="H45" s="625">
        <v>0</v>
      </c>
      <c r="I45" s="625">
        <v>0</v>
      </c>
      <c r="J45" s="619">
        <v>47899.9</v>
      </c>
      <c r="K45" s="619">
        <v>0</v>
      </c>
      <c r="L45" s="625">
        <v>0</v>
      </c>
      <c r="M45" s="625">
        <v>0</v>
      </c>
      <c r="N45" s="625">
        <v>0</v>
      </c>
      <c r="O45" s="619">
        <v>0</v>
      </c>
      <c r="P45" s="619">
        <v>0</v>
      </c>
      <c r="Q45" s="625">
        <v>0</v>
      </c>
      <c r="R45" s="625">
        <v>0</v>
      </c>
      <c r="S45" s="621">
        <v>0</v>
      </c>
      <c r="V45" s="597"/>
      <c r="W45" s="598"/>
      <c r="X45" s="604"/>
      <c r="Y45" s="604"/>
      <c r="Z45" s="604"/>
      <c r="AA45" s="604"/>
      <c r="AB45" s="604"/>
      <c r="AC45" s="604"/>
      <c r="AD45" s="598"/>
      <c r="AE45" s="598"/>
      <c r="AF45" s="604"/>
      <c r="AG45" s="604"/>
      <c r="AH45" s="604"/>
      <c r="AI45" s="598"/>
      <c r="AJ45" s="598"/>
      <c r="AK45" s="604"/>
      <c r="AL45" s="604"/>
      <c r="AM45" s="599"/>
    </row>
    <row r="46" spans="1:39" ht="12.75">
      <c r="A46" s="586" t="s">
        <v>335</v>
      </c>
      <c r="B46" s="577" t="s">
        <v>764</v>
      </c>
      <c r="C46" s="629">
        <v>502699</v>
      </c>
      <c r="D46" s="630">
        <v>366017</v>
      </c>
      <c r="E46" s="630">
        <v>1014647.5</v>
      </c>
      <c r="F46" s="630">
        <v>512855</v>
      </c>
      <c r="G46" s="630">
        <v>58083.5</v>
      </c>
      <c r="H46" s="630"/>
      <c r="I46" s="630"/>
      <c r="J46" s="629">
        <v>2454302</v>
      </c>
      <c r="K46" s="629"/>
      <c r="L46" s="630">
        <v>475469</v>
      </c>
      <c r="M46" s="630">
        <v>718327.6</v>
      </c>
      <c r="N46" s="630">
        <v>134796</v>
      </c>
      <c r="O46" s="629">
        <v>1328592.6</v>
      </c>
      <c r="P46" s="629">
        <v>34532.4</v>
      </c>
      <c r="Q46" s="630">
        <v>27334.2</v>
      </c>
      <c r="R46" s="630"/>
      <c r="S46" s="631">
        <v>61866.6</v>
      </c>
      <c r="V46" s="597"/>
      <c r="W46" s="598"/>
      <c r="X46" s="604"/>
      <c r="Y46" s="604"/>
      <c r="Z46" s="604"/>
      <c r="AA46" s="604"/>
      <c r="AB46" s="604"/>
      <c r="AC46" s="604"/>
      <c r="AD46" s="598"/>
      <c r="AE46" s="598"/>
      <c r="AF46" s="604"/>
      <c r="AG46" s="604"/>
      <c r="AH46" s="604"/>
      <c r="AI46" s="598"/>
      <c r="AJ46" s="598"/>
      <c r="AK46" s="604"/>
      <c r="AL46" s="604"/>
      <c r="AM46" s="599"/>
    </row>
    <row r="47" spans="1:39" ht="12.75">
      <c r="A47" s="475"/>
      <c r="B47" s="597" t="s">
        <v>758</v>
      </c>
      <c r="C47" s="643">
        <v>7967</v>
      </c>
      <c r="D47" s="645">
        <v>129908</v>
      </c>
      <c r="E47" s="645">
        <v>42407</v>
      </c>
      <c r="F47" s="645">
        <v>15884</v>
      </c>
      <c r="G47" s="645">
        <v>5343</v>
      </c>
      <c r="H47" s="645">
        <v>0</v>
      </c>
      <c r="I47" s="645">
        <v>0</v>
      </c>
      <c r="J47" s="643">
        <v>201509</v>
      </c>
      <c r="K47" s="643">
        <v>0</v>
      </c>
      <c r="L47" s="645">
        <v>135088</v>
      </c>
      <c r="M47" s="645">
        <v>93323</v>
      </c>
      <c r="N47" s="645">
        <v>32533</v>
      </c>
      <c r="O47" s="643">
        <v>260944</v>
      </c>
      <c r="P47" s="643">
        <v>2379</v>
      </c>
      <c r="Q47" s="645">
        <v>1079</v>
      </c>
      <c r="R47" s="645">
        <v>0</v>
      </c>
      <c r="S47" s="646">
        <v>3458</v>
      </c>
      <c r="V47" s="600"/>
      <c r="W47" s="601"/>
      <c r="X47" s="602"/>
      <c r="Y47" s="602"/>
      <c r="Z47" s="602"/>
      <c r="AA47" s="602"/>
      <c r="AB47" s="602"/>
      <c r="AC47" s="602"/>
      <c r="AD47" s="601"/>
      <c r="AE47" s="601"/>
      <c r="AF47" s="602"/>
      <c r="AG47" s="602"/>
      <c r="AH47" s="602"/>
      <c r="AI47" s="601"/>
      <c r="AJ47" s="601"/>
      <c r="AK47" s="602"/>
      <c r="AL47" s="602"/>
      <c r="AM47" s="603"/>
    </row>
    <row r="48" spans="1:39" ht="12.75">
      <c r="A48" s="475"/>
      <c r="B48" s="597" t="s">
        <v>760</v>
      </c>
      <c r="C48" s="637">
        <v>88952</v>
      </c>
      <c r="D48" s="639">
        <v>83594</v>
      </c>
      <c r="E48" s="639">
        <v>112027</v>
      </c>
      <c r="F48" s="639">
        <v>55084.5</v>
      </c>
      <c r="G48" s="639">
        <v>2332</v>
      </c>
      <c r="H48" s="639"/>
      <c r="I48" s="639"/>
      <c r="J48" s="637">
        <v>341989.5</v>
      </c>
      <c r="K48" s="619"/>
      <c r="L48" s="625">
        <v>0</v>
      </c>
      <c r="M48" s="625">
        <v>0</v>
      </c>
      <c r="N48" s="625">
        <v>0</v>
      </c>
      <c r="O48" s="619">
        <v>0</v>
      </c>
      <c r="P48" s="619">
        <v>0</v>
      </c>
      <c r="Q48" s="625">
        <v>0</v>
      </c>
      <c r="R48" s="625"/>
      <c r="S48" s="621">
        <v>0</v>
      </c>
      <c r="V48" s="597"/>
      <c r="W48" s="598"/>
      <c r="X48" s="604"/>
      <c r="Y48" s="604"/>
      <c r="Z48" s="604"/>
      <c r="AA48" s="604"/>
      <c r="AB48" s="604"/>
      <c r="AC48" s="604"/>
      <c r="AD48" s="598"/>
      <c r="AE48" s="598"/>
      <c r="AF48" s="604"/>
      <c r="AG48" s="604"/>
      <c r="AH48" s="604"/>
      <c r="AI48" s="598"/>
      <c r="AJ48" s="598"/>
      <c r="AK48" s="604"/>
      <c r="AL48" s="604"/>
      <c r="AM48" s="599"/>
    </row>
    <row r="49" spans="1:39" ht="12.75">
      <c r="A49" s="475"/>
      <c r="B49" s="597" t="s">
        <v>759</v>
      </c>
      <c r="C49" s="651">
        <v>3999</v>
      </c>
      <c r="D49" s="653">
        <v>20625.5</v>
      </c>
      <c r="E49" s="653">
        <v>22642</v>
      </c>
      <c r="F49" s="653">
        <v>7583</v>
      </c>
      <c r="G49" s="653">
        <v>90</v>
      </c>
      <c r="H49" s="653">
        <v>0</v>
      </c>
      <c r="I49" s="653">
        <v>0</v>
      </c>
      <c r="J49" s="651">
        <v>54939.5</v>
      </c>
      <c r="K49" s="619">
        <v>0</v>
      </c>
      <c r="L49" s="625">
        <v>0</v>
      </c>
      <c r="M49" s="625">
        <v>0</v>
      </c>
      <c r="N49" s="625">
        <v>0</v>
      </c>
      <c r="O49" s="619">
        <v>0</v>
      </c>
      <c r="P49" s="619">
        <v>0</v>
      </c>
      <c r="Q49" s="625">
        <v>0</v>
      </c>
      <c r="R49" s="625">
        <v>0</v>
      </c>
      <c r="S49" s="621">
        <v>0</v>
      </c>
      <c r="V49" s="597"/>
      <c r="W49" s="598"/>
      <c r="X49" s="604"/>
      <c r="Y49" s="604"/>
      <c r="Z49" s="604"/>
      <c r="AA49" s="604"/>
      <c r="AB49" s="604"/>
      <c r="AC49" s="604"/>
      <c r="AD49" s="598"/>
      <c r="AE49" s="598"/>
      <c r="AF49" s="604"/>
      <c r="AG49" s="604"/>
      <c r="AH49" s="604"/>
      <c r="AI49" s="598"/>
      <c r="AJ49" s="598"/>
      <c r="AK49" s="604"/>
      <c r="AL49" s="604"/>
      <c r="AM49" s="599"/>
    </row>
    <row r="50" spans="1:39" ht="12.75">
      <c r="A50" s="475"/>
      <c r="B50" s="597" t="s">
        <v>761</v>
      </c>
      <c r="C50" s="632">
        <v>515839</v>
      </c>
      <c r="D50" s="634">
        <v>370980</v>
      </c>
      <c r="E50" s="634">
        <v>1019413</v>
      </c>
      <c r="F50" s="634">
        <v>503728</v>
      </c>
      <c r="G50" s="634">
        <v>55571</v>
      </c>
      <c r="H50" s="634"/>
      <c r="I50" s="634"/>
      <c r="J50" s="632">
        <v>2465531</v>
      </c>
      <c r="K50" s="632"/>
      <c r="L50" s="634">
        <v>475904</v>
      </c>
      <c r="M50" s="634">
        <v>703609</v>
      </c>
      <c r="N50" s="634">
        <v>138764</v>
      </c>
      <c r="O50" s="632">
        <v>1318277</v>
      </c>
      <c r="P50" s="632">
        <v>36418</v>
      </c>
      <c r="Q50" s="634">
        <v>28821</v>
      </c>
      <c r="R50" s="634"/>
      <c r="S50" s="635">
        <v>65239</v>
      </c>
      <c r="V50" s="600"/>
      <c r="W50" s="601"/>
      <c r="X50" s="602"/>
      <c r="Y50" s="602"/>
      <c r="Z50" s="602"/>
      <c r="AA50" s="602"/>
      <c r="AB50" s="602"/>
      <c r="AC50" s="602"/>
      <c r="AD50" s="601"/>
      <c r="AE50" s="601"/>
      <c r="AF50" s="602"/>
      <c r="AG50" s="602"/>
      <c r="AH50" s="602"/>
      <c r="AI50" s="601"/>
      <c r="AJ50" s="601"/>
      <c r="AK50" s="602"/>
      <c r="AL50" s="602"/>
      <c r="AM50" s="603"/>
    </row>
    <row r="51" spans="1:39" ht="12.75">
      <c r="A51" s="475"/>
      <c r="B51" s="597" t="s">
        <v>762</v>
      </c>
      <c r="C51" s="647">
        <v>10669</v>
      </c>
      <c r="D51" s="648">
        <v>10280</v>
      </c>
      <c r="E51" s="648">
        <v>48334</v>
      </c>
      <c r="F51" s="648">
        <v>18819</v>
      </c>
      <c r="G51" s="648">
        <v>3662</v>
      </c>
      <c r="H51" s="648">
        <v>0</v>
      </c>
      <c r="I51" s="648">
        <v>0</v>
      </c>
      <c r="J51" s="647">
        <v>91764</v>
      </c>
      <c r="K51" s="647">
        <v>0</v>
      </c>
      <c r="L51" s="648">
        <v>125097</v>
      </c>
      <c r="M51" s="648">
        <v>94467</v>
      </c>
      <c r="N51" s="648">
        <v>38049</v>
      </c>
      <c r="O51" s="647">
        <v>257613</v>
      </c>
      <c r="P51" s="647">
        <v>2005</v>
      </c>
      <c r="Q51" s="648">
        <v>1790</v>
      </c>
      <c r="R51" s="648">
        <v>0</v>
      </c>
      <c r="S51" s="649">
        <v>3795</v>
      </c>
      <c r="V51" s="597"/>
      <c r="W51" s="598"/>
      <c r="X51" s="604"/>
      <c r="Y51" s="604"/>
      <c r="Z51" s="604"/>
      <c r="AA51" s="604"/>
      <c r="AB51" s="604"/>
      <c r="AC51" s="604"/>
      <c r="AD51" s="598"/>
      <c r="AE51" s="598"/>
      <c r="AF51" s="604"/>
      <c r="AG51" s="604"/>
      <c r="AH51" s="604"/>
      <c r="AI51" s="598"/>
      <c r="AJ51" s="598"/>
      <c r="AK51" s="604"/>
      <c r="AL51" s="604"/>
      <c r="AM51" s="599"/>
    </row>
    <row r="52" spans="1:39" ht="12.75">
      <c r="A52" s="475"/>
      <c r="B52" s="597" t="s">
        <v>765</v>
      </c>
      <c r="C52" s="640">
        <v>86178</v>
      </c>
      <c r="D52" s="641">
        <v>71711</v>
      </c>
      <c r="E52" s="641">
        <v>110627</v>
      </c>
      <c r="F52" s="641">
        <v>55614</v>
      </c>
      <c r="G52" s="641">
        <v>2081</v>
      </c>
      <c r="H52" s="641"/>
      <c r="I52" s="641"/>
      <c r="J52" s="640">
        <v>326211</v>
      </c>
      <c r="K52" s="619"/>
      <c r="L52" s="625">
        <v>0</v>
      </c>
      <c r="M52" s="625">
        <v>0</v>
      </c>
      <c r="N52" s="625">
        <v>0</v>
      </c>
      <c r="O52" s="619">
        <v>0</v>
      </c>
      <c r="P52" s="619">
        <v>0</v>
      </c>
      <c r="Q52" s="625">
        <v>0</v>
      </c>
      <c r="R52" s="625"/>
      <c r="S52" s="621">
        <v>0</v>
      </c>
      <c r="V52" s="597"/>
      <c r="W52" s="598"/>
      <c r="X52" s="604"/>
      <c r="Y52" s="604"/>
      <c r="Z52" s="604"/>
      <c r="AA52" s="604"/>
      <c r="AB52" s="604"/>
      <c r="AC52" s="604"/>
      <c r="AD52" s="598"/>
      <c r="AE52" s="598"/>
      <c r="AF52" s="604"/>
      <c r="AG52" s="604"/>
      <c r="AH52" s="604"/>
      <c r="AI52" s="598"/>
      <c r="AJ52" s="598"/>
      <c r="AK52" s="604"/>
      <c r="AL52" s="604"/>
      <c r="AM52" s="599"/>
    </row>
    <row r="53" spans="1:39" ht="12.75">
      <c r="A53" s="606"/>
      <c r="B53" s="597" t="s">
        <v>763</v>
      </c>
      <c r="C53" s="619">
        <v>4891</v>
      </c>
      <c r="D53" s="625">
        <v>5862</v>
      </c>
      <c r="E53" s="625">
        <v>25793</v>
      </c>
      <c r="F53" s="625">
        <v>10029</v>
      </c>
      <c r="G53" s="625">
        <v>90</v>
      </c>
      <c r="H53" s="625">
        <v>0</v>
      </c>
      <c r="I53" s="625">
        <v>0</v>
      </c>
      <c r="J53" s="619">
        <v>46665</v>
      </c>
      <c r="K53" s="619">
        <v>0</v>
      </c>
      <c r="L53" s="625">
        <v>0</v>
      </c>
      <c r="M53" s="625">
        <v>0</v>
      </c>
      <c r="N53" s="625">
        <v>0</v>
      </c>
      <c r="O53" s="619">
        <v>0</v>
      </c>
      <c r="P53" s="619">
        <v>0</v>
      </c>
      <c r="Q53" s="625">
        <v>0</v>
      </c>
      <c r="R53" s="625">
        <v>0</v>
      </c>
      <c r="S53" s="621">
        <v>0</v>
      </c>
      <c r="V53" s="600"/>
      <c r="W53" s="601"/>
      <c r="X53" s="602"/>
      <c r="Y53" s="602"/>
      <c r="Z53" s="602"/>
      <c r="AA53" s="602"/>
      <c r="AB53" s="602"/>
      <c r="AC53" s="602"/>
      <c r="AD53" s="601"/>
      <c r="AE53" s="601"/>
      <c r="AF53" s="602"/>
      <c r="AG53" s="602"/>
      <c r="AH53" s="602"/>
      <c r="AI53" s="601"/>
      <c r="AJ53" s="601"/>
      <c r="AK53" s="602"/>
      <c r="AL53" s="602"/>
      <c r="AM53" s="603"/>
    </row>
    <row r="54" spans="1:39" ht="12.75">
      <c r="A54" s="586" t="s">
        <v>350</v>
      </c>
      <c r="B54" s="577" t="s">
        <v>764</v>
      </c>
      <c r="C54" s="629">
        <v>799311</v>
      </c>
      <c r="D54" s="630">
        <v>1009399</v>
      </c>
      <c r="E54" s="630">
        <v>486223</v>
      </c>
      <c r="F54" s="630">
        <v>1080545</v>
      </c>
      <c r="G54" s="630">
        <v>268818</v>
      </c>
      <c r="H54" s="630"/>
      <c r="I54" s="630"/>
      <c r="J54" s="629">
        <v>3644296</v>
      </c>
      <c r="K54" s="629">
        <v>65662</v>
      </c>
      <c r="L54" s="630">
        <v>352156</v>
      </c>
      <c r="M54" s="630">
        <v>291288</v>
      </c>
      <c r="N54" s="630">
        <v>185770</v>
      </c>
      <c r="O54" s="629">
        <v>894876</v>
      </c>
      <c r="P54" s="629">
        <v>40749</v>
      </c>
      <c r="Q54" s="630">
        <v>17432</v>
      </c>
      <c r="R54" s="630">
        <v>409951</v>
      </c>
      <c r="S54" s="631">
        <v>468132</v>
      </c>
      <c r="V54" s="597"/>
      <c r="W54" s="598"/>
      <c r="X54" s="604"/>
      <c r="Y54" s="604"/>
      <c r="Z54" s="604"/>
      <c r="AA54" s="604"/>
      <c r="AB54" s="604"/>
      <c r="AC54" s="604"/>
      <c r="AD54" s="598"/>
      <c r="AE54" s="598"/>
      <c r="AF54" s="604"/>
      <c r="AG54" s="604"/>
      <c r="AH54" s="604"/>
      <c r="AI54" s="598"/>
      <c r="AJ54" s="598"/>
      <c r="AK54" s="604"/>
      <c r="AL54" s="604"/>
      <c r="AM54" s="599"/>
    </row>
    <row r="55" spans="1:39" ht="12.75">
      <c r="A55" s="475"/>
      <c r="B55" s="597" t="s">
        <v>758</v>
      </c>
      <c r="C55" s="643">
        <v>6873</v>
      </c>
      <c r="D55" s="645">
        <v>13900</v>
      </c>
      <c r="E55" s="645">
        <v>4509</v>
      </c>
      <c r="F55" s="645">
        <v>45417</v>
      </c>
      <c r="G55" s="645">
        <v>3585</v>
      </c>
      <c r="H55" s="645">
        <v>0</v>
      </c>
      <c r="I55" s="645">
        <v>0</v>
      </c>
      <c r="J55" s="643">
        <v>74284</v>
      </c>
      <c r="K55" s="643">
        <v>0</v>
      </c>
      <c r="L55" s="645">
        <v>15276</v>
      </c>
      <c r="M55" s="645">
        <v>13743</v>
      </c>
      <c r="N55" s="645">
        <v>0</v>
      </c>
      <c r="O55" s="643">
        <v>29019</v>
      </c>
      <c r="P55" s="643">
        <v>0</v>
      </c>
      <c r="Q55" s="645">
        <v>0</v>
      </c>
      <c r="R55" s="645">
        <v>0</v>
      </c>
      <c r="S55" s="646">
        <v>0</v>
      </c>
      <c r="V55" s="597"/>
      <c r="W55" s="598"/>
      <c r="X55" s="604"/>
      <c r="Y55" s="604"/>
      <c r="Z55" s="604"/>
      <c r="AA55" s="604"/>
      <c r="AB55" s="604"/>
      <c r="AC55" s="604"/>
      <c r="AD55" s="598"/>
      <c r="AE55" s="598"/>
      <c r="AF55" s="604"/>
      <c r="AG55" s="604"/>
      <c r="AH55" s="604"/>
      <c r="AI55" s="598"/>
      <c r="AJ55" s="598"/>
      <c r="AK55" s="604"/>
      <c r="AL55" s="604"/>
      <c r="AM55" s="599"/>
    </row>
    <row r="56" spans="1:39" ht="12.75">
      <c r="A56" s="475"/>
      <c r="B56" s="597" t="s">
        <v>760</v>
      </c>
      <c r="C56" s="637">
        <v>116832</v>
      </c>
      <c r="D56" s="639">
        <v>127291</v>
      </c>
      <c r="E56" s="639">
        <v>42383</v>
      </c>
      <c r="F56" s="639">
        <v>83030</v>
      </c>
      <c r="G56" s="639">
        <v>22317</v>
      </c>
      <c r="H56" s="639"/>
      <c r="I56" s="639"/>
      <c r="J56" s="637">
        <v>391853</v>
      </c>
      <c r="K56" s="619">
        <v>0</v>
      </c>
      <c r="L56" s="625">
        <v>0</v>
      </c>
      <c r="M56" s="625">
        <v>0</v>
      </c>
      <c r="N56" s="625">
        <v>0</v>
      </c>
      <c r="O56" s="619">
        <v>0</v>
      </c>
      <c r="P56" s="619">
        <v>0</v>
      </c>
      <c r="Q56" s="625">
        <v>0</v>
      </c>
      <c r="R56" s="625">
        <v>0</v>
      </c>
      <c r="S56" s="621">
        <v>0</v>
      </c>
      <c r="V56" s="600"/>
      <c r="W56" s="601"/>
      <c r="X56" s="602"/>
      <c r="Y56" s="602"/>
      <c r="Z56" s="602"/>
      <c r="AA56" s="602"/>
      <c r="AB56" s="602"/>
      <c r="AC56" s="602"/>
      <c r="AD56" s="601"/>
      <c r="AE56" s="601"/>
      <c r="AF56" s="602"/>
      <c r="AG56" s="602"/>
      <c r="AH56" s="602"/>
      <c r="AI56" s="601"/>
      <c r="AJ56" s="601"/>
      <c r="AK56" s="602"/>
      <c r="AL56" s="602"/>
      <c r="AM56" s="603"/>
    </row>
    <row r="57" spans="1:39" ht="12.75">
      <c r="A57" s="475"/>
      <c r="B57" s="597" t="s">
        <v>759</v>
      </c>
      <c r="C57" s="651">
        <v>2888</v>
      </c>
      <c r="D57" s="653">
        <v>5612</v>
      </c>
      <c r="E57" s="653">
        <v>711</v>
      </c>
      <c r="F57" s="653">
        <v>12456</v>
      </c>
      <c r="G57" s="653">
        <v>486</v>
      </c>
      <c r="H57" s="653">
        <v>0</v>
      </c>
      <c r="I57" s="653">
        <v>0</v>
      </c>
      <c r="J57" s="651">
        <v>22153</v>
      </c>
      <c r="K57" s="619">
        <v>0</v>
      </c>
      <c r="L57" s="625">
        <v>0</v>
      </c>
      <c r="M57" s="625">
        <v>0</v>
      </c>
      <c r="N57" s="625">
        <v>0</v>
      </c>
      <c r="O57" s="619">
        <v>0</v>
      </c>
      <c r="P57" s="619">
        <v>0</v>
      </c>
      <c r="Q57" s="625">
        <v>0</v>
      </c>
      <c r="R57" s="625">
        <v>0</v>
      </c>
      <c r="S57" s="621">
        <v>0</v>
      </c>
      <c r="V57" s="597"/>
      <c r="W57" s="598"/>
      <c r="X57" s="604"/>
      <c r="Y57" s="604"/>
      <c r="Z57" s="604"/>
      <c r="AA57" s="604"/>
      <c r="AB57" s="604"/>
      <c r="AC57" s="604"/>
      <c r="AD57" s="598"/>
      <c r="AE57" s="598"/>
      <c r="AF57" s="604"/>
      <c r="AG57" s="604"/>
      <c r="AH57" s="604"/>
      <c r="AI57" s="598"/>
      <c r="AJ57" s="598"/>
      <c r="AK57" s="604"/>
      <c r="AL57" s="604"/>
      <c r="AM57" s="599"/>
    </row>
    <row r="58" spans="1:39" ht="12.75">
      <c r="A58" s="475"/>
      <c r="B58" s="597" t="s">
        <v>761</v>
      </c>
      <c r="C58" s="632">
        <v>820788</v>
      </c>
      <c r="D58" s="634">
        <v>901048</v>
      </c>
      <c r="E58" s="634">
        <v>495035</v>
      </c>
      <c r="F58" s="634">
        <v>1091754</v>
      </c>
      <c r="G58" s="634">
        <v>236374</v>
      </c>
      <c r="H58" s="634"/>
      <c r="I58" s="634"/>
      <c r="J58" s="632">
        <v>3544999</v>
      </c>
      <c r="K58" s="632">
        <v>64716</v>
      </c>
      <c r="L58" s="634">
        <v>205892</v>
      </c>
      <c r="M58" s="634">
        <v>305496</v>
      </c>
      <c r="N58" s="634">
        <v>166811</v>
      </c>
      <c r="O58" s="632">
        <v>742915</v>
      </c>
      <c r="P58" s="632">
        <v>43070</v>
      </c>
      <c r="Q58" s="634">
        <v>23519</v>
      </c>
      <c r="R58" s="634">
        <v>367139</v>
      </c>
      <c r="S58" s="635">
        <v>433728</v>
      </c>
      <c r="V58" s="597"/>
      <c r="W58" s="598"/>
      <c r="X58" s="604"/>
      <c r="Y58" s="604"/>
      <c r="Z58" s="604"/>
      <c r="AA58" s="604"/>
      <c r="AB58" s="604"/>
      <c r="AC58" s="604"/>
      <c r="AD58" s="598"/>
      <c r="AE58" s="598"/>
      <c r="AF58" s="604"/>
      <c r="AG58" s="604"/>
      <c r="AH58" s="604"/>
      <c r="AI58" s="598"/>
      <c r="AJ58" s="598"/>
      <c r="AK58" s="604"/>
      <c r="AL58" s="604"/>
      <c r="AM58" s="599"/>
    </row>
    <row r="59" spans="1:39" ht="12.75">
      <c r="A59" s="475"/>
      <c r="B59" s="597" t="s">
        <v>762</v>
      </c>
      <c r="C59" s="647">
        <v>5971</v>
      </c>
      <c r="D59" s="648">
        <v>10263</v>
      </c>
      <c r="E59" s="648">
        <v>5530</v>
      </c>
      <c r="F59" s="648">
        <v>55372</v>
      </c>
      <c r="G59" s="648">
        <v>5885</v>
      </c>
      <c r="H59" s="648">
        <v>0</v>
      </c>
      <c r="I59" s="648">
        <v>0</v>
      </c>
      <c r="J59" s="647">
        <v>83021</v>
      </c>
      <c r="K59" s="647">
        <v>0</v>
      </c>
      <c r="L59" s="648">
        <v>6514</v>
      </c>
      <c r="M59" s="648">
        <v>17123</v>
      </c>
      <c r="N59" s="648">
        <v>0</v>
      </c>
      <c r="O59" s="647">
        <v>23637</v>
      </c>
      <c r="P59" s="647">
        <v>0</v>
      </c>
      <c r="Q59" s="625">
        <v>0</v>
      </c>
      <c r="R59" s="625">
        <v>0</v>
      </c>
      <c r="S59" s="621">
        <v>0</v>
      </c>
      <c r="V59" s="600"/>
      <c r="W59" s="601"/>
      <c r="X59" s="602"/>
      <c r="Y59" s="602"/>
      <c r="Z59" s="602"/>
      <c r="AA59" s="602"/>
      <c r="AB59" s="602"/>
      <c r="AC59" s="602"/>
      <c r="AD59" s="601"/>
      <c r="AE59" s="601"/>
      <c r="AF59" s="602"/>
      <c r="AG59" s="602"/>
      <c r="AH59" s="602"/>
      <c r="AI59" s="601"/>
      <c r="AJ59" s="601"/>
      <c r="AK59" s="602"/>
      <c r="AL59" s="602"/>
      <c r="AM59" s="603"/>
    </row>
    <row r="60" spans="1:39" ht="12.75">
      <c r="A60" s="475"/>
      <c r="B60" s="597" t="s">
        <v>765</v>
      </c>
      <c r="C60" s="640">
        <v>118469.5</v>
      </c>
      <c r="D60" s="641">
        <v>113411</v>
      </c>
      <c r="E60" s="641">
        <v>41720</v>
      </c>
      <c r="F60" s="641">
        <v>80314</v>
      </c>
      <c r="G60" s="641">
        <v>17156</v>
      </c>
      <c r="H60" s="641"/>
      <c r="I60" s="641"/>
      <c r="J60" s="640">
        <v>371070.5</v>
      </c>
      <c r="K60" s="619">
        <v>0</v>
      </c>
      <c r="L60" s="625">
        <v>0</v>
      </c>
      <c r="M60" s="625">
        <v>0</v>
      </c>
      <c r="N60" s="625">
        <v>0</v>
      </c>
      <c r="O60" s="619">
        <v>0</v>
      </c>
      <c r="P60" s="619">
        <v>0</v>
      </c>
      <c r="Q60" s="625">
        <v>0</v>
      </c>
      <c r="R60" s="625">
        <v>0</v>
      </c>
      <c r="S60" s="621">
        <v>0</v>
      </c>
      <c r="V60" s="597"/>
      <c r="W60" s="598"/>
      <c r="X60" s="604"/>
      <c r="Y60" s="604"/>
      <c r="Z60" s="604"/>
      <c r="AA60" s="604"/>
      <c r="AB60" s="604"/>
      <c r="AC60" s="604"/>
      <c r="AD60" s="598"/>
      <c r="AE60" s="598"/>
      <c r="AF60" s="604"/>
      <c r="AG60" s="604"/>
      <c r="AH60" s="604"/>
      <c r="AI60" s="598"/>
      <c r="AJ60" s="598"/>
      <c r="AK60" s="604"/>
      <c r="AL60" s="604"/>
      <c r="AM60" s="599"/>
    </row>
    <row r="61" spans="1:39" ht="12.75">
      <c r="A61" s="475"/>
      <c r="B61" s="597" t="s">
        <v>763</v>
      </c>
      <c r="C61" s="619">
        <v>2856</v>
      </c>
      <c r="D61" s="625">
        <v>5065</v>
      </c>
      <c r="E61" s="625">
        <v>768</v>
      </c>
      <c r="F61" s="625">
        <v>14427</v>
      </c>
      <c r="G61" s="625">
        <v>207</v>
      </c>
      <c r="H61" s="625">
        <v>0</v>
      </c>
      <c r="I61" s="625">
        <v>0</v>
      </c>
      <c r="J61" s="619">
        <v>23323</v>
      </c>
      <c r="K61" s="619">
        <v>0</v>
      </c>
      <c r="L61" s="625">
        <v>0</v>
      </c>
      <c r="M61" s="625">
        <v>0</v>
      </c>
      <c r="N61" s="625">
        <v>0</v>
      </c>
      <c r="O61" s="619">
        <v>0</v>
      </c>
      <c r="P61" s="619">
        <v>0</v>
      </c>
      <c r="Q61" s="625">
        <v>0</v>
      </c>
      <c r="R61" s="625">
        <v>0</v>
      </c>
      <c r="S61" s="621">
        <v>0</v>
      </c>
      <c r="V61" s="597"/>
      <c r="W61" s="598"/>
      <c r="X61" s="604"/>
      <c r="Y61" s="604"/>
      <c r="Z61" s="604"/>
      <c r="AA61" s="604"/>
      <c r="AB61" s="604"/>
      <c r="AC61" s="604"/>
      <c r="AD61" s="598"/>
      <c r="AE61" s="598"/>
      <c r="AF61" s="604"/>
      <c r="AG61" s="604"/>
      <c r="AH61" s="604"/>
      <c r="AI61" s="598"/>
      <c r="AJ61" s="598"/>
      <c r="AK61" s="604"/>
      <c r="AL61" s="604"/>
      <c r="AM61" s="599"/>
    </row>
    <row r="62" spans="1:39" ht="12.75">
      <c r="A62" s="586" t="s">
        <v>351</v>
      </c>
      <c r="B62" s="577" t="s">
        <v>764</v>
      </c>
      <c r="C62" s="629">
        <v>0</v>
      </c>
      <c r="D62" s="630">
        <v>269465</v>
      </c>
      <c r="E62" s="630">
        <v>394522</v>
      </c>
      <c r="F62" s="630">
        <v>544755</v>
      </c>
      <c r="G62" s="630">
        <v>0</v>
      </c>
      <c r="H62" s="630">
        <v>0</v>
      </c>
      <c r="I62" s="630">
        <v>307832</v>
      </c>
      <c r="J62" s="629">
        <v>1516574</v>
      </c>
      <c r="K62" s="629"/>
      <c r="L62" s="630">
        <v>1256082</v>
      </c>
      <c r="M62" s="630">
        <v>551567</v>
      </c>
      <c r="N62" s="630">
        <v>332951</v>
      </c>
      <c r="O62" s="629">
        <v>2140600</v>
      </c>
      <c r="P62" s="629"/>
      <c r="Q62" s="630"/>
      <c r="R62" s="630"/>
      <c r="S62" s="631"/>
      <c r="V62" s="600"/>
      <c r="W62" s="601"/>
      <c r="X62" s="602"/>
      <c r="Y62" s="602"/>
      <c r="Z62" s="602"/>
      <c r="AA62" s="602"/>
      <c r="AB62" s="602"/>
      <c r="AC62" s="602"/>
      <c r="AD62" s="601"/>
      <c r="AE62" s="601"/>
      <c r="AF62" s="602"/>
      <c r="AG62" s="602"/>
      <c r="AH62" s="602"/>
      <c r="AI62" s="601"/>
      <c r="AJ62" s="601"/>
      <c r="AK62" s="602"/>
      <c r="AL62" s="602"/>
      <c r="AM62" s="603"/>
    </row>
    <row r="63" spans="1:19" ht="12.75">
      <c r="A63" s="475"/>
      <c r="B63" s="597" t="s">
        <v>758</v>
      </c>
      <c r="C63" s="643">
        <v>0</v>
      </c>
      <c r="D63" s="645">
        <v>0</v>
      </c>
      <c r="E63" s="645">
        <v>876</v>
      </c>
      <c r="F63" s="645">
        <v>13567</v>
      </c>
      <c r="G63" s="645">
        <v>0</v>
      </c>
      <c r="H63" s="645">
        <v>0</v>
      </c>
      <c r="I63" s="645">
        <v>227725</v>
      </c>
      <c r="J63" s="643">
        <v>242168</v>
      </c>
      <c r="K63" s="643">
        <v>0</v>
      </c>
      <c r="L63" s="645">
        <v>88531</v>
      </c>
      <c r="M63" s="645">
        <v>48597</v>
      </c>
      <c r="N63" s="645">
        <v>21270</v>
      </c>
      <c r="O63" s="643">
        <v>158398</v>
      </c>
      <c r="P63" s="643">
        <v>0</v>
      </c>
      <c r="Q63" s="645">
        <v>0</v>
      </c>
      <c r="R63" s="645">
        <v>0</v>
      </c>
      <c r="S63" s="646">
        <v>0</v>
      </c>
    </row>
    <row r="64" spans="1:24" ht="12.75">
      <c r="A64" s="475"/>
      <c r="B64" s="597" t="s">
        <v>760</v>
      </c>
      <c r="C64" s="637">
        <v>0</v>
      </c>
      <c r="D64" s="639">
        <v>22204</v>
      </c>
      <c r="E64" s="639">
        <v>44652</v>
      </c>
      <c r="F64" s="639">
        <v>100989</v>
      </c>
      <c r="G64" s="639">
        <v>0</v>
      </c>
      <c r="H64" s="639">
        <v>0</v>
      </c>
      <c r="I64" s="639">
        <v>92615</v>
      </c>
      <c r="J64" s="637">
        <v>260460</v>
      </c>
      <c r="K64" s="619"/>
      <c r="L64" s="625">
        <v>0</v>
      </c>
      <c r="M64" s="625">
        <v>0</v>
      </c>
      <c r="N64" s="625">
        <v>0</v>
      </c>
      <c r="O64" s="619">
        <v>0</v>
      </c>
      <c r="P64" s="619"/>
      <c r="Q64" s="625"/>
      <c r="R64" s="625"/>
      <c r="S64" s="621"/>
      <c r="X64" s="586"/>
    </row>
    <row r="65" spans="1:24" ht="12.75">
      <c r="A65" s="475"/>
      <c r="B65" s="597" t="s">
        <v>759</v>
      </c>
      <c r="C65" s="651">
        <v>0</v>
      </c>
      <c r="D65" s="653">
        <v>2805</v>
      </c>
      <c r="E65" s="653">
        <v>273</v>
      </c>
      <c r="F65" s="653">
        <v>5613</v>
      </c>
      <c r="G65" s="653">
        <v>0</v>
      </c>
      <c r="H65" s="653">
        <v>0</v>
      </c>
      <c r="I65" s="653">
        <v>76348</v>
      </c>
      <c r="J65" s="651">
        <v>85039</v>
      </c>
      <c r="K65" s="619">
        <v>0</v>
      </c>
      <c r="L65" s="625">
        <v>0</v>
      </c>
      <c r="M65" s="625">
        <v>0</v>
      </c>
      <c r="N65" s="625">
        <v>0</v>
      </c>
      <c r="O65" s="619">
        <v>0</v>
      </c>
      <c r="P65" s="619">
        <v>0</v>
      </c>
      <c r="Q65" s="625">
        <v>0</v>
      </c>
      <c r="R65" s="625">
        <v>0</v>
      </c>
      <c r="S65" s="621">
        <v>0</v>
      </c>
      <c r="X65" s="475"/>
    </row>
    <row r="66" spans="1:24" ht="12.75">
      <c r="A66" s="475"/>
      <c r="B66" s="597" t="s">
        <v>761</v>
      </c>
      <c r="C66" s="632">
        <v>739266</v>
      </c>
      <c r="D66" s="634">
        <v>269611</v>
      </c>
      <c r="E66" s="634">
        <v>403029</v>
      </c>
      <c r="F66" s="634">
        <v>614468</v>
      </c>
      <c r="G66" s="634">
        <v>86219</v>
      </c>
      <c r="H66" s="634">
        <v>0</v>
      </c>
      <c r="I66" s="634">
        <v>322184</v>
      </c>
      <c r="J66" s="632">
        <v>2434777</v>
      </c>
      <c r="K66" s="632"/>
      <c r="L66" s="634">
        <v>1047365</v>
      </c>
      <c r="M66" s="634">
        <v>576296</v>
      </c>
      <c r="N66" s="634">
        <v>347112</v>
      </c>
      <c r="O66" s="632">
        <v>1970773</v>
      </c>
      <c r="P66" s="619"/>
      <c r="Q66" s="625"/>
      <c r="R66" s="625"/>
      <c r="S66" s="621"/>
      <c r="X66" s="475"/>
    </row>
    <row r="67" spans="1:24" ht="12.75">
      <c r="A67" s="475"/>
      <c r="B67" s="597" t="s">
        <v>762</v>
      </c>
      <c r="C67" s="647">
        <v>444</v>
      </c>
      <c r="D67" s="648">
        <v>0</v>
      </c>
      <c r="E67" s="648">
        <v>162</v>
      </c>
      <c r="F67" s="648">
        <v>8976</v>
      </c>
      <c r="G67" s="648">
        <v>2049</v>
      </c>
      <c r="H67" s="648">
        <v>0</v>
      </c>
      <c r="I67" s="648">
        <v>244860</v>
      </c>
      <c r="J67" s="647">
        <v>256491</v>
      </c>
      <c r="K67" s="647">
        <v>0</v>
      </c>
      <c r="L67" s="648">
        <v>78165</v>
      </c>
      <c r="M67" s="648">
        <v>55815</v>
      </c>
      <c r="N67" s="648">
        <v>26895</v>
      </c>
      <c r="O67" s="647">
        <v>160875</v>
      </c>
      <c r="P67" s="619">
        <v>0</v>
      </c>
      <c r="Q67" s="625">
        <v>0</v>
      </c>
      <c r="R67" s="625">
        <v>0</v>
      </c>
      <c r="S67" s="621">
        <v>0</v>
      </c>
      <c r="X67" s="475"/>
    </row>
    <row r="68" spans="1:24" ht="12.75">
      <c r="A68" s="475"/>
      <c r="B68" s="597" t="s">
        <v>765</v>
      </c>
      <c r="C68" s="640">
        <v>134377</v>
      </c>
      <c r="D68" s="641">
        <v>22142</v>
      </c>
      <c r="E68" s="641">
        <v>47848</v>
      </c>
      <c r="F68" s="641">
        <v>89339</v>
      </c>
      <c r="G68" s="641">
        <v>9742</v>
      </c>
      <c r="H68" s="641">
        <v>0</v>
      </c>
      <c r="I68" s="641">
        <v>98643</v>
      </c>
      <c r="J68" s="640">
        <v>402091</v>
      </c>
      <c r="K68" s="619"/>
      <c r="L68" s="625">
        <v>0</v>
      </c>
      <c r="M68" s="625">
        <v>0</v>
      </c>
      <c r="N68" s="625">
        <v>0</v>
      </c>
      <c r="O68" s="619">
        <v>0</v>
      </c>
      <c r="P68" s="619"/>
      <c r="Q68" s="625"/>
      <c r="R68" s="625"/>
      <c r="S68" s="621"/>
      <c r="X68" s="475"/>
    </row>
    <row r="69" spans="1:24" ht="12.75">
      <c r="A69" s="606"/>
      <c r="B69" s="597" t="s">
        <v>763</v>
      </c>
      <c r="C69" s="619">
        <v>1263</v>
      </c>
      <c r="D69" s="625">
        <v>2657</v>
      </c>
      <c r="E69" s="625">
        <v>957</v>
      </c>
      <c r="F69" s="625">
        <v>6275</v>
      </c>
      <c r="G69" s="625">
        <v>0</v>
      </c>
      <c r="H69" s="625">
        <v>0</v>
      </c>
      <c r="I69" s="625">
        <v>81874</v>
      </c>
      <c r="J69" s="619">
        <v>93026</v>
      </c>
      <c r="K69" s="619">
        <v>0</v>
      </c>
      <c r="L69" s="625">
        <v>0</v>
      </c>
      <c r="M69" s="625">
        <v>0</v>
      </c>
      <c r="N69" s="625">
        <v>0</v>
      </c>
      <c r="O69" s="619">
        <v>0</v>
      </c>
      <c r="P69" s="619">
        <v>0</v>
      </c>
      <c r="Q69" s="625">
        <v>0</v>
      </c>
      <c r="R69" s="625">
        <v>0</v>
      </c>
      <c r="S69" s="621">
        <v>0</v>
      </c>
      <c r="X69" s="475"/>
    </row>
    <row r="70" spans="1:24" ht="12.75">
      <c r="A70" s="586" t="s">
        <v>24</v>
      </c>
      <c r="B70" s="577" t="s">
        <v>764</v>
      </c>
      <c r="C70" s="629">
        <v>345448</v>
      </c>
      <c r="D70" s="630">
        <v>849866</v>
      </c>
      <c r="E70" s="630"/>
      <c r="F70" s="630">
        <v>165634</v>
      </c>
      <c r="G70" s="630">
        <v>146896</v>
      </c>
      <c r="H70" s="630"/>
      <c r="I70" s="630"/>
      <c r="J70" s="629">
        <v>1507844</v>
      </c>
      <c r="K70" s="629"/>
      <c r="L70" s="630">
        <v>649875</v>
      </c>
      <c r="M70" s="630">
        <v>976644</v>
      </c>
      <c r="N70" s="630">
        <v>105819</v>
      </c>
      <c r="O70" s="629">
        <v>1732338</v>
      </c>
      <c r="P70" s="616"/>
      <c r="Q70" s="617"/>
      <c r="R70" s="617"/>
      <c r="S70" s="618"/>
      <c r="X70" s="475"/>
    </row>
    <row r="71" spans="1:24" ht="12.75">
      <c r="A71" s="475"/>
      <c r="B71" s="597" t="s">
        <v>758</v>
      </c>
      <c r="C71" s="643">
        <v>24837</v>
      </c>
      <c r="D71" s="645">
        <v>29753</v>
      </c>
      <c r="E71" s="645">
        <v>0</v>
      </c>
      <c r="F71" s="645">
        <v>3694</v>
      </c>
      <c r="G71" s="645">
        <v>2420</v>
      </c>
      <c r="H71" s="645">
        <v>0</v>
      </c>
      <c r="I71" s="645">
        <v>0</v>
      </c>
      <c r="J71" s="643">
        <v>60704</v>
      </c>
      <c r="K71" s="643">
        <v>0</v>
      </c>
      <c r="L71" s="645">
        <v>44636</v>
      </c>
      <c r="M71" s="645">
        <v>75750</v>
      </c>
      <c r="N71" s="645">
        <v>10611</v>
      </c>
      <c r="O71" s="643">
        <v>130997</v>
      </c>
      <c r="P71" s="619">
        <v>0</v>
      </c>
      <c r="Q71" s="625">
        <v>0</v>
      </c>
      <c r="R71" s="625">
        <v>0</v>
      </c>
      <c r="S71" s="621">
        <v>0</v>
      </c>
      <c r="X71" s="475"/>
    </row>
    <row r="72" spans="1:24" ht="12.75">
      <c r="A72" s="475"/>
      <c r="B72" s="597" t="s">
        <v>760</v>
      </c>
      <c r="C72" s="637">
        <v>61361</v>
      </c>
      <c r="D72" s="639">
        <v>143723</v>
      </c>
      <c r="E72" s="639"/>
      <c r="F72" s="639">
        <v>23851</v>
      </c>
      <c r="G72" s="639">
        <v>12358</v>
      </c>
      <c r="H72" s="639"/>
      <c r="I72" s="639"/>
      <c r="J72" s="637">
        <v>241293</v>
      </c>
      <c r="K72" s="619"/>
      <c r="L72" s="625">
        <v>0</v>
      </c>
      <c r="M72" s="625">
        <v>0</v>
      </c>
      <c r="N72" s="625">
        <v>0</v>
      </c>
      <c r="O72" s="619">
        <v>0</v>
      </c>
      <c r="P72" s="619"/>
      <c r="Q72" s="625"/>
      <c r="R72" s="625"/>
      <c r="S72" s="621"/>
      <c r="X72" s="475"/>
    </row>
    <row r="73" spans="1:24" ht="12.75">
      <c r="A73" s="475"/>
      <c r="B73" s="597" t="s">
        <v>759</v>
      </c>
      <c r="C73" s="651">
        <v>6611</v>
      </c>
      <c r="D73" s="653">
        <v>9404</v>
      </c>
      <c r="E73" s="653">
        <v>0</v>
      </c>
      <c r="F73" s="653">
        <v>1919</v>
      </c>
      <c r="G73" s="653">
        <v>456</v>
      </c>
      <c r="H73" s="653">
        <v>0</v>
      </c>
      <c r="I73" s="653">
        <v>0</v>
      </c>
      <c r="J73" s="651">
        <v>18390</v>
      </c>
      <c r="K73" s="619">
        <v>0</v>
      </c>
      <c r="L73" s="625">
        <v>0</v>
      </c>
      <c r="M73" s="625">
        <v>0</v>
      </c>
      <c r="N73" s="625">
        <v>0</v>
      </c>
      <c r="O73" s="619">
        <v>0</v>
      </c>
      <c r="P73" s="619">
        <v>0</v>
      </c>
      <c r="Q73" s="625">
        <v>0</v>
      </c>
      <c r="R73" s="625">
        <v>0</v>
      </c>
      <c r="S73" s="621">
        <v>0</v>
      </c>
      <c r="X73" s="475"/>
    </row>
    <row r="74" spans="1:24" ht="12.75">
      <c r="A74" s="475"/>
      <c r="B74" s="597" t="s">
        <v>761</v>
      </c>
      <c r="C74" s="632">
        <v>336422</v>
      </c>
      <c r="D74" s="634">
        <v>861662</v>
      </c>
      <c r="E74" s="634"/>
      <c r="F74" s="634">
        <v>169467</v>
      </c>
      <c r="G74" s="634">
        <v>150877</v>
      </c>
      <c r="H74" s="634"/>
      <c r="I74" s="634"/>
      <c r="J74" s="632">
        <v>1518428</v>
      </c>
      <c r="K74" s="632"/>
      <c r="L74" s="634">
        <v>628985</v>
      </c>
      <c r="M74" s="634">
        <v>983507</v>
      </c>
      <c r="N74" s="634">
        <v>100009</v>
      </c>
      <c r="O74" s="632">
        <v>1712501</v>
      </c>
      <c r="P74" s="619"/>
      <c r="Q74" s="625"/>
      <c r="R74" s="625"/>
      <c r="S74" s="621"/>
      <c r="X74" s="475"/>
    </row>
    <row r="75" spans="1:19" ht="12.75">
      <c r="A75" s="475"/>
      <c r="B75" s="597" t="s">
        <v>762</v>
      </c>
      <c r="C75" s="647">
        <v>22576</v>
      </c>
      <c r="D75" s="648">
        <v>38697</v>
      </c>
      <c r="E75" s="648">
        <v>0</v>
      </c>
      <c r="F75" s="648">
        <v>3068</v>
      </c>
      <c r="G75" s="648">
        <v>2450</v>
      </c>
      <c r="H75" s="648">
        <v>0</v>
      </c>
      <c r="I75" s="648">
        <v>0</v>
      </c>
      <c r="J75" s="647">
        <v>66791</v>
      </c>
      <c r="K75" s="647">
        <v>0</v>
      </c>
      <c r="L75" s="648">
        <v>52897</v>
      </c>
      <c r="M75" s="648">
        <v>97934</v>
      </c>
      <c r="N75" s="648">
        <v>11621</v>
      </c>
      <c r="O75" s="647">
        <v>162452</v>
      </c>
      <c r="P75" s="619">
        <v>0</v>
      </c>
      <c r="Q75" s="625">
        <v>0</v>
      </c>
      <c r="R75" s="625">
        <v>0</v>
      </c>
      <c r="S75" s="621">
        <v>0</v>
      </c>
    </row>
    <row r="76" spans="1:19" ht="12.75">
      <c r="A76" s="475"/>
      <c r="B76" s="597" t="s">
        <v>765</v>
      </c>
      <c r="C76" s="640">
        <v>58845</v>
      </c>
      <c r="D76" s="641">
        <v>146431</v>
      </c>
      <c r="E76" s="641"/>
      <c r="F76" s="641">
        <v>24389</v>
      </c>
      <c r="G76" s="641">
        <v>11070</v>
      </c>
      <c r="H76" s="641"/>
      <c r="I76" s="641"/>
      <c r="J76" s="640">
        <v>240735</v>
      </c>
      <c r="K76" s="619"/>
      <c r="L76" s="625">
        <v>0</v>
      </c>
      <c r="M76" s="625">
        <v>0</v>
      </c>
      <c r="N76" s="625">
        <v>0</v>
      </c>
      <c r="O76" s="619">
        <v>0</v>
      </c>
      <c r="P76" s="619"/>
      <c r="Q76" s="625"/>
      <c r="R76" s="625"/>
      <c r="S76" s="621"/>
    </row>
    <row r="77" spans="1:19" ht="12.75">
      <c r="A77" s="606"/>
      <c r="B77" s="597" t="s">
        <v>763</v>
      </c>
      <c r="C77" s="619">
        <v>6199</v>
      </c>
      <c r="D77" s="625">
        <v>12544</v>
      </c>
      <c r="E77" s="625">
        <v>0</v>
      </c>
      <c r="F77" s="625">
        <v>2314</v>
      </c>
      <c r="G77" s="625">
        <v>369</v>
      </c>
      <c r="H77" s="625">
        <v>0</v>
      </c>
      <c r="I77" s="625">
        <v>0</v>
      </c>
      <c r="J77" s="619">
        <v>21426</v>
      </c>
      <c r="K77" s="619">
        <v>0</v>
      </c>
      <c r="L77" s="625">
        <v>0</v>
      </c>
      <c r="M77" s="625">
        <v>0</v>
      </c>
      <c r="N77" s="625">
        <v>0</v>
      </c>
      <c r="O77" s="619">
        <v>0</v>
      </c>
      <c r="P77" s="619">
        <v>0</v>
      </c>
      <c r="Q77" s="625">
        <v>0</v>
      </c>
      <c r="R77" s="625">
        <v>0</v>
      </c>
      <c r="S77" s="621">
        <v>0</v>
      </c>
    </row>
    <row r="78" spans="1:21" s="583" customFormat="1" ht="12.75">
      <c r="A78" s="586" t="s">
        <v>34</v>
      </c>
      <c r="B78" s="577" t="s">
        <v>764</v>
      </c>
      <c r="C78" s="629">
        <v>1107841</v>
      </c>
      <c r="D78" s="630">
        <v>319532</v>
      </c>
      <c r="E78" s="630">
        <v>2255158</v>
      </c>
      <c r="F78" s="630">
        <v>136246</v>
      </c>
      <c r="G78" s="630">
        <v>118767</v>
      </c>
      <c r="H78" s="630">
        <v>287721</v>
      </c>
      <c r="I78" s="630"/>
      <c r="J78" s="629">
        <v>4225265</v>
      </c>
      <c r="K78" s="629"/>
      <c r="L78" s="630">
        <v>2458410</v>
      </c>
      <c r="M78" s="630">
        <v>3425670</v>
      </c>
      <c r="N78" s="630">
        <v>554280</v>
      </c>
      <c r="O78" s="629">
        <v>6438360</v>
      </c>
      <c r="P78" s="616"/>
      <c r="Q78" s="617"/>
      <c r="R78" s="617"/>
      <c r="S78" s="618"/>
      <c r="T78" s="580"/>
      <c r="U78" s="580"/>
    </row>
    <row r="79" spans="1:19" ht="12.75">
      <c r="A79" s="475"/>
      <c r="B79" s="597" t="s">
        <v>758</v>
      </c>
      <c r="C79" s="643">
        <v>6652</v>
      </c>
      <c r="D79" s="645">
        <v>6412</v>
      </c>
      <c r="E79" s="645">
        <v>43999</v>
      </c>
      <c r="F79" s="645">
        <v>3046</v>
      </c>
      <c r="G79" s="645">
        <v>7997</v>
      </c>
      <c r="H79" s="645">
        <v>3489</v>
      </c>
      <c r="I79" s="645">
        <v>0</v>
      </c>
      <c r="J79" s="643">
        <v>71595</v>
      </c>
      <c r="K79" s="643">
        <v>0</v>
      </c>
      <c r="L79" s="645">
        <v>246951.53344784153</v>
      </c>
      <c r="M79" s="645">
        <v>263143.466111479</v>
      </c>
      <c r="N79" s="645">
        <v>45294.85908159736</v>
      </c>
      <c r="O79" s="643">
        <v>555389.8586409178</v>
      </c>
      <c r="P79" s="619">
        <v>0</v>
      </c>
      <c r="Q79" s="625">
        <v>0</v>
      </c>
      <c r="R79" s="625">
        <v>0</v>
      </c>
      <c r="S79" s="621">
        <v>0</v>
      </c>
    </row>
    <row r="80" spans="1:19" ht="12.75">
      <c r="A80" s="475"/>
      <c r="B80" s="597" t="s">
        <v>760</v>
      </c>
      <c r="C80" s="637">
        <v>221774</v>
      </c>
      <c r="D80" s="639">
        <v>64630</v>
      </c>
      <c r="E80" s="639">
        <v>273250</v>
      </c>
      <c r="F80" s="639">
        <v>8580</v>
      </c>
      <c r="G80" s="639">
        <v>7168</v>
      </c>
      <c r="H80" s="639">
        <v>5976</v>
      </c>
      <c r="I80" s="639"/>
      <c r="J80" s="637">
        <v>581378</v>
      </c>
      <c r="K80" s="619"/>
      <c r="L80" s="625">
        <v>0</v>
      </c>
      <c r="M80" s="625">
        <v>0</v>
      </c>
      <c r="N80" s="625">
        <v>0</v>
      </c>
      <c r="O80" s="619">
        <v>0</v>
      </c>
      <c r="P80" s="619"/>
      <c r="Q80" s="625"/>
      <c r="R80" s="625"/>
      <c r="S80" s="621"/>
    </row>
    <row r="81" spans="1:19" ht="12.75">
      <c r="A81" s="475"/>
      <c r="B81" s="597" t="s">
        <v>759</v>
      </c>
      <c r="C81" s="651">
        <v>2661</v>
      </c>
      <c r="D81" s="653">
        <v>5470</v>
      </c>
      <c r="E81" s="653">
        <v>27366</v>
      </c>
      <c r="F81" s="653">
        <v>1520</v>
      </c>
      <c r="G81" s="653">
        <v>576</v>
      </c>
      <c r="H81" s="653">
        <v>0</v>
      </c>
      <c r="I81" s="653">
        <v>0</v>
      </c>
      <c r="J81" s="651">
        <v>37593</v>
      </c>
      <c r="K81" s="619">
        <v>0</v>
      </c>
      <c r="L81" s="625">
        <v>0</v>
      </c>
      <c r="M81" s="625">
        <v>0</v>
      </c>
      <c r="N81" s="625">
        <v>0</v>
      </c>
      <c r="O81" s="619">
        <v>0</v>
      </c>
      <c r="P81" s="619">
        <v>0</v>
      </c>
      <c r="Q81" s="625">
        <v>0</v>
      </c>
      <c r="R81" s="625">
        <v>0</v>
      </c>
      <c r="S81" s="621">
        <v>0</v>
      </c>
    </row>
    <row r="82" spans="1:19" ht="12.75">
      <c r="A82" s="475"/>
      <c r="B82" s="597" t="s">
        <v>761</v>
      </c>
      <c r="C82" s="632">
        <v>1136421</v>
      </c>
      <c r="D82" s="634">
        <v>333975</v>
      </c>
      <c r="E82" s="634">
        <v>2301284</v>
      </c>
      <c r="F82" s="634">
        <v>144605</v>
      </c>
      <c r="G82" s="634">
        <v>128493</v>
      </c>
      <c r="H82" s="634">
        <v>311547</v>
      </c>
      <c r="I82" s="634"/>
      <c r="J82" s="632">
        <v>4356325</v>
      </c>
      <c r="K82" s="632"/>
      <c r="L82" s="634">
        <v>2621441.7</v>
      </c>
      <c r="M82" s="634">
        <v>3588086.4</v>
      </c>
      <c r="N82" s="634">
        <v>576982.8</v>
      </c>
      <c r="O82" s="632">
        <v>6786510.899999999</v>
      </c>
      <c r="P82" s="619"/>
      <c r="Q82" s="625"/>
      <c r="R82" s="625"/>
      <c r="S82" s="621"/>
    </row>
    <row r="83" spans="1:19" ht="12.75">
      <c r="A83" s="475"/>
      <c r="B83" s="597" t="s">
        <v>762</v>
      </c>
      <c r="C83" s="647">
        <v>32852</v>
      </c>
      <c r="D83" s="648">
        <v>20894</v>
      </c>
      <c r="E83" s="648">
        <v>89669</v>
      </c>
      <c r="F83" s="648">
        <v>5803</v>
      </c>
      <c r="G83" s="648">
        <v>12893</v>
      </c>
      <c r="H83" s="648">
        <v>5516</v>
      </c>
      <c r="I83" s="648">
        <v>0</v>
      </c>
      <c r="J83" s="647">
        <v>167627</v>
      </c>
      <c r="K83" s="647">
        <v>0</v>
      </c>
      <c r="L83" s="648">
        <v>283718.4</v>
      </c>
      <c r="M83" s="648">
        <v>297887.1</v>
      </c>
      <c r="N83" s="648">
        <v>53637</v>
      </c>
      <c r="O83" s="647">
        <v>635242.5</v>
      </c>
      <c r="P83" s="619">
        <v>0</v>
      </c>
      <c r="Q83" s="625">
        <v>0</v>
      </c>
      <c r="R83" s="625">
        <v>0</v>
      </c>
      <c r="S83" s="621">
        <v>0</v>
      </c>
    </row>
    <row r="84" spans="1:19" ht="12.75">
      <c r="A84" s="475"/>
      <c r="B84" s="597" t="s">
        <v>765</v>
      </c>
      <c r="C84" s="640">
        <v>270945</v>
      </c>
      <c r="D84" s="641">
        <v>68929</v>
      </c>
      <c r="E84" s="641">
        <v>280627</v>
      </c>
      <c r="F84" s="641">
        <v>9775</v>
      </c>
      <c r="G84" s="641">
        <v>9545</v>
      </c>
      <c r="H84" s="641">
        <v>7113</v>
      </c>
      <c r="I84" s="641"/>
      <c r="J84" s="640">
        <v>646934</v>
      </c>
      <c r="K84" s="619"/>
      <c r="L84" s="625">
        <v>0</v>
      </c>
      <c r="M84" s="625">
        <v>0</v>
      </c>
      <c r="N84" s="625">
        <v>0</v>
      </c>
      <c r="O84" s="619">
        <v>0</v>
      </c>
      <c r="P84" s="619"/>
      <c r="Q84" s="625"/>
      <c r="R84" s="625"/>
      <c r="S84" s="621"/>
    </row>
    <row r="85" spans="1:19" ht="12.75">
      <c r="A85" s="606"/>
      <c r="B85" s="597" t="s">
        <v>763</v>
      </c>
      <c r="C85" s="619">
        <v>11392</v>
      </c>
      <c r="D85" s="625">
        <v>8306</v>
      </c>
      <c r="E85" s="625">
        <v>44978</v>
      </c>
      <c r="F85" s="625">
        <v>1098</v>
      </c>
      <c r="G85" s="625">
        <v>2727</v>
      </c>
      <c r="H85" s="625">
        <v>57</v>
      </c>
      <c r="I85" s="625">
        <v>0</v>
      </c>
      <c r="J85" s="619">
        <v>68558</v>
      </c>
      <c r="K85" s="619">
        <v>0</v>
      </c>
      <c r="L85" s="625">
        <v>0</v>
      </c>
      <c r="M85" s="625">
        <v>0</v>
      </c>
      <c r="N85" s="625">
        <v>0</v>
      </c>
      <c r="O85" s="619">
        <v>0</v>
      </c>
      <c r="P85" s="619">
        <v>0</v>
      </c>
      <c r="Q85" s="625">
        <v>0</v>
      </c>
      <c r="R85" s="625">
        <v>0</v>
      </c>
      <c r="S85" s="621">
        <v>0</v>
      </c>
    </row>
    <row r="86" spans="1:19" ht="12.75">
      <c r="A86" s="586" t="s">
        <v>92</v>
      </c>
      <c r="B86" s="577" t="s">
        <v>764</v>
      </c>
      <c r="C86" s="629">
        <v>1107439</v>
      </c>
      <c r="D86" s="630"/>
      <c r="E86" s="630">
        <v>322916</v>
      </c>
      <c r="F86" s="630">
        <v>211686</v>
      </c>
      <c r="G86" s="630">
        <v>575143</v>
      </c>
      <c r="H86" s="630">
        <v>50627</v>
      </c>
      <c r="I86" s="630"/>
      <c r="J86" s="629">
        <v>2267811</v>
      </c>
      <c r="K86" s="629">
        <v>80033</v>
      </c>
      <c r="L86" s="630">
        <v>564950</v>
      </c>
      <c r="M86" s="630">
        <v>430137</v>
      </c>
      <c r="N86" s="630">
        <v>351706</v>
      </c>
      <c r="O86" s="629">
        <v>1426826</v>
      </c>
      <c r="P86" s="616"/>
      <c r="Q86" s="617"/>
      <c r="R86" s="617"/>
      <c r="S86" s="618"/>
    </row>
    <row r="87" spans="1:19" ht="12.75">
      <c r="A87" s="475"/>
      <c r="B87" s="597" t="s">
        <v>758</v>
      </c>
      <c r="C87" s="643">
        <v>27852</v>
      </c>
      <c r="D87" s="645">
        <v>0</v>
      </c>
      <c r="E87" s="645">
        <v>2311</v>
      </c>
      <c r="F87" s="645">
        <v>6566</v>
      </c>
      <c r="G87" s="645">
        <v>39699</v>
      </c>
      <c r="H87" s="645">
        <v>313</v>
      </c>
      <c r="I87" s="645">
        <v>0</v>
      </c>
      <c r="J87" s="643">
        <v>76741</v>
      </c>
      <c r="K87" s="643">
        <v>17867</v>
      </c>
      <c r="L87" s="645">
        <v>74579</v>
      </c>
      <c r="M87" s="645">
        <v>46299</v>
      </c>
      <c r="N87" s="645">
        <v>41737</v>
      </c>
      <c r="O87" s="643">
        <v>180482</v>
      </c>
      <c r="P87" s="619">
        <v>0</v>
      </c>
      <c r="Q87" s="625">
        <v>0</v>
      </c>
      <c r="R87" s="625">
        <v>0</v>
      </c>
      <c r="S87" s="621">
        <v>0</v>
      </c>
    </row>
    <row r="88" spans="1:19" ht="12.75">
      <c r="A88" s="475"/>
      <c r="B88" s="597" t="s">
        <v>760</v>
      </c>
      <c r="C88" s="637">
        <v>179640</v>
      </c>
      <c r="D88" s="639"/>
      <c r="E88" s="639">
        <v>26248</v>
      </c>
      <c r="F88" s="639">
        <v>17587</v>
      </c>
      <c r="G88" s="639">
        <v>39396</v>
      </c>
      <c r="H88" s="639">
        <v>0</v>
      </c>
      <c r="I88" s="639"/>
      <c r="J88" s="637">
        <v>262871</v>
      </c>
      <c r="K88" s="619">
        <v>0</v>
      </c>
      <c r="L88" s="625">
        <v>0</v>
      </c>
      <c r="M88" s="625">
        <v>0</v>
      </c>
      <c r="N88" s="625">
        <v>0</v>
      </c>
      <c r="O88" s="619">
        <v>0</v>
      </c>
      <c r="P88" s="619"/>
      <c r="Q88" s="625"/>
      <c r="R88" s="625"/>
      <c r="S88" s="621"/>
    </row>
    <row r="89" spans="1:19" ht="12.75">
      <c r="A89" s="475"/>
      <c r="B89" s="597" t="s">
        <v>759</v>
      </c>
      <c r="C89" s="651">
        <v>25848</v>
      </c>
      <c r="D89" s="653">
        <v>0</v>
      </c>
      <c r="E89" s="653">
        <v>1144</v>
      </c>
      <c r="F89" s="653">
        <v>873</v>
      </c>
      <c r="G89" s="653">
        <v>8207</v>
      </c>
      <c r="H89" s="653">
        <v>0</v>
      </c>
      <c r="I89" s="653">
        <v>0</v>
      </c>
      <c r="J89" s="651">
        <v>36072</v>
      </c>
      <c r="K89" s="619">
        <v>0</v>
      </c>
      <c r="L89" s="625">
        <v>0</v>
      </c>
      <c r="M89" s="625">
        <v>0</v>
      </c>
      <c r="N89" s="625">
        <v>0</v>
      </c>
      <c r="O89" s="619">
        <v>0</v>
      </c>
      <c r="P89" s="619">
        <v>0</v>
      </c>
      <c r="Q89" s="625">
        <v>0</v>
      </c>
      <c r="R89" s="625">
        <v>0</v>
      </c>
      <c r="S89" s="621">
        <v>0</v>
      </c>
    </row>
    <row r="90" spans="1:19" ht="12.75">
      <c r="A90" s="475"/>
      <c r="B90" s="597" t="s">
        <v>761</v>
      </c>
      <c r="C90" s="632">
        <v>1098724</v>
      </c>
      <c r="D90" s="634"/>
      <c r="E90" s="634">
        <v>344075</v>
      </c>
      <c r="F90" s="634">
        <v>212646</v>
      </c>
      <c r="G90" s="634">
        <v>573316</v>
      </c>
      <c r="H90" s="634">
        <v>67797</v>
      </c>
      <c r="I90" s="634"/>
      <c r="J90" s="632">
        <v>2296558</v>
      </c>
      <c r="K90" s="632">
        <v>82396</v>
      </c>
      <c r="L90" s="634">
        <v>569111</v>
      </c>
      <c r="M90" s="634">
        <v>384731</v>
      </c>
      <c r="N90" s="634">
        <v>377563</v>
      </c>
      <c r="O90" s="632">
        <v>1413801</v>
      </c>
      <c r="P90" s="619"/>
      <c r="Q90" s="625"/>
      <c r="R90" s="625"/>
      <c r="S90" s="621"/>
    </row>
    <row r="91" spans="1:19" ht="12.75">
      <c r="A91" s="475"/>
      <c r="B91" s="597" t="s">
        <v>762</v>
      </c>
      <c r="C91" s="647">
        <v>40920</v>
      </c>
      <c r="D91" s="648">
        <v>0</v>
      </c>
      <c r="E91" s="648">
        <v>7396</v>
      </c>
      <c r="F91" s="648">
        <v>9704</v>
      </c>
      <c r="G91" s="648">
        <v>55969</v>
      </c>
      <c r="H91" s="648">
        <v>1099</v>
      </c>
      <c r="I91" s="648">
        <v>0</v>
      </c>
      <c r="J91" s="647">
        <v>115088</v>
      </c>
      <c r="K91" s="647">
        <v>21474</v>
      </c>
      <c r="L91" s="648">
        <v>80920</v>
      </c>
      <c r="M91" s="648">
        <v>50420</v>
      </c>
      <c r="N91" s="648">
        <v>53599</v>
      </c>
      <c r="O91" s="647">
        <v>206413</v>
      </c>
      <c r="P91" s="619">
        <v>0</v>
      </c>
      <c r="Q91" s="625">
        <v>0</v>
      </c>
      <c r="R91" s="625">
        <v>0</v>
      </c>
      <c r="S91" s="621">
        <v>0</v>
      </c>
    </row>
    <row r="92" spans="1:19" ht="12.75">
      <c r="A92" s="475"/>
      <c r="B92" s="597" t="s">
        <v>765</v>
      </c>
      <c r="C92" s="640">
        <v>174319</v>
      </c>
      <c r="D92" s="641"/>
      <c r="E92" s="641">
        <v>23983</v>
      </c>
      <c r="F92" s="641">
        <v>16798</v>
      </c>
      <c r="G92" s="641">
        <v>40713</v>
      </c>
      <c r="H92" s="641">
        <v>0</v>
      </c>
      <c r="I92" s="641"/>
      <c r="J92" s="640">
        <v>255813</v>
      </c>
      <c r="K92" s="619">
        <v>0</v>
      </c>
      <c r="L92" s="625">
        <v>0</v>
      </c>
      <c r="M92" s="625">
        <v>0</v>
      </c>
      <c r="N92" s="625">
        <v>0</v>
      </c>
      <c r="O92" s="619">
        <v>0</v>
      </c>
      <c r="P92" s="619"/>
      <c r="Q92" s="625"/>
      <c r="R92" s="625"/>
      <c r="S92" s="621"/>
    </row>
    <row r="93" spans="1:19" ht="12.75">
      <c r="A93" s="606"/>
      <c r="B93" s="597" t="s">
        <v>763</v>
      </c>
      <c r="C93" s="619">
        <v>14221</v>
      </c>
      <c r="D93" s="625">
        <v>0</v>
      </c>
      <c r="E93" s="625">
        <v>973</v>
      </c>
      <c r="F93" s="625">
        <v>318</v>
      </c>
      <c r="G93" s="625">
        <v>4796</v>
      </c>
      <c r="H93" s="625">
        <v>0</v>
      </c>
      <c r="I93" s="625">
        <v>0</v>
      </c>
      <c r="J93" s="619">
        <v>20308</v>
      </c>
      <c r="K93" s="619">
        <v>0</v>
      </c>
      <c r="L93" s="625">
        <v>0</v>
      </c>
      <c r="M93" s="625">
        <v>0</v>
      </c>
      <c r="N93" s="625">
        <v>0</v>
      </c>
      <c r="O93" s="619">
        <v>0</v>
      </c>
      <c r="P93" s="619">
        <v>0</v>
      </c>
      <c r="Q93" s="625">
        <v>0</v>
      </c>
      <c r="R93" s="625">
        <v>0</v>
      </c>
      <c r="S93" s="621">
        <v>0</v>
      </c>
    </row>
    <row r="94" spans="1:19" ht="12.75">
      <c r="A94" s="586" t="s">
        <v>131</v>
      </c>
      <c r="B94" s="577" t="s">
        <v>764</v>
      </c>
      <c r="C94" s="629">
        <v>4056865</v>
      </c>
      <c r="D94" s="630">
        <v>838625</v>
      </c>
      <c r="E94" s="630">
        <v>4448606</v>
      </c>
      <c r="F94" s="630">
        <v>216314</v>
      </c>
      <c r="G94" s="630">
        <v>40299</v>
      </c>
      <c r="H94" s="630">
        <v>278099</v>
      </c>
      <c r="I94" s="630"/>
      <c r="J94" s="629">
        <v>9878808</v>
      </c>
      <c r="K94" s="629"/>
      <c r="L94" s="630">
        <v>7681396</v>
      </c>
      <c r="M94" s="630">
        <v>2899999</v>
      </c>
      <c r="N94" s="630">
        <v>478581</v>
      </c>
      <c r="O94" s="629">
        <v>11059976</v>
      </c>
      <c r="P94" s="616"/>
      <c r="Q94" s="617"/>
      <c r="R94" s="617"/>
      <c r="S94" s="618"/>
    </row>
    <row r="95" spans="1:19" ht="12.75">
      <c r="A95" s="475"/>
      <c r="B95" s="597" t="s">
        <v>758</v>
      </c>
      <c r="C95" s="643">
        <v>77880</v>
      </c>
      <c r="D95" s="645">
        <v>17498</v>
      </c>
      <c r="E95" s="645">
        <v>85670</v>
      </c>
      <c r="F95" s="645">
        <v>9787</v>
      </c>
      <c r="G95" s="645">
        <v>10236</v>
      </c>
      <c r="H95" s="645">
        <v>12528</v>
      </c>
      <c r="I95" s="645">
        <v>0</v>
      </c>
      <c r="J95" s="643">
        <v>213599</v>
      </c>
      <c r="K95" s="643">
        <v>0</v>
      </c>
      <c r="L95" s="645">
        <v>597862</v>
      </c>
      <c r="M95" s="645">
        <v>198407</v>
      </c>
      <c r="N95" s="645">
        <v>31008</v>
      </c>
      <c r="O95" s="643">
        <v>827277</v>
      </c>
      <c r="P95" s="619">
        <v>0</v>
      </c>
      <c r="Q95" s="625">
        <v>0</v>
      </c>
      <c r="R95" s="625">
        <v>0</v>
      </c>
      <c r="S95" s="621">
        <v>0</v>
      </c>
    </row>
    <row r="96" spans="1:19" ht="12.75">
      <c r="A96" s="475"/>
      <c r="B96" s="597" t="s">
        <v>760</v>
      </c>
      <c r="C96" s="637">
        <v>796599</v>
      </c>
      <c r="D96" s="639">
        <v>252460</v>
      </c>
      <c r="E96" s="639">
        <v>577111</v>
      </c>
      <c r="F96" s="639">
        <v>33858</v>
      </c>
      <c r="G96" s="639">
        <v>23531</v>
      </c>
      <c r="H96" s="639">
        <v>2393</v>
      </c>
      <c r="I96" s="639"/>
      <c r="J96" s="637">
        <v>1685952</v>
      </c>
      <c r="K96" s="619"/>
      <c r="L96" s="625">
        <v>0</v>
      </c>
      <c r="M96" s="625">
        <v>0</v>
      </c>
      <c r="N96" s="625">
        <v>0</v>
      </c>
      <c r="O96" s="619">
        <v>0</v>
      </c>
      <c r="P96" s="619"/>
      <c r="Q96" s="625"/>
      <c r="R96" s="625"/>
      <c r="S96" s="621"/>
    </row>
    <row r="97" spans="1:19" ht="12.75">
      <c r="A97" s="475"/>
      <c r="B97" s="597" t="s">
        <v>759</v>
      </c>
      <c r="C97" s="651">
        <v>41659</v>
      </c>
      <c r="D97" s="653">
        <v>28917</v>
      </c>
      <c r="E97" s="653">
        <v>40155</v>
      </c>
      <c r="F97" s="653">
        <v>4531</v>
      </c>
      <c r="G97" s="653">
        <v>12366</v>
      </c>
      <c r="H97" s="653">
        <v>12</v>
      </c>
      <c r="I97" s="653">
        <v>0</v>
      </c>
      <c r="J97" s="651">
        <v>127640</v>
      </c>
      <c r="K97" s="619">
        <v>0</v>
      </c>
      <c r="L97" s="625">
        <v>0</v>
      </c>
      <c r="M97" s="625">
        <v>0</v>
      </c>
      <c r="N97" s="625">
        <v>0</v>
      </c>
      <c r="O97" s="619">
        <v>0</v>
      </c>
      <c r="P97" s="619">
        <v>0</v>
      </c>
      <c r="Q97" s="625">
        <v>0</v>
      </c>
      <c r="R97" s="625">
        <v>0</v>
      </c>
      <c r="S97" s="621">
        <v>0</v>
      </c>
    </row>
    <row r="98" spans="1:19" ht="12.75">
      <c r="A98" s="475"/>
      <c r="B98" s="597" t="s">
        <v>761</v>
      </c>
      <c r="C98" s="632">
        <v>4015106</v>
      </c>
      <c r="D98" s="634">
        <v>898936</v>
      </c>
      <c r="E98" s="634">
        <v>4663087</v>
      </c>
      <c r="F98" s="634">
        <v>239879</v>
      </c>
      <c r="G98" s="634">
        <v>43084</v>
      </c>
      <c r="H98" s="634">
        <v>292473</v>
      </c>
      <c r="I98" s="634"/>
      <c r="J98" s="632">
        <v>10152565</v>
      </c>
      <c r="K98" s="632"/>
      <c r="L98" s="634">
        <v>8017729</v>
      </c>
      <c r="M98" s="634">
        <v>2948340</v>
      </c>
      <c r="N98" s="634">
        <v>494936</v>
      </c>
      <c r="O98" s="632">
        <v>11461005</v>
      </c>
      <c r="P98" s="619"/>
      <c r="Q98" s="625"/>
      <c r="R98" s="625"/>
      <c r="S98" s="621"/>
    </row>
    <row r="99" spans="1:19" ht="12.75">
      <c r="A99" s="475"/>
      <c r="B99" s="597" t="s">
        <v>762</v>
      </c>
      <c r="C99" s="647">
        <v>135416</v>
      </c>
      <c r="D99" s="648">
        <v>26683</v>
      </c>
      <c r="E99" s="648">
        <v>135580</v>
      </c>
      <c r="F99" s="648">
        <v>16956</v>
      </c>
      <c r="G99" s="648">
        <v>14434</v>
      </c>
      <c r="H99" s="648">
        <v>14751</v>
      </c>
      <c r="I99" s="648">
        <v>0</v>
      </c>
      <c r="J99" s="647">
        <v>343820</v>
      </c>
      <c r="K99" s="647">
        <v>0</v>
      </c>
      <c r="L99" s="648">
        <v>829754</v>
      </c>
      <c r="M99" s="648">
        <v>312670</v>
      </c>
      <c r="N99" s="648">
        <v>55629</v>
      </c>
      <c r="O99" s="647">
        <v>1198053</v>
      </c>
      <c r="P99" s="619">
        <v>0</v>
      </c>
      <c r="Q99" s="625">
        <v>0</v>
      </c>
      <c r="R99" s="625">
        <v>0</v>
      </c>
      <c r="S99" s="621">
        <v>0</v>
      </c>
    </row>
    <row r="100" spans="1:19" ht="12.75">
      <c r="A100" s="475"/>
      <c r="B100" s="597" t="s">
        <v>765</v>
      </c>
      <c r="C100" s="640">
        <v>773542</v>
      </c>
      <c r="D100" s="641">
        <v>267418</v>
      </c>
      <c r="E100" s="641">
        <v>610273</v>
      </c>
      <c r="F100" s="641">
        <v>40420</v>
      </c>
      <c r="G100" s="641">
        <v>22419</v>
      </c>
      <c r="H100" s="641">
        <v>2576</v>
      </c>
      <c r="I100" s="641"/>
      <c r="J100" s="640">
        <v>1716648</v>
      </c>
      <c r="K100" s="619"/>
      <c r="L100" s="625">
        <v>0</v>
      </c>
      <c r="M100" s="625">
        <v>0</v>
      </c>
      <c r="N100" s="625">
        <v>0</v>
      </c>
      <c r="O100" s="619">
        <v>0</v>
      </c>
      <c r="P100" s="619"/>
      <c r="Q100" s="625"/>
      <c r="R100" s="625"/>
      <c r="S100" s="621"/>
    </row>
    <row r="101" spans="1:19" ht="12.75">
      <c r="A101" s="606"/>
      <c r="B101" s="597" t="s">
        <v>763</v>
      </c>
      <c r="C101" s="619">
        <v>42418</v>
      </c>
      <c r="D101" s="625">
        <v>48840</v>
      </c>
      <c r="E101" s="625">
        <v>64125</v>
      </c>
      <c r="F101" s="625">
        <v>6329</v>
      </c>
      <c r="G101" s="625">
        <v>12417</v>
      </c>
      <c r="H101" s="625">
        <v>0</v>
      </c>
      <c r="I101" s="625">
        <v>0</v>
      </c>
      <c r="J101" s="619">
        <v>174129</v>
      </c>
      <c r="K101" s="619">
        <v>0</v>
      </c>
      <c r="L101" s="625">
        <v>0</v>
      </c>
      <c r="M101" s="625">
        <v>0</v>
      </c>
      <c r="N101" s="625">
        <v>0</v>
      </c>
      <c r="O101" s="619">
        <v>0</v>
      </c>
      <c r="P101" s="619">
        <v>0</v>
      </c>
      <c r="Q101" s="625">
        <v>0</v>
      </c>
      <c r="R101" s="625">
        <v>0</v>
      </c>
      <c r="S101" s="621">
        <v>0</v>
      </c>
    </row>
    <row r="102" spans="1:19" ht="12.75">
      <c r="A102" s="586" t="s">
        <v>18</v>
      </c>
      <c r="B102" s="577" t="s">
        <v>764</v>
      </c>
      <c r="C102" s="629">
        <v>271601</v>
      </c>
      <c r="D102" s="630"/>
      <c r="E102" s="630">
        <v>131007</v>
      </c>
      <c r="F102" s="630"/>
      <c r="G102" s="630"/>
      <c r="H102" s="630">
        <v>280863</v>
      </c>
      <c r="I102" s="630"/>
      <c r="J102" s="629">
        <v>683471</v>
      </c>
      <c r="K102" s="629">
        <v>38448</v>
      </c>
      <c r="L102" s="630"/>
      <c r="M102" s="630">
        <v>34407</v>
      </c>
      <c r="N102" s="630">
        <v>151166</v>
      </c>
      <c r="O102" s="629">
        <v>224021</v>
      </c>
      <c r="P102" s="616"/>
      <c r="Q102" s="617"/>
      <c r="R102" s="617"/>
      <c r="S102" s="618"/>
    </row>
    <row r="103" spans="1:19" ht="12.75">
      <c r="A103" s="475"/>
      <c r="B103" s="597" t="s">
        <v>758</v>
      </c>
      <c r="C103" s="643">
        <v>5156</v>
      </c>
      <c r="D103" s="645">
        <v>0</v>
      </c>
      <c r="E103" s="645">
        <v>5409</v>
      </c>
      <c r="F103" s="645">
        <v>0</v>
      </c>
      <c r="G103" s="645">
        <v>0</v>
      </c>
      <c r="H103" s="645">
        <v>5756</v>
      </c>
      <c r="I103" s="645">
        <v>0</v>
      </c>
      <c r="J103" s="643">
        <v>16321</v>
      </c>
      <c r="K103" s="643">
        <v>4106</v>
      </c>
      <c r="L103" s="645">
        <v>0</v>
      </c>
      <c r="M103" s="645">
        <v>1175</v>
      </c>
      <c r="N103" s="645">
        <v>10215</v>
      </c>
      <c r="O103" s="643">
        <v>15496</v>
      </c>
      <c r="P103" s="619">
        <v>0</v>
      </c>
      <c r="Q103" s="625">
        <v>0</v>
      </c>
      <c r="R103" s="625">
        <v>0</v>
      </c>
      <c r="S103" s="621">
        <v>0</v>
      </c>
    </row>
    <row r="104" spans="1:19" ht="12.75">
      <c r="A104" s="475"/>
      <c r="B104" s="597" t="s">
        <v>760</v>
      </c>
      <c r="C104" s="637">
        <v>42430</v>
      </c>
      <c r="D104" s="639"/>
      <c r="E104" s="639">
        <v>18075</v>
      </c>
      <c r="F104" s="639"/>
      <c r="G104" s="639"/>
      <c r="H104" s="639">
        <v>1720</v>
      </c>
      <c r="I104" s="639"/>
      <c r="J104" s="637">
        <v>62225</v>
      </c>
      <c r="K104" s="619">
        <v>0</v>
      </c>
      <c r="L104" s="625"/>
      <c r="M104" s="625">
        <v>6</v>
      </c>
      <c r="N104" s="625">
        <v>3</v>
      </c>
      <c r="O104" s="619">
        <v>9</v>
      </c>
      <c r="P104" s="619"/>
      <c r="Q104" s="625"/>
      <c r="R104" s="625"/>
      <c r="S104" s="621"/>
    </row>
    <row r="105" spans="1:19" ht="12.75">
      <c r="A105" s="475"/>
      <c r="B105" s="597" t="s">
        <v>759</v>
      </c>
      <c r="C105" s="651">
        <v>4418</v>
      </c>
      <c r="D105" s="653">
        <v>0</v>
      </c>
      <c r="E105" s="653">
        <v>5021</v>
      </c>
      <c r="F105" s="653">
        <v>0</v>
      </c>
      <c r="G105" s="653">
        <v>0</v>
      </c>
      <c r="H105" s="653">
        <v>807</v>
      </c>
      <c r="I105" s="653">
        <v>0</v>
      </c>
      <c r="J105" s="651">
        <v>10246</v>
      </c>
      <c r="K105" s="619">
        <v>0</v>
      </c>
      <c r="L105" s="625">
        <v>0</v>
      </c>
      <c r="M105" s="625">
        <v>6</v>
      </c>
      <c r="N105" s="625">
        <v>0</v>
      </c>
      <c r="O105" s="619">
        <v>6</v>
      </c>
      <c r="P105" s="619">
        <v>0</v>
      </c>
      <c r="Q105" s="625">
        <v>0</v>
      </c>
      <c r="R105" s="625">
        <v>0</v>
      </c>
      <c r="S105" s="621">
        <v>0</v>
      </c>
    </row>
    <row r="106" spans="1:19" ht="12.75">
      <c r="A106" s="475"/>
      <c r="B106" s="597" t="s">
        <v>761</v>
      </c>
      <c r="C106" s="632">
        <v>570971</v>
      </c>
      <c r="D106" s="634"/>
      <c r="E106" s="634">
        <v>267218</v>
      </c>
      <c r="F106" s="634"/>
      <c r="G106" s="634"/>
      <c r="H106" s="634">
        <v>576282</v>
      </c>
      <c r="I106" s="634"/>
      <c r="J106" s="632">
        <v>1414471</v>
      </c>
      <c r="K106" s="632">
        <v>82040</v>
      </c>
      <c r="L106" s="634"/>
      <c r="M106" s="634">
        <v>65902</v>
      </c>
      <c r="N106" s="634">
        <v>306982</v>
      </c>
      <c r="O106" s="632">
        <v>454924</v>
      </c>
      <c r="P106" s="619"/>
      <c r="Q106" s="625"/>
      <c r="R106" s="625"/>
      <c r="S106" s="621"/>
    </row>
    <row r="107" spans="1:19" ht="12.75">
      <c r="A107" s="475"/>
      <c r="B107" s="597" t="s">
        <v>762</v>
      </c>
      <c r="C107" s="647">
        <v>18439</v>
      </c>
      <c r="D107" s="648">
        <v>0</v>
      </c>
      <c r="E107" s="648">
        <v>18918</v>
      </c>
      <c r="F107" s="648">
        <v>0</v>
      </c>
      <c r="G107" s="648">
        <v>0</v>
      </c>
      <c r="H107" s="648">
        <v>19531</v>
      </c>
      <c r="I107" s="648">
        <v>0</v>
      </c>
      <c r="J107" s="647">
        <v>56888</v>
      </c>
      <c r="K107" s="647">
        <v>6295</v>
      </c>
      <c r="L107" s="648">
        <v>0</v>
      </c>
      <c r="M107" s="648">
        <v>2506</v>
      </c>
      <c r="N107" s="648">
        <v>24780</v>
      </c>
      <c r="O107" s="647">
        <v>33581</v>
      </c>
      <c r="P107" s="619">
        <v>0</v>
      </c>
      <c r="Q107" s="625">
        <v>0</v>
      </c>
      <c r="R107" s="625">
        <v>0</v>
      </c>
      <c r="S107" s="621">
        <v>0</v>
      </c>
    </row>
    <row r="108" spans="1:19" ht="12.75">
      <c r="A108" s="475"/>
      <c r="B108" s="597" t="s">
        <v>765</v>
      </c>
      <c r="C108" s="640">
        <v>108377</v>
      </c>
      <c r="D108" s="641"/>
      <c r="E108" s="641">
        <v>55148</v>
      </c>
      <c r="F108" s="641"/>
      <c r="G108" s="641"/>
      <c r="H108" s="641">
        <v>4459</v>
      </c>
      <c r="I108" s="641"/>
      <c r="J108" s="640">
        <v>167984</v>
      </c>
      <c r="K108" s="619">
        <v>0</v>
      </c>
      <c r="L108" s="625"/>
      <c r="M108" s="625">
        <v>6</v>
      </c>
      <c r="N108" s="625">
        <v>2</v>
      </c>
      <c r="O108" s="619">
        <v>8</v>
      </c>
      <c r="P108" s="619"/>
      <c r="Q108" s="625"/>
      <c r="R108" s="625"/>
      <c r="S108" s="621"/>
    </row>
    <row r="109" spans="1:19" ht="12.75">
      <c r="A109" s="610"/>
      <c r="B109" s="611" t="s">
        <v>763</v>
      </c>
      <c r="C109" s="626">
        <v>11598</v>
      </c>
      <c r="D109" s="627">
        <v>0</v>
      </c>
      <c r="E109" s="627">
        <v>10785</v>
      </c>
      <c r="F109" s="627">
        <v>0</v>
      </c>
      <c r="G109" s="627">
        <v>0</v>
      </c>
      <c r="H109" s="627">
        <v>1797</v>
      </c>
      <c r="I109" s="627">
        <v>0</v>
      </c>
      <c r="J109" s="626">
        <v>24180</v>
      </c>
      <c r="K109" s="626">
        <v>0</v>
      </c>
      <c r="L109" s="627">
        <v>0</v>
      </c>
      <c r="M109" s="627">
        <v>6</v>
      </c>
      <c r="N109" s="627">
        <v>0</v>
      </c>
      <c r="O109" s="626">
        <v>6</v>
      </c>
      <c r="P109" s="626">
        <v>0</v>
      </c>
      <c r="Q109" s="627">
        <v>0</v>
      </c>
      <c r="R109" s="627">
        <v>0</v>
      </c>
      <c r="S109" s="628">
        <v>0</v>
      </c>
    </row>
    <row r="110" spans="1:19" ht="12.75">
      <c r="A110"/>
      <c r="B110"/>
      <c r="C110"/>
      <c r="D110"/>
      <c r="E110"/>
      <c r="F110"/>
      <c r="G110"/>
      <c r="H110"/>
      <c r="I110"/>
      <c r="J110"/>
      <c r="K110"/>
      <c r="L110"/>
      <c r="M110"/>
      <c r="N110"/>
      <c r="O110"/>
      <c r="P110"/>
      <c r="Q110"/>
      <c r="R110"/>
      <c r="S110"/>
    </row>
    <row r="111" spans="1:19" ht="12.75">
      <c r="A111"/>
      <c r="B111"/>
      <c r="C111"/>
      <c r="D111"/>
      <c r="E111"/>
      <c r="F111"/>
      <c r="G111"/>
      <c r="H111"/>
      <c r="I111"/>
      <c r="J111"/>
      <c r="K111"/>
      <c r="L111"/>
      <c r="M111"/>
      <c r="N111"/>
      <c r="O111"/>
      <c r="P111"/>
      <c r="Q111"/>
      <c r="R111"/>
      <c r="S111"/>
    </row>
    <row r="112" spans="1:19" ht="12.75">
      <c r="A112"/>
      <c r="B112"/>
      <c r="C112"/>
      <c r="D112"/>
      <c r="E112"/>
      <c r="F112"/>
      <c r="G112"/>
      <c r="H112"/>
      <c r="I112"/>
      <c r="J112"/>
      <c r="K112"/>
      <c r="L112"/>
      <c r="M112"/>
      <c r="N112"/>
      <c r="O112"/>
      <c r="P112"/>
      <c r="Q112"/>
      <c r="R112"/>
      <c r="S112"/>
    </row>
    <row r="113" spans="1:19" ht="12.75">
      <c r="A113"/>
      <c r="B113"/>
      <c r="C113"/>
      <c r="D113"/>
      <c r="E113"/>
      <c r="F113"/>
      <c r="G113"/>
      <c r="H113"/>
      <c r="I113"/>
      <c r="J113"/>
      <c r="K113"/>
      <c r="L113"/>
      <c r="M113"/>
      <c r="N113"/>
      <c r="O113"/>
      <c r="P113"/>
      <c r="Q113"/>
      <c r="R113"/>
      <c r="S113"/>
    </row>
    <row r="114" spans="1:21" s="583" customFormat="1" ht="12.75">
      <c r="A114"/>
      <c r="B114"/>
      <c r="C114"/>
      <c r="D114"/>
      <c r="E114"/>
      <c r="F114"/>
      <c r="G114"/>
      <c r="H114"/>
      <c r="I114"/>
      <c r="J114"/>
      <c r="K114"/>
      <c r="L114"/>
      <c r="M114"/>
      <c r="N114"/>
      <c r="O114"/>
      <c r="P114"/>
      <c r="Q114"/>
      <c r="R114"/>
      <c r="S114"/>
      <c r="T114" s="580"/>
      <c r="U114" s="580"/>
    </row>
    <row r="115" spans="1:19" ht="12.75">
      <c r="A115"/>
      <c r="B115"/>
      <c r="C115"/>
      <c r="D115"/>
      <c r="E115"/>
      <c r="F115"/>
      <c r="G115"/>
      <c r="H115"/>
      <c r="I115"/>
      <c r="J115"/>
      <c r="K115"/>
      <c r="L115"/>
      <c r="M115"/>
      <c r="N115"/>
      <c r="O115"/>
      <c r="P115"/>
      <c r="Q115"/>
      <c r="R115"/>
      <c r="S115"/>
    </row>
    <row r="116" spans="1:19" ht="12.75">
      <c r="A116"/>
      <c r="B116"/>
      <c r="C116"/>
      <c r="D116"/>
      <c r="E116"/>
      <c r="F116"/>
      <c r="G116"/>
      <c r="H116"/>
      <c r="I116"/>
      <c r="J116"/>
      <c r="K116"/>
      <c r="L116"/>
      <c r="M116"/>
      <c r="N116"/>
      <c r="O116"/>
      <c r="P116"/>
      <c r="Q116"/>
      <c r="R116"/>
      <c r="S116"/>
    </row>
    <row r="117" spans="1:19" ht="12.75">
      <c r="A117"/>
      <c r="B117"/>
      <c r="C117"/>
      <c r="D117"/>
      <c r="E117"/>
      <c r="F117"/>
      <c r="G117"/>
      <c r="H117"/>
      <c r="I117"/>
      <c r="J117"/>
      <c r="K117"/>
      <c r="L117"/>
      <c r="M117"/>
      <c r="N117"/>
      <c r="O117"/>
      <c r="P117"/>
      <c r="Q117"/>
      <c r="R117"/>
      <c r="S117"/>
    </row>
    <row r="118" spans="1:19" ht="12.75">
      <c r="A118"/>
      <c r="B118"/>
      <c r="C118" s="615"/>
      <c r="D118" s="615"/>
      <c r="E118" s="615"/>
      <c r="F118" s="615"/>
      <c r="G118" s="615"/>
      <c r="H118" s="615"/>
      <c r="I118" s="615"/>
      <c r="J118" s="615"/>
      <c r="K118" s="615"/>
      <c r="L118" s="615"/>
      <c r="M118" s="615"/>
      <c r="N118" s="615"/>
      <c r="O118" s="615"/>
      <c r="P118" s="615"/>
      <c r="Q118" s="615"/>
      <c r="R118" s="615"/>
      <c r="S118" s="615"/>
    </row>
    <row r="119" spans="1:19" ht="12.75">
      <c r="A119"/>
      <c r="B119"/>
      <c r="C119" s="615"/>
      <c r="D119" s="615"/>
      <c r="E119" s="615"/>
      <c r="F119" s="615"/>
      <c r="G119" s="615"/>
      <c r="H119" s="615"/>
      <c r="I119" s="615"/>
      <c r="J119" s="615"/>
      <c r="K119" s="615"/>
      <c r="L119" s="615"/>
      <c r="M119" s="615"/>
      <c r="N119" s="615"/>
      <c r="O119" s="615"/>
      <c r="P119" s="615"/>
      <c r="Q119" s="615"/>
      <c r="R119" s="615"/>
      <c r="S119" s="615"/>
    </row>
    <row r="120" spans="1:19" ht="12.75">
      <c r="A120"/>
      <c r="B120"/>
      <c r="C120" s="615"/>
      <c r="D120" s="615"/>
      <c r="E120" s="615"/>
      <c r="F120" s="615"/>
      <c r="G120" s="615"/>
      <c r="H120" s="615"/>
      <c r="I120" s="615"/>
      <c r="J120" s="615"/>
      <c r="K120" s="615"/>
      <c r="L120" s="615"/>
      <c r="M120" s="615"/>
      <c r="N120" s="615"/>
      <c r="O120" s="615"/>
      <c r="P120" s="615"/>
      <c r="Q120" s="615"/>
      <c r="R120" s="615"/>
      <c r="S120" s="615"/>
    </row>
    <row r="121" spans="1:19" ht="12.75">
      <c r="A121"/>
      <c r="B121"/>
      <c r="C121" s="615"/>
      <c r="D121" s="615"/>
      <c r="E121" s="615"/>
      <c r="F121" s="615"/>
      <c r="G121" s="615"/>
      <c r="H121" s="615"/>
      <c r="I121" s="615"/>
      <c r="J121" s="615"/>
      <c r="K121" s="615"/>
      <c r="L121" s="615"/>
      <c r="M121" s="615"/>
      <c r="N121" s="615"/>
      <c r="O121" s="615"/>
      <c r="P121" s="615"/>
      <c r="Q121" s="615"/>
      <c r="R121" s="615"/>
      <c r="S121" s="615"/>
    </row>
    <row r="122" spans="1:19" ht="12.75">
      <c r="A122"/>
      <c r="B122"/>
      <c r="C122" s="615"/>
      <c r="D122" s="615"/>
      <c r="E122" s="615"/>
      <c r="F122" s="615"/>
      <c r="G122" s="615"/>
      <c r="H122" s="615"/>
      <c r="I122" s="615"/>
      <c r="J122" s="615"/>
      <c r="K122" s="615"/>
      <c r="L122" s="615"/>
      <c r="M122" s="615"/>
      <c r="N122" s="615"/>
      <c r="O122" s="615"/>
      <c r="P122" s="615"/>
      <c r="Q122" s="615"/>
      <c r="R122" s="615"/>
      <c r="S122" s="615"/>
    </row>
    <row r="123" spans="1:19" ht="12.75">
      <c r="A123"/>
      <c r="B123"/>
      <c r="C123" s="615"/>
      <c r="D123" s="615"/>
      <c r="E123" s="615"/>
      <c r="F123" s="615"/>
      <c r="G123" s="615"/>
      <c r="H123" s="615"/>
      <c r="I123" s="615"/>
      <c r="J123" s="615"/>
      <c r="K123" s="615"/>
      <c r="L123" s="615"/>
      <c r="M123" s="615"/>
      <c r="N123" s="615"/>
      <c r="O123" s="615"/>
      <c r="P123" s="615"/>
      <c r="Q123" s="615"/>
      <c r="R123" s="615"/>
      <c r="S123" s="615"/>
    </row>
    <row r="124" spans="1:19" ht="12.75">
      <c r="A124"/>
      <c r="B124"/>
      <c r="C124" s="615"/>
      <c r="D124" s="615"/>
      <c r="E124" s="615"/>
      <c r="F124" s="615"/>
      <c r="G124" s="615"/>
      <c r="H124" s="615"/>
      <c r="I124" s="615"/>
      <c r="J124" s="615"/>
      <c r="K124" s="615"/>
      <c r="L124" s="615"/>
      <c r="M124" s="615"/>
      <c r="N124" s="615"/>
      <c r="O124" s="615"/>
      <c r="P124" s="615"/>
      <c r="Q124" s="615"/>
      <c r="R124" s="615"/>
      <c r="S124" s="615"/>
    </row>
    <row r="125" spans="1:19" ht="12.75">
      <c r="A125"/>
      <c r="B125"/>
      <c r="C125" s="615"/>
      <c r="D125" s="615"/>
      <c r="E125" s="615"/>
      <c r="F125" s="615"/>
      <c r="G125" s="615"/>
      <c r="H125" s="615"/>
      <c r="I125" s="615"/>
      <c r="J125" s="615"/>
      <c r="K125" s="615"/>
      <c r="L125" s="615"/>
      <c r="M125" s="615"/>
      <c r="N125" s="615"/>
      <c r="O125" s="615"/>
      <c r="P125" s="615"/>
      <c r="Q125" s="615"/>
      <c r="R125" s="615"/>
      <c r="S125" s="615"/>
    </row>
    <row r="126" spans="1:19" ht="12.75">
      <c r="A126"/>
      <c r="B126"/>
      <c r="C126" s="615"/>
      <c r="D126" s="615"/>
      <c r="E126" s="615"/>
      <c r="F126" s="615"/>
      <c r="G126" s="615"/>
      <c r="H126" s="615"/>
      <c r="I126" s="615"/>
      <c r="J126" s="615"/>
      <c r="K126" s="615"/>
      <c r="L126" s="615"/>
      <c r="M126" s="615"/>
      <c r="N126" s="615"/>
      <c r="O126" s="615"/>
      <c r="P126" s="615"/>
      <c r="Q126" s="615"/>
      <c r="R126" s="615"/>
      <c r="S126" s="615"/>
    </row>
    <row r="127" spans="1:19" ht="12.75">
      <c r="A127"/>
      <c r="B127"/>
      <c r="C127" s="615"/>
      <c r="D127" s="615"/>
      <c r="E127" s="615"/>
      <c r="F127" s="615"/>
      <c r="G127" s="615"/>
      <c r="H127" s="615"/>
      <c r="I127" s="615"/>
      <c r="J127" s="615"/>
      <c r="K127" s="615"/>
      <c r="L127" s="615"/>
      <c r="M127" s="615"/>
      <c r="N127" s="615"/>
      <c r="O127" s="615"/>
      <c r="P127" s="615"/>
      <c r="Q127" s="615"/>
      <c r="R127" s="615"/>
      <c r="S127" s="615"/>
    </row>
    <row r="128" spans="1:19" ht="12.75">
      <c r="A128"/>
      <c r="B128"/>
      <c r="C128" s="615"/>
      <c r="D128" s="615"/>
      <c r="E128" s="615"/>
      <c r="F128" s="615"/>
      <c r="G128" s="615"/>
      <c r="H128" s="615"/>
      <c r="I128" s="615"/>
      <c r="J128" s="615"/>
      <c r="K128" s="615"/>
      <c r="L128" s="615"/>
      <c r="M128" s="615"/>
      <c r="N128" s="615"/>
      <c r="O128" s="615"/>
      <c r="P128" s="615"/>
      <c r="Q128" s="615"/>
      <c r="R128" s="615"/>
      <c r="S128" s="615"/>
    </row>
    <row r="129" spans="1:19" ht="12.75">
      <c r="A129"/>
      <c r="B129"/>
      <c r="C129" s="615"/>
      <c r="D129" s="615"/>
      <c r="E129" s="615"/>
      <c r="F129" s="615"/>
      <c r="G129" s="615"/>
      <c r="H129" s="615"/>
      <c r="I129" s="615"/>
      <c r="J129" s="615"/>
      <c r="K129" s="615"/>
      <c r="L129" s="615"/>
      <c r="M129" s="615"/>
      <c r="N129" s="615"/>
      <c r="O129" s="615"/>
      <c r="P129" s="615"/>
      <c r="Q129" s="615"/>
      <c r="R129" s="615"/>
      <c r="S129" s="615"/>
    </row>
    <row r="130" spans="1:19" ht="12.75">
      <c r="A130"/>
      <c r="B130"/>
      <c r="C130" s="615"/>
      <c r="D130" s="615"/>
      <c r="E130" s="615"/>
      <c r="F130" s="615"/>
      <c r="G130" s="615"/>
      <c r="H130" s="615"/>
      <c r="I130" s="615"/>
      <c r="J130" s="615"/>
      <c r="K130" s="615"/>
      <c r="L130" s="615"/>
      <c r="M130" s="615"/>
      <c r="N130" s="615"/>
      <c r="O130" s="615"/>
      <c r="P130" s="615"/>
      <c r="Q130" s="615"/>
      <c r="R130" s="615"/>
      <c r="S130" s="615"/>
    </row>
    <row r="131" spans="1:19" ht="12.75">
      <c r="A131"/>
      <c r="B131"/>
      <c r="C131" s="615"/>
      <c r="D131" s="615"/>
      <c r="E131" s="615"/>
      <c r="F131" s="615"/>
      <c r="G131" s="615"/>
      <c r="H131" s="615"/>
      <c r="I131" s="615"/>
      <c r="J131" s="615"/>
      <c r="K131" s="615"/>
      <c r="L131" s="615"/>
      <c r="M131" s="615"/>
      <c r="N131" s="615"/>
      <c r="O131" s="615"/>
      <c r="P131" s="615"/>
      <c r="Q131" s="615"/>
      <c r="R131" s="615"/>
      <c r="S131" s="615"/>
    </row>
    <row r="132" spans="1:19" ht="12.75">
      <c r="A132"/>
      <c r="B132"/>
      <c r="C132" s="615"/>
      <c r="D132" s="615"/>
      <c r="E132" s="615"/>
      <c r="F132" s="615"/>
      <c r="G132" s="615"/>
      <c r="H132" s="615"/>
      <c r="I132" s="615"/>
      <c r="J132" s="615"/>
      <c r="K132" s="615"/>
      <c r="L132" s="615"/>
      <c r="M132" s="615"/>
      <c r="N132" s="615"/>
      <c r="O132" s="615"/>
      <c r="P132" s="615"/>
      <c r="Q132" s="615"/>
      <c r="R132" s="615"/>
      <c r="S132" s="615"/>
    </row>
    <row r="133" spans="1:19" ht="12.75">
      <c r="A133"/>
      <c r="B133"/>
      <c r="C133" s="615"/>
      <c r="D133" s="615"/>
      <c r="E133" s="615"/>
      <c r="F133" s="615"/>
      <c r="G133" s="615"/>
      <c r="H133" s="615"/>
      <c r="I133" s="615"/>
      <c r="J133" s="615"/>
      <c r="K133" s="615"/>
      <c r="L133" s="615"/>
      <c r="M133" s="615"/>
      <c r="N133" s="615"/>
      <c r="O133" s="615"/>
      <c r="P133" s="615"/>
      <c r="Q133" s="615"/>
      <c r="R133" s="615"/>
      <c r="S133" s="615"/>
    </row>
    <row r="134" spans="1:19" ht="12.75">
      <c r="A134"/>
      <c r="B134"/>
      <c r="C134" s="615"/>
      <c r="D134" s="615"/>
      <c r="E134" s="615"/>
      <c r="F134" s="615"/>
      <c r="G134" s="615"/>
      <c r="H134" s="615"/>
      <c r="I134" s="615"/>
      <c r="J134" s="615"/>
      <c r="K134" s="615"/>
      <c r="L134" s="615"/>
      <c r="M134" s="615"/>
      <c r="N134" s="615"/>
      <c r="O134" s="615"/>
      <c r="P134" s="615"/>
      <c r="Q134" s="615"/>
      <c r="R134" s="615"/>
      <c r="S134" s="615"/>
    </row>
    <row r="135" spans="1:19" ht="12.75">
      <c r="A135"/>
      <c r="B135"/>
      <c r="C135" s="615"/>
      <c r="D135" s="615"/>
      <c r="E135" s="615"/>
      <c r="F135" s="615"/>
      <c r="G135" s="615"/>
      <c r="H135" s="615"/>
      <c r="I135" s="615"/>
      <c r="J135" s="615"/>
      <c r="K135" s="615"/>
      <c r="L135" s="615"/>
      <c r="M135" s="615"/>
      <c r="N135" s="615"/>
      <c r="O135" s="615"/>
      <c r="P135" s="615"/>
      <c r="Q135" s="615"/>
      <c r="R135" s="615"/>
      <c r="S135" s="615"/>
    </row>
    <row r="136" spans="1:19" ht="12.75">
      <c r="A136"/>
      <c r="B136"/>
      <c r="C136" s="615"/>
      <c r="D136" s="615"/>
      <c r="E136" s="615"/>
      <c r="F136" s="615"/>
      <c r="G136" s="615"/>
      <c r="H136" s="615"/>
      <c r="I136" s="615"/>
      <c r="J136" s="615"/>
      <c r="K136" s="615"/>
      <c r="L136" s="615"/>
      <c r="M136" s="615"/>
      <c r="N136" s="615"/>
      <c r="O136" s="615"/>
      <c r="P136" s="615"/>
      <c r="Q136" s="615"/>
      <c r="R136" s="615"/>
      <c r="S136" s="615"/>
    </row>
    <row r="137" spans="1:19" ht="12.75">
      <c r="A137"/>
      <c r="B137"/>
      <c r="C137" s="615"/>
      <c r="D137" s="615"/>
      <c r="E137" s="615"/>
      <c r="F137" s="615"/>
      <c r="G137" s="615"/>
      <c r="H137" s="615"/>
      <c r="I137" s="615"/>
      <c r="J137" s="615"/>
      <c r="K137" s="615"/>
      <c r="L137" s="615"/>
      <c r="M137" s="615"/>
      <c r="N137" s="615"/>
      <c r="O137" s="615"/>
      <c r="P137" s="615"/>
      <c r="Q137" s="615"/>
      <c r="R137" s="615"/>
      <c r="S137" s="615"/>
    </row>
    <row r="138" spans="1:19" ht="12.75">
      <c r="A138"/>
      <c r="B138"/>
      <c r="C138" s="615"/>
      <c r="D138" s="615"/>
      <c r="E138" s="615"/>
      <c r="F138" s="615"/>
      <c r="G138" s="615"/>
      <c r="H138" s="615"/>
      <c r="I138" s="615"/>
      <c r="J138" s="615"/>
      <c r="K138" s="615"/>
      <c r="L138" s="615"/>
      <c r="M138" s="615"/>
      <c r="N138" s="615"/>
      <c r="O138" s="615"/>
      <c r="P138" s="615"/>
      <c r="Q138" s="615"/>
      <c r="R138" s="615"/>
      <c r="S138" s="615"/>
    </row>
    <row r="139" spans="1:19" ht="12.75">
      <c r="A139"/>
      <c r="B139"/>
      <c r="C139" s="615"/>
      <c r="D139" s="615"/>
      <c r="E139" s="615"/>
      <c r="F139" s="615"/>
      <c r="G139" s="615"/>
      <c r="H139" s="615"/>
      <c r="I139" s="615"/>
      <c r="J139" s="615"/>
      <c r="K139" s="615"/>
      <c r="L139" s="615"/>
      <c r="M139" s="615"/>
      <c r="N139" s="615"/>
      <c r="O139" s="615"/>
      <c r="P139" s="615"/>
      <c r="Q139" s="615"/>
      <c r="R139" s="615"/>
      <c r="S139" s="615"/>
    </row>
    <row r="140" spans="1:19" ht="12.75">
      <c r="A140"/>
      <c r="B140"/>
      <c r="C140" s="615"/>
      <c r="D140" s="615"/>
      <c r="E140" s="615"/>
      <c r="F140" s="615"/>
      <c r="G140" s="615"/>
      <c r="H140" s="615"/>
      <c r="I140" s="615"/>
      <c r="J140" s="615"/>
      <c r="K140" s="615"/>
      <c r="L140" s="615"/>
      <c r="M140" s="615"/>
      <c r="N140" s="615"/>
      <c r="O140" s="615"/>
      <c r="P140" s="615"/>
      <c r="Q140" s="615"/>
      <c r="R140" s="615"/>
      <c r="S140" s="615"/>
    </row>
    <row r="141" spans="1:19" ht="12.75">
      <c r="A141"/>
      <c r="B141"/>
      <c r="C141"/>
      <c r="D141"/>
      <c r="E141"/>
      <c r="F141"/>
      <c r="G141"/>
      <c r="H141"/>
      <c r="I141"/>
      <c r="J141"/>
      <c r="K141"/>
      <c r="L141"/>
      <c r="M141"/>
      <c r="N141"/>
      <c r="O141"/>
      <c r="P141"/>
      <c r="Q141"/>
      <c r="R141"/>
      <c r="S141"/>
    </row>
    <row r="142" spans="1:19" ht="12.75">
      <c r="A142"/>
      <c r="B142"/>
      <c r="C142"/>
      <c r="D142"/>
      <c r="E142"/>
      <c r="F142"/>
      <c r="G142"/>
      <c r="H142"/>
      <c r="I142"/>
      <c r="J142"/>
      <c r="K142"/>
      <c r="L142"/>
      <c r="M142"/>
      <c r="N142"/>
      <c r="O142"/>
      <c r="P142"/>
      <c r="Q142"/>
      <c r="R142"/>
      <c r="S142"/>
    </row>
    <row r="143" spans="1:19" ht="12.75">
      <c r="A143"/>
      <c r="B143"/>
      <c r="C143"/>
      <c r="D143"/>
      <c r="E143"/>
      <c r="F143"/>
      <c r="G143"/>
      <c r="H143"/>
      <c r="I143"/>
      <c r="J143"/>
      <c r="K143"/>
      <c r="L143"/>
      <c r="M143"/>
      <c r="N143"/>
      <c r="O143"/>
      <c r="P143"/>
      <c r="Q143"/>
      <c r="R143"/>
      <c r="S143"/>
    </row>
    <row r="144" spans="1:19" ht="12.75">
      <c r="A144"/>
      <c r="B144"/>
      <c r="C144"/>
      <c r="D144"/>
      <c r="E144"/>
      <c r="F144"/>
      <c r="G144"/>
      <c r="H144"/>
      <c r="I144"/>
      <c r="J144"/>
      <c r="K144"/>
      <c r="L144"/>
      <c r="M144"/>
      <c r="N144"/>
      <c r="O144"/>
      <c r="P144"/>
      <c r="Q144"/>
      <c r="R144"/>
      <c r="S144"/>
    </row>
    <row r="145" spans="1:19" ht="12.75">
      <c r="A145"/>
      <c r="B145"/>
      <c r="C145"/>
      <c r="D145"/>
      <c r="E145"/>
      <c r="F145"/>
      <c r="G145"/>
      <c r="H145"/>
      <c r="I145"/>
      <c r="J145"/>
      <c r="K145"/>
      <c r="L145"/>
      <c r="M145"/>
      <c r="N145"/>
      <c r="O145"/>
      <c r="P145"/>
      <c r="Q145"/>
      <c r="R145"/>
      <c r="S145"/>
    </row>
    <row r="146" spans="1:19" ht="12.75">
      <c r="A146"/>
      <c r="B146"/>
      <c r="C146"/>
      <c r="D146"/>
      <c r="E146"/>
      <c r="F146"/>
      <c r="G146"/>
      <c r="H146"/>
      <c r="I146"/>
      <c r="J146"/>
      <c r="K146"/>
      <c r="L146"/>
      <c r="M146"/>
      <c r="N146"/>
      <c r="O146"/>
      <c r="P146"/>
      <c r="Q146"/>
      <c r="R146"/>
      <c r="S146"/>
    </row>
    <row r="147" spans="1:19" ht="12.75">
      <c r="A147"/>
      <c r="B147"/>
      <c r="C147"/>
      <c r="D147"/>
      <c r="E147"/>
      <c r="F147"/>
      <c r="G147"/>
      <c r="H147"/>
      <c r="I147"/>
      <c r="J147"/>
      <c r="K147"/>
      <c r="L147"/>
      <c r="M147"/>
      <c r="N147"/>
      <c r="O147"/>
      <c r="P147"/>
      <c r="Q147"/>
      <c r="R147"/>
      <c r="S147"/>
    </row>
    <row r="148" spans="1:19" ht="12.75">
      <c r="A148"/>
      <c r="B148"/>
      <c r="C148"/>
      <c r="D148"/>
      <c r="E148"/>
      <c r="F148"/>
      <c r="G148"/>
      <c r="H148"/>
      <c r="I148"/>
      <c r="J148"/>
      <c r="K148"/>
      <c r="L148"/>
      <c r="M148"/>
      <c r="N148"/>
      <c r="O148"/>
      <c r="P148"/>
      <c r="Q148"/>
      <c r="R148"/>
      <c r="S148"/>
    </row>
    <row r="149" spans="1:21" s="607" customFormat="1" ht="12.75">
      <c r="A149"/>
      <c r="B149"/>
      <c r="C149"/>
      <c r="D149"/>
      <c r="E149"/>
      <c r="F149"/>
      <c r="G149"/>
      <c r="H149"/>
      <c r="I149"/>
      <c r="J149"/>
      <c r="K149"/>
      <c r="L149"/>
      <c r="M149"/>
      <c r="N149"/>
      <c r="O149"/>
      <c r="P149"/>
      <c r="Q149"/>
      <c r="R149"/>
      <c r="S149"/>
      <c r="T149" s="580"/>
      <c r="U149" s="580"/>
    </row>
    <row r="150" spans="1:21" s="583" customFormat="1" ht="12.75">
      <c r="A150"/>
      <c r="B150"/>
      <c r="C150"/>
      <c r="D150"/>
      <c r="E150"/>
      <c r="F150"/>
      <c r="G150"/>
      <c r="H150"/>
      <c r="I150"/>
      <c r="J150"/>
      <c r="K150"/>
      <c r="L150"/>
      <c r="M150"/>
      <c r="N150"/>
      <c r="O150"/>
      <c r="P150"/>
      <c r="Q150"/>
      <c r="R150"/>
      <c r="S150"/>
      <c r="T150" s="580"/>
      <c r="U150" s="580"/>
    </row>
    <row r="151" spans="1:19" ht="12.75">
      <c r="A151"/>
      <c r="B151"/>
      <c r="C151"/>
      <c r="D151"/>
      <c r="E151"/>
      <c r="F151"/>
      <c r="G151"/>
      <c r="H151"/>
      <c r="I151"/>
      <c r="J151"/>
      <c r="K151"/>
      <c r="L151"/>
      <c r="M151"/>
      <c r="N151"/>
      <c r="O151"/>
      <c r="P151"/>
      <c r="Q151"/>
      <c r="R151"/>
      <c r="S151"/>
    </row>
    <row r="152" spans="1:19" ht="12.75">
      <c r="A152"/>
      <c r="B152"/>
      <c r="C152"/>
      <c r="D152"/>
      <c r="E152"/>
      <c r="F152"/>
      <c r="G152"/>
      <c r="H152"/>
      <c r="I152"/>
      <c r="J152"/>
      <c r="K152"/>
      <c r="L152"/>
      <c r="M152"/>
      <c r="N152"/>
      <c r="O152"/>
      <c r="P152"/>
      <c r="Q152"/>
      <c r="R152"/>
      <c r="S152"/>
    </row>
    <row r="153" spans="1:19" ht="12.75">
      <c r="A153"/>
      <c r="B153"/>
      <c r="C153"/>
      <c r="D153"/>
      <c r="E153"/>
      <c r="F153"/>
      <c r="G153"/>
      <c r="H153"/>
      <c r="I153"/>
      <c r="J153"/>
      <c r="K153"/>
      <c r="L153"/>
      <c r="M153"/>
      <c r="N153"/>
      <c r="O153"/>
      <c r="P153"/>
      <c r="Q153"/>
      <c r="R153"/>
      <c r="S153"/>
    </row>
    <row r="154" spans="1:19" ht="12.75">
      <c r="A154"/>
      <c r="B154"/>
      <c r="C154"/>
      <c r="D154"/>
      <c r="E154"/>
      <c r="F154"/>
      <c r="G154"/>
      <c r="H154"/>
      <c r="I154"/>
      <c r="J154"/>
      <c r="K154"/>
      <c r="L154"/>
      <c r="M154"/>
      <c r="N154"/>
      <c r="O154"/>
      <c r="P154"/>
      <c r="Q154"/>
      <c r="R154"/>
      <c r="S154"/>
    </row>
    <row r="155" spans="1:19" ht="12.75">
      <c r="A155"/>
      <c r="B155"/>
      <c r="C155"/>
      <c r="D155"/>
      <c r="E155"/>
      <c r="F155"/>
      <c r="G155"/>
      <c r="H155"/>
      <c r="I155"/>
      <c r="J155"/>
      <c r="K155"/>
      <c r="L155"/>
      <c r="M155"/>
      <c r="N155"/>
      <c r="O155"/>
      <c r="P155"/>
      <c r="Q155"/>
      <c r="R155"/>
      <c r="S155"/>
    </row>
    <row r="156" spans="1:19" ht="12.75">
      <c r="A156"/>
      <c r="B156"/>
      <c r="C156"/>
      <c r="D156"/>
      <c r="E156"/>
      <c r="F156"/>
      <c r="G156"/>
      <c r="H156"/>
      <c r="I156"/>
      <c r="J156"/>
      <c r="K156"/>
      <c r="L156"/>
      <c r="M156"/>
      <c r="N156"/>
      <c r="O156"/>
      <c r="P156"/>
      <c r="Q156"/>
      <c r="R156"/>
      <c r="S156"/>
    </row>
    <row r="157" spans="1:19" ht="12.75">
      <c r="A157"/>
      <c r="B157"/>
      <c r="C157"/>
      <c r="D157"/>
      <c r="E157"/>
      <c r="F157"/>
      <c r="G157"/>
      <c r="H157"/>
      <c r="I157"/>
      <c r="J157"/>
      <c r="K157"/>
      <c r="L157"/>
      <c r="M157"/>
      <c r="N157"/>
      <c r="O157"/>
      <c r="P157"/>
      <c r="Q157"/>
      <c r="R157"/>
      <c r="S157"/>
    </row>
    <row r="158" spans="1:19" ht="12.75">
      <c r="A158"/>
      <c r="B158"/>
      <c r="C158"/>
      <c r="D158"/>
      <c r="E158"/>
      <c r="F158"/>
      <c r="G158"/>
      <c r="H158"/>
      <c r="I158"/>
      <c r="J158"/>
      <c r="K158"/>
      <c r="L158"/>
      <c r="M158"/>
      <c r="N158"/>
      <c r="O158"/>
      <c r="P158"/>
      <c r="Q158"/>
      <c r="R158"/>
      <c r="S158"/>
    </row>
    <row r="159" spans="1:19" ht="12.75">
      <c r="A159"/>
      <c r="B159"/>
      <c r="C159"/>
      <c r="D159"/>
      <c r="E159"/>
      <c r="F159"/>
      <c r="G159"/>
      <c r="H159"/>
      <c r="I159"/>
      <c r="J159"/>
      <c r="K159"/>
      <c r="L159"/>
      <c r="M159"/>
      <c r="N159"/>
      <c r="O159"/>
      <c r="P159"/>
      <c r="Q159"/>
      <c r="R159"/>
      <c r="S159"/>
    </row>
    <row r="160" spans="1:19" ht="12.75">
      <c r="A160"/>
      <c r="B160"/>
      <c r="C160"/>
      <c r="D160"/>
      <c r="E160"/>
      <c r="F160"/>
      <c r="G160"/>
      <c r="H160"/>
      <c r="I160"/>
      <c r="J160"/>
      <c r="K160"/>
      <c r="L160"/>
      <c r="M160"/>
      <c r="N160"/>
      <c r="O160"/>
      <c r="P160"/>
      <c r="Q160"/>
      <c r="R160"/>
      <c r="S160"/>
    </row>
    <row r="161" spans="1:19" ht="12.75">
      <c r="A161"/>
      <c r="B161"/>
      <c r="C161"/>
      <c r="D161"/>
      <c r="E161"/>
      <c r="F161"/>
      <c r="G161"/>
      <c r="H161"/>
      <c r="I161"/>
      <c r="J161"/>
      <c r="K161"/>
      <c r="L161"/>
      <c r="M161"/>
      <c r="N161"/>
      <c r="O161"/>
      <c r="P161"/>
      <c r="Q161"/>
      <c r="R161"/>
      <c r="S161"/>
    </row>
    <row r="162" spans="1:19" ht="12.75">
      <c r="A162"/>
      <c r="B162"/>
      <c r="C162"/>
      <c r="D162"/>
      <c r="E162"/>
      <c r="F162"/>
      <c r="G162"/>
      <c r="H162"/>
      <c r="I162"/>
      <c r="J162"/>
      <c r="K162"/>
      <c r="L162"/>
      <c r="M162"/>
      <c r="N162"/>
      <c r="O162"/>
      <c r="P162"/>
      <c r="Q162"/>
      <c r="R162"/>
      <c r="S162"/>
    </row>
    <row r="163" spans="1:19" ht="12.75">
      <c r="A163"/>
      <c r="B163"/>
      <c r="C163"/>
      <c r="D163"/>
      <c r="E163"/>
      <c r="F163"/>
      <c r="G163"/>
      <c r="H163"/>
      <c r="I163"/>
      <c r="J163"/>
      <c r="K163"/>
      <c r="L163"/>
      <c r="M163"/>
      <c r="N163"/>
      <c r="O163"/>
      <c r="P163"/>
      <c r="Q163"/>
      <c r="R163"/>
      <c r="S163"/>
    </row>
    <row r="164" spans="1:19" ht="12.75">
      <c r="A164"/>
      <c r="B164"/>
      <c r="C164"/>
      <c r="D164"/>
      <c r="E164"/>
      <c r="F164"/>
      <c r="G164"/>
      <c r="H164"/>
      <c r="I164"/>
      <c r="J164"/>
      <c r="K164"/>
      <c r="L164"/>
      <c r="M164"/>
      <c r="N164"/>
      <c r="O164"/>
      <c r="P164"/>
      <c r="Q164"/>
      <c r="R164"/>
      <c r="S164"/>
    </row>
    <row r="165" spans="1:19" ht="12.75">
      <c r="A165"/>
      <c r="B165"/>
      <c r="C165"/>
      <c r="D165"/>
      <c r="E165"/>
      <c r="F165"/>
      <c r="G165"/>
      <c r="H165"/>
      <c r="I165"/>
      <c r="J165"/>
      <c r="K165"/>
      <c r="L165"/>
      <c r="M165"/>
      <c r="N165"/>
      <c r="O165"/>
      <c r="P165"/>
      <c r="Q165"/>
      <c r="R165"/>
      <c r="S165"/>
    </row>
    <row r="166" spans="1:19" ht="12.75">
      <c r="A166"/>
      <c r="B166"/>
      <c r="C166"/>
      <c r="D166"/>
      <c r="E166"/>
      <c r="F166"/>
      <c r="G166"/>
      <c r="H166"/>
      <c r="I166"/>
      <c r="J166"/>
      <c r="K166"/>
      <c r="L166"/>
      <c r="M166"/>
      <c r="N166"/>
      <c r="O166"/>
      <c r="P166"/>
      <c r="Q166"/>
      <c r="R166"/>
      <c r="S166"/>
    </row>
    <row r="167" spans="1:19" ht="12.75">
      <c r="A167"/>
      <c r="B167"/>
      <c r="C167"/>
      <c r="D167"/>
      <c r="E167"/>
      <c r="F167"/>
      <c r="G167"/>
      <c r="H167"/>
      <c r="I167"/>
      <c r="J167"/>
      <c r="K167"/>
      <c r="L167"/>
      <c r="M167"/>
      <c r="N167"/>
      <c r="O167"/>
      <c r="P167"/>
      <c r="Q167"/>
      <c r="R167"/>
      <c r="S167"/>
    </row>
    <row r="168" spans="1:19" ht="12.75">
      <c r="A168"/>
      <c r="B168"/>
      <c r="C168"/>
      <c r="D168"/>
      <c r="E168"/>
      <c r="F168"/>
      <c r="G168"/>
      <c r="H168"/>
      <c r="I168"/>
      <c r="J168"/>
      <c r="K168"/>
      <c r="L168"/>
      <c r="M168"/>
      <c r="N168"/>
      <c r="O168"/>
      <c r="P168"/>
      <c r="Q168"/>
      <c r="R168"/>
      <c r="S168"/>
    </row>
    <row r="169" spans="1:19" ht="12.75">
      <c r="A169"/>
      <c r="B169"/>
      <c r="C169"/>
      <c r="D169"/>
      <c r="E169"/>
      <c r="F169"/>
      <c r="G169"/>
      <c r="H169"/>
      <c r="I169"/>
      <c r="J169"/>
      <c r="K169"/>
      <c r="L169"/>
      <c r="M169"/>
      <c r="N169"/>
      <c r="O169"/>
      <c r="P169"/>
      <c r="Q169"/>
      <c r="R169"/>
      <c r="S169"/>
    </row>
    <row r="170" spans="1:19" ht="12.75">
      <c r="A170"/>
      <c r="B170"/>
      <c r="C170"/>
      <c r="D170"/>
      <c r="E170"/>
      <c r="F170"/>
      <c r="G170"/>
      <c r="H170"/>
      <c r="I170"/>
      <c r="J170"/>
      <c r="K170"/>
      <c r="L170"/>
      <c r="M170"/>
      <c r="N170"/>
      <c r="O170"/>
      <c r="P170"/>
      <c r="Q170"/>
      <c r="R170"/>
      <c r="S170"/>
    </row>
    <row r="171" spans="1:19" ht="12.75">
      <c r="A171"/>
      <c r="B171"/>
      <c r="C171"/>
      <c r="D171"/>
      <c r="E171"/>
      <c r="F171"/>
      <c r="G171"/>
      <c r="H171"/>
      <c r="I171"/>
      <c r="J171"/>
      <c r="K171"/>
      <c r="L171"/>
      <c r="M171"/>
      <c r="N171"/>
      <c r="O171"/>
      <c r="P171"/>
      <c r="Q171"/>
      <c r="R171"/>
      <c r="S171"/>
    </row>
    <row r="172" spans="1:19" ht="12.75">
      <c r="A172"/>
      <c r="B172"/>
      <c r="C172"/>
      <c r="D172"/>
      <c r="E172"/>
      <c r="F172"/>
      <c r="G172"/>
      <c r="H172"/>
      <c r="I172"/>
      <c r="J172"/>
      <c r="K172"/>
      <c r="L172"/>
      <c r="M172"/>
      <c r="N172"/>
      <c r="O172"/>
      <c r="P172"/>
      <c r="Q172"/>
      <c r="R172"/>
      <c r="S172"/>
    </row>
    <row r="173" spans="1:19" ht="12.75">
      <c r="A173"/>
      <c r="B173"/>
      <c r="C173"/>
      <c r="D173"/>
      <c r="E173"/>
      <c r="F173"/>
      <c r="G173"/>
      <c r="H173"/>
      <c r="I173"/>
      <c r="J173"/>
      <c r="K173"/>
      <c r="L173"/>
      <c r="M173"/>
      <c r="N173"/>
      <c r="O173"/>
      <c r="P173"/>
      <c r="Q173"/>
      <c r="R173"/>
      <c r="S173"/>
    </row>
    <row r="174" spans="1:19" ht="12.75">
      <c r="A174"/>
      <c r="B174"/>
      <c r="C174"/>
      <c r="D174"/>
      <c r="E174"/>
      <c r="F174"/>
      <c r="G174"/>
      <c r="H174"/>
      <c r="I174"/>
      <c r="J174"/>
      <c r="K174"/>
      <c r="L174"/>
      <c r="M174"/>
      <c r="N174"/>
      <c r="O174"/>
      <c r="P174"/>
      <c r="Q174"/>
      <c r="R174"/>
      <c r="S174"/>
    </row>
    <row r="175" spans="1:19" ht="12.75">
      <c r="A175"/>
      <c r="B175"/>
      <c r="C175"/>
      <c r="D175"/>
      <c r="E175"/>
      <c r="F175"/>
      <c r="G175"/>
      <c r="H175"/>
      <c r="I175"/>
      <c r="J175"/>
      <c r="K175"/>
      <c r="L175"/>
      <c r="M175"/>
      <c r="N175"/>
      <c r="O175"/>
      <c r="P175"/>
      <c r="Q175"/>
      <c r="R175"/>
      <c r="S175"/>
    </row>
    <row r="176" spans="1:19" ht="12.75">
      <c r="A176"/>
      <c r="B176"/>
      <c r="C176"/>
      <c r="D176"/>
      <c r="E176"/>
      <c r="F176"/>
      <c r="G176"/>
      <c r="H176"/>
      <c r="I176"/>
      <c r="J176"/>
      <c r="K176"/>
      <c r="L176"/>
      <c r="M176"/>
      <c r="N176"/>
      <c r="O176"/>
      <c r="P176"/>
      <c r="Q176"/>
      <c r="R176"/>
      <c r="S176"/>
    </row>
    <row r="177" spans="1:19" ht="12.75">
      <c r="A177"/>
      <c r="B177"/>
      <c r="C177"/>
      <c r="D177"/>
      <c r="E177"/>
      <c r="F177"/>
      <c r="G177"/>
      <c r="H177"/>
      <c r="I177"/>
      <c r="J177"/>
      <c r="K177"/>
      <c r="L177"/>
      <c r="M177"/>
      <c r="N177"/>
      <c r="O177"/>
      <c r="P177"/>
      <c r="Q177"/>
      <c r="R177"/>
      <c r="S177"/>
    </row>
    <row r="178" spans="1:19" ht="12.75">
      <c r="A178"/>
      <c r="B178"/>
      <c r="C178"/>
      <c r="D178"/>
      <c r="E178"/>
      <c r="F178"/>
      <c r="G178"/>
      <c r="H178"/>
      <c r="I178"/>
      <c r="J178"/>
      <c r="K178"/>
      <c r="L178"/>
      <c r="M178"/>
      <c r="N178"/>
      <c r="O178"/>
      <c r="P178"/>
      <c r="Q178"/>
      <c r="R178"/>
      <c r="S178"/>
    </row>
    <row r="179" spans="1:19" ht="12.75">
      <c r="A179"/>
      <c r="B179"/>
      <c r="C179"/>
      <c r="D179"/>
      <c r="E179"/>
      <c r="F179"/>
      <c r="G179"/>
      <c r="H179"/>
      <c r="I179"/>
      <c r="J179"/>
      <c r="K179"/>
      <c r="L179"/>
      <c r="M179"/>
      <c r="N179"/>
      <c r="O179"/>
      <c r="P179"/>
      <c r="Q179"/>
      <c r="R179"/>
      <c r="S179"/>
    </row>
    <row r="180" spans="1:19" ht="12.75">
      <c r="A180"/>
      <c r="B180"/>
      <c r="C180"/>
      <c r="D180"/>
      <c r="E180"/>
      <c r="F180"/>
      <c r="G180"/>
      <c r="H180"/>
      <c r="I180"/>
      <c r="J180"/>
      <c r="K180"/>
      <c r="L180"/>
      <c r="M180"/>
      <c r="N180"/>
      <c r="O180"/>
      <c r="P180"/>
      <c r="Q180"/>
      <c r="R180"/>
      <c r="S180"/>
    </row>
    <row r="181" spans="1:19" ht="12.75">
      <c r="A181"/>
      <c r="B181"/>
      <c r="C181"/>
      <c r="D181"/>
      <c r="E181"/>
      <c r="F181"/>
      <c r="G181"/>
      <c r="H181"/>
      <c r="I181"/>
      <c r="J181"/>
      <c r="K181"/>
      <c r="L181"/>
      <c r="M181"/>
      <c r="N181"/>
      <c r="O181"/>
      <c r="P181"/>
      <c r="Q181"/>
      <c r="R181"/>
      <c r="S181"/>
    </row>
    <row r="182" spans="1:19" ht="12.75">
      <c r="A182"/>
      <c r="B182"/>
      <c r="C182"/>
      <c r="D182"/>
      <c r="E182"/>
      <c r="F182"/>
      <c r="G182"/>
      <c r="H182"/>
      <c r="I182"/>
      <c r="J182"/>
      <c r="K182"/>
      <c r="L182"/>
      <c r="M182"/>
      <c r="N182"/>
      <c r="O182"/>
      <c r="P182"/>
      <c r="Q182"/>
      <c r="R182"/>
      <c r="S182"/>
    </row>
    <row r="183" spans="1:19" ht="12.75">
      <c r="A183"/>
      <c r="B183"/>
      <c r="C183"/>
      <c r="D183"/>
      <c r="E183"/>
      <c r="F183"/>
      <c r="G183"/>
      <c r="H183"/>
      <c r="I183"/>
      <c r="J183"/>
      <c r="K183"/>
      <c r="L183"/>
      <c r="M183"/>
      <c r="N183"/>
      <c r="O183"/>
      <c r="P183"/>
      <c r="Q183"/>
      <c r="R183"/>
      <c r="S183"/>
    </row>
    <row r="184" spans="1:19" ht="12.75">
      <c r="A184"/>
      <c r="B184"/>
      <c r="C184"/>
      <c r="D184"/>
      <c r="E184"/>
      <c r="F184"/>
      <c r="G184"/>
      <c r="H184"/>
      <c r="I184"/>
      <c r="J184"/>
      <c r="K184"/>
      <c r="L184"/>
      <c r="M184"/>
      <c r="N184"/>
      <c r="O184"/>
      <c r="P184"/>
      <c r="Q184"/>
      <c r="R184"/>
      <c r="S184"/>
    </row>
    <row r="185" spans="1:21" s="607" customFormat="1" ht="12.75">
      <c r="A185"/>
      <c r="B185"/>
      <c r="C185"/>
      <c r="D185"/>
      <c r="E185"/>
      <c r="F185"/>
      <c r="G185"/>
      <c r="H185"/>
      <c r="I185"/>
      <c r="J185"/>
      <c r="K185"/>
      <c r="L185"/>
      <c r="M185"/>
      <c r="N185"/>
      <c r="O185"/>
      <c r="P185"/>
      <c r="Q185"/>
      <c r="R185"/>
      <c r="S185"/>
      <c r="T185" s="580"/>
      <c r="U185" s="580"/>
    </row>
    <row r="186" spans="1:21" s="583" customFormat="1" ht="12.75">
      <c r="A186"/>
      <c r="B186"/>
      <c r="C186"/>
      <c r="D186"/>
      <c r="E186"/>
      <c r="F186"/>
      <c r="G186"/>
      <c r="H186"/>
      <c r="I186"/>
      <c r="J186"/>
      <c r="K186"/>
      <c r="L186"/>
      <c r="M186"/>
      <c r="N186"/>
      <c r="O186"/>
      <c r="P186"/>
      <c r="Q186"/>
      <c r="R186"/>
      <c r="S186"/>
      <c r="T186" s="580"/>
      <c r="U186" s="580"/>
    </row>
    <row r="187" spans="1:19" ht="12.75">
      <c r="A187"/>
      <c r="B187"/>
      <c r="C187"/>
      <c r="D187"/>
      <c r="E187"/>
      <c r="F187"/>
      <c r="G187"/>
      <c r="H187"/>
      <c r="I187"/>
      <c r="J187"/>
      <c r="K187"/>
      <c r="L187"/>
      <c r="M187"/>
      <c r="N187"/>
      <c r="O187"/>
      <c r="P187"/>
      <c r="Q187"/>
      <c r="R187"/>
      <c r="S187"/>
    </row>
    <row r="188" spans="1:19" ht="12.75">
      <c r="A188"/>
      <c r="B188"/>
      <c r="C188"/>
      <c r="D188"/>
      <c r="E188"/>
      <c r="F188"/>
      <c r="G188"/>
      <c r="H188"/>
      <c r="I188"/>
      <c r="J188"/>
      <c r="K188"/>
      <c r="L188"/>
      <c r="M188"/>
      <c r="N188"/>
      <c r="O188"/>
      <c r="P188"/>
      <c r="Q188"/>
      <c r="R188"/>
      <c r="S188"/>
    </row>
    <row r="189" spans="1:19" ht="12.75">
      <c r="A189"/>
      <c r="B189"/>
      <c r="C189"/>
      <c r="D189"/>
      <c r="E189"/>
      <c r="F189"/>
      <c r="G189"/>
      <c r="H189"/>
      <c r="I189"/>
      <c r="J189"/>
      <c r="K189"/>
      <c r="L189"/>
      <c r="M189"/>
      <c r="N189"/>
      <c r="O189"/>
      <c r="P189"/>
      <c r="Q189"/>
      <c r="R189"/>
      <c r="S189"/>
    </row>
    <row r="190" spans="1:19" ht="12.75">
      <c r="A190"/>
      <c r="B190"/>
      <c r="C190"/>
      <c r="D190"/>
      <c r="E190"/>
      <c r="F190"/>
      <c r="G190"/>
      <c r="H190"/>
      <c r="I190"/>
      <c r="J190"/>
      <c r="K190"/>
      <c r="L190"/>
      <c r="M190"/>
      <c r="N190"/>
      <c r="O190"/>
      <c r="P190"/>
      <c r="Q190"/>
      <c r="R190"/>
      <c r="S190"/>
    </row>
    <row r="191" spans="1:19" ht="12.75">
      <c r="A191"/>
      <c r="B191"/>
      <c r="C191"/>
      <c r="D191"/>
      <c r="E191"/>
      <c r="F191"/>
      <c r="G191"/>
      <c r="H191"/>
      <c r="I191"/>
      <c r="J191"/>
      <c r="K191"/>
      <c r="L191"/>
      <c r="M191"/>
      <c r="N191"/>
      <c r="O191"/>
      <c r="P191"/>
      <c r="Q191"/>
      <c r="R191"/>
      <c r="S191"/>
    </row>
    <row r="192" spans="1:19" ht="12.75">
      <c r="A192"/>
      <c r="B192"/>
      <c r="C192"/>
      <c r="D192"/>
      <c r="E192"/>
      <c r="F192"/>
      <c r="G192"/>
      <c r="H192"/>
      <c r="I192"/>
      <c r="J192"/>
      <c r="K192"/>
      <c r="L192"/>
      <c r="M192"/>
      <c r="N192"/>
      <c r="O192"/>
      <c r="P192"/>
      <c r="Q192"/>
      <c r="R192"/>
      <c r="S192"/>
    </row>
    <row r="193" spans="1:19" ht="12.75">
      <c r="A193"/>
      <c r="B193"/>
      <c r="C193"/>
      <c r="D193"/>
      <c r="E193"/>
      <c r="F193"/>
      <c r="G193"/>
      <c r="H193"/>
      <c r="I193"/>
      <c r="J193"/>
      <c r="K193"/>
      <c r="L193"/>
      <c r="M193"/>
      <c r="N193"/>
      <c r="O193"/>
      <c r="P193"/>
      <c r="Q193"/>
      <c r="R193"/>
      <c r="S193"/>
    </row>
    <row r="194" spans="1:19" ht="12.75">
      <c r="A194"/>
      <c r="B194"/>
      <c r="C194"/>
      <c r="D194"/>
      <c r="E194"/>
      <c r="F194"/>
      <c r="G194"/>
      <c r="H194"/>
      <c r="I194"/>
      <c r="J194"/>
      <c r="K194"/>
      <c r="L194"/>
      <c r="M194"/>
      <c r="N194"/>
      <c r="O194"/>
      <c r="P194"/>
      <c r="Q194"/>
      <c r="R194"/>
      <c r="S194"/>
    </row>
    <row r="195" spans="1:19" ht="12.75">
      <c r="A195"/>
      <c r="B195"/>
      <c r="C195"/>
      <c r="D195"/>
      <c r="E195"/>
      <c r="F195"/>
      <c r="G195"/>
      <c r="H195"/>
      <c r="I195"/>
      <c r="J195"/>
      <c r="K195"/>
      <c r="L195"/>
      <c r="M195"/>
      <c r="N195"/>
      <c r="O195"/>
      <c r="P195"/>
      <c r="Q195"/>
      <c r="R195"/>
      <c r="S195"/>
    </row>
    <row r="196" spans="1:19" ht="12.75">
      <c r="A196"/>
      <c r="B196"/>
      <c r="C196"/>
      <c r="D196"/>
      <c r="E196"/>
      <c r="F196"/>
      <c r="G196"/>
      <c r="H196"/>
      <c r="I196"/>
      <c r="J196"/>
      <c r="K196"/>
      <c r="L196"/>
      <c r="M196"/>
      <c r="N196"/>
      <c r="O196"/>
      <c r="P196"/>
      <c r="Q196"/>
      <c r="R196"/>
      <c r="S196"/>
    </row>
    <row r="197" spans="1:19" ht="12.75">
      <c r="A197"/>
      <c r="B197"/>
      <c r="C197"/>
      <c r="D197"/>
      <c r="E197"/>
      <c r="F197"/>
      <c r="G197"/>
      <c r="H197"/>
      <c r="I197"/>
      <c r="J197"/>
      <c r="K197"/>
      <c r="L197"/>
      <c r="M197"/>
      <c r="N197"/>
      <c r="O197"/>
      <c r="P197"/>
      <c r="Q197"/>
      <c r="R197"/>
      <c r="S197"/>
    </row>
    <row r="198" spans="1:19" ht="12.75">
      <c r="A198"/>
      <c r="B198"/>
      <c r="C198"/>
      <c r="D198"/>
      <c r="E198"/>
      <c r="F198"/>
      <c r="G198"/>
      <c r="H198"/>
      <c r="I198"/>
      <c r="J198"/>
      <c r="K198"/>
      <c r="L198"/>
      <c r="M198"/>
      <c r="N198"/>
      <c r="O198"/>
      <c r="P198"/>
      <c r="Q198"/>
      <c r="R198"/>
      <c r="S198"/>
    </row>
    <row r="199" spans="1:19" ht="12.75">
      <c r="A199"/>
      <c r="B199"/>
      <c r="C199"/>
      <c r="D199"/>
      <c r="E199"/>
      <c r="F199"/>
      <c r="G199"/>
      <c r="H199"/>
      <c r="I199"/>
      <c r="J199"/>
      <c r="K199"/>
      <c r="L199"/>
      <c r="M199"/>
      <c r="N199"/>
      <c r="O199"/>
      <c r="P199"/>
      <c r="Q199"/>
      <c r="R199"/>
      <c r="S199"/>
    </row>
    <row r="200" spans="1:19" ht="12.75">
      <c r="A200"/>
      <c r="B200"/>
      <c r="C200"/>
      <c r="D200"/>
      <c r="E200"/>
      <c r="F200"/>
      <c r="G200"/>
      <c r="H200"/>
      <c r="I200"/>
      <c r="J200"/>
      <c r="K200"/>
      <c r="L200"/>
      <c r="M200"/>
      <c r="N200"/>
      <c r="O200"/>
      <c r="P200"/>
      <c r="Q200"/>
      <c r="R200"/>
      <c r="S200"/>
    </row>
    <row r="201" spans="1:19" ht="12.75">
      <c r="A201"/>
      <c r="B201"/>
      <c r="C201"/>
      <c r="D201"/>
      <c r="E201"/>
      <c r="F201"/>
      <c r="G201"/>
      <c r="H201"/>
      <c r="I201"/>
      <c r="J201"/>
      <c r="K201"/>
      <c r="L201"/>
      <c r="M201"/>
      <c r="N201"/>
      <c r="O201"/>
      <c r="P201"/>
      <c r="Q201"/>
      <c r="R201"/>
      <c r="S201"/>
    </row>
    <row r="202" spans="1:19" ht="12.75">
      <c r="A202"/>
      <c r="B202"/>
      <c r="C202"/>
      <c r="D202"/>
      <c r="E202"/>
      <c r="F202"/>
      <c r="G202"/>
      <c r="H202"/>
      <c r="I202"/>
      <c r="J202"/>
      <c r="K202"/>
      <c r="L202"/>
      <c r="M202"/>
      <c r="N202"/>
      <c r="O202"/>
      <c r="P202"/>
      <c r="Q202"/>
      <c r="R202"/>
      <c r="S202"/>
    </row>
    <row r="203" spans="1:19" ht="12.75">
      <c r="A203"/>
      <c r="B203"/>
      <c r="C203"/>
      <c r="D203"/>
      <c r="E203"/>
      <c r="F203"/>
      <c r="G203"/>
      <c r="H203"/>
      <c r="I203"/>
      <c r="J203"/>
      <c r="K203"/>
      <c r="L203"/>
      <c r="M203"/>
      <c r="N203"/>
      <c r="O203"/>
      <c r="P203"/>
      <c r="Q203"/>
      <c r="R203"/>
      <c r="S203"/>
    </row>
    <row r="204" spans="1:19" ht="12.75">
      <c r="A204"/>
      <c r="B204"/>
      <c r="C204"/>
      <c r="D204"/>
      <c r="E204"/>
      <c r="F204"/>
      <c r="G204"/>
      <c r="H204"/>
      <c r="I204"/>
      <c r="J204"/>
      <c r="K204"/>
      <c r="L204"/>
      <c r="M204"/>
      <c r="N204"/>
      <c r="O204"/>
      <c r="P204"/>
      <c r="Q204"/>
      <c r="R204"/>
      <c r="S204"/>
    </row>
    <row r="205" spans="1:19" ht="12.75">
      <c r="A205"/>
      <c r="B205"/>
      <c r="C205"/>
      <c r="D205"/>
      <c r="E205"/>
      <c r="F205"/>
      <c r="G205"/>
      <c r="H205"/>
      <c r="I205"/>
      <c r="J205"/>
      <c r="K205"/>
      <c r="L205"/>
      <c r="M205"/>
      <c r="N205"/>
      <c r="O205"/>
      <c r="P205"/>
      <c r="Q205"/>
      <c r="R205"/>
      <c r="S205"/>
    </row>
    <row r="206" spans="1:19" ht="12.75">
      <c r="A206"/>
      <c r="B206"/>
      <c r="C206"/>
      <c r="D206"/>
      <c r="E206"/>
      <c r="F206"/>
      <c r="G206"/>
      <c r="H206"/>
      <c r="I206"/>
      <c r="J206"/>
      <c r="K206"/>
      <c r="L206"/>
      <c r="M206"/>
      <c r="N206"/>
      <c r="O206"/>
      <c r="P206"/>
      <c r="Q206"/>
      <c r="R206"/>
      <c r="S206"/>
    </row>
    <row r="207" spans="1:19" ht="12.75">
      <c r="A207"/>
      <c r="B207"/>
      <c r="C207"/>
      <c r="D207"/>
      <c r="E207"/>
      <c r="F207"/>
      <c r="G207"/>
      <c r="H207"/>
      <c r="I207"/>
      <c r="J207"/>
      <c r="K207"/>
      <c r="L207"/>
      <c r="M207"/>
      <c r="N207"/>
      <c r="O207"/>
      <c r="P207"/>
      <c r="Q207"/>
      <c r="R207"/>
      <c r="S207"/>
    </row>
    <row r="208" spans="1:19" ht="12.75">
      <c r="A208"/>
      <c r="B208"/>
      <c r="C208"/>
      <c r="D208"/>
      <c r="E208"/>
      <c r="F208"/>
      <c r="G208"/>
      <c r="H208"/>
      <c r="I208"/>
      <c r="J208"/>
      <c r="K208"/>
      <c r="L208"/>
      <c r="M208"/>
      <c r="N208"/>
      <c r="O208"/>
      <c r="P208"/>
      <c r="Q208"/>
      <c r="R208"/>
      <c r="S208"/>
    </row>
    <row r="209" spans="1:19" ht="12.75">
      <c r="A209"/>
      <c r="B209"/>
      <c r="C209"/>
      <c r="D209"/>
      <c r="E209"/>
      <c r="F209"/>
      <c r="G209"/>
      <c r="H209"/>
      <c r="I209"/>
      <c r="J209"/>
      <c r="K209"/>
      <c r="L209"/>
      <c r="M209"/>
      <c r="N209"/>
      <c r="O209"/>
      <c r="P209"/>
      <c r="Q209"/>
      <c r="R209"/>
      <c r="S209"/>
    </row>
    <row r="210" spans="1:19" ht="12.75">
      <c r="A210"/>
      <c r="B210"/>
      <c r="C210"/>
      <c r="D210"/>
      <c r="E210"/>
      <c r="F210"/>
      <c r="G210"/>
      <c r="H210"/>
      <c r="I210"/>
      <c r="J210"/>
      <c r="K210"/>
      <c r="L210"/>
      <c r="M210"/>
      <c r="N210"/>
      <c r="O210"/>
      <c r="P210"/>
      <c r="Q210"/>
      <c r="R210"/>
      <c r="S210"/>
    </row>
    <row r="211" spans="1:19" ht="12.75">
      <c r="A211"/>
      <c r="B211"/>
      <c r="C211"/>
      <c r="D211"/>
      <c r="E211"/>
      <c r="F211"/>
      <c r="G211"/>
      <c r="H211"/>
      <c r="I211"/>
      <c r="J211"/>
      <c r="K211"/>
      <c r="L211"/>
      <c r="M211"/>
      <c r="N211"/>
      <c r="O211"/>
      <c r="P211"/>
      <c r="Q211"/>
      <c r="R211"/>
      <c r="S211"/>
    </row>
    <row r="212" spans="1:19" ht="12.75">
      <c r="A212"/>
      <c r="B212"/>
      <c r="C212"/>
      <c r="D212"/>
      <c r="E212"/>
      <c r="F212"/>
      <c r="G212"/>
      <c r="H212"/>
      <c r="I212"/>
      <c r="J212"/>
      <c r="K212"/>
      <c r="L212"/>
      <c r="M212"/>
      <c r="N212"/>
      <c r="O212"/>
      <c r="P212"/>
      <c r="Q212"/>
      <c r="R212"/>
      <c r="S212"/>
    </row>
    <row r="213" spans="1:19" ht="12.75">
      <c r="A213"/>
      <c r="B213"/>
      <c r="C213"/>
      <c r="D213"/>
      <c r="E213"/>
      <c r="F213"/>
      <c r="G213"/>
      <c r="H213"/>
      <c r="I213"/>
      <c r="J213"/>
      <c r="K213"/>
      <c r="L213"/>
      <c r="M213"/>
      <c r="N213"/>
      <c r="O213"/>
      <c r="P213"/>
      <c r="Q213"/>
      <c r="R213"/>
      <c r="S213"/>
    </row>
    <row r="214" spans="1:19" ht="12.75">
      <c r="A214"/>
      <c r="B214"/>
      <c r="C214"/>
      <c r="D214"/>
      <c r="E214"/>
      <c r="F214"/>
      <c r="G214"/>
      <c r="H214"/>
      <c r="I214"/>
      <c r="J214"/>
      <c r="K214"/>
      <c r="L214"/>
      <c r="M214"/>
      <c r="N214"/>
      <c r="O214"/>
      <c r="P214"/>
      <c r="Q214"/>
      <c r="R214"/>
      <c r="S214"/>
    </row>
    <row r="215" spans="1:19" ht="12.75">
      <c r="A215"/>
      <c r="B215"/>
      <c r="C215"/>
      <c r="D215"/>
      <c r="E215"/>
      <c r="F215"/>
      <c r="G215"/>
      <c r="H215"/>
      <c r="I215"/>
      <c r="J215"/>
      <c r="K215"/>
      <c r="L215"/>
      <c r="M215"/>
      <c r="N215"/>
      <c r="O215"/>
      <c r="P215"/>
      <c r="Q215"/>
      <c r="R215"/>
      <c r="S215"/>
    </row>
    <row r="216" spans="1:19" ht="12.75">
      <c r="A216"/>
      <c r="B216"/>
      <c r="C216"/>
      <c r="D216"/>
      <c r="E216"/>
      <c r="F216"/>
      <c r="G216"/>
      <c r="H216"/>
      <c r="I216"/>
      <c r="J216"/>
      <c r="K216"/>
      <c r="L216"/>
      <c r="M216"/>
      <c r="N216"/>
      <c r="O216"/>
      <c r="P216"/>
      <c r="Q216"/>
      <c r="R216"/>
      <c r="S216"/>
    </row>
    <row r="217" spans="1:19" ht="12.75">
      <c r="A217"/>
      <c r="B217"/>
      <c r="C217"/>
      <c r="D217"/>
      <c r="E217"/>
      <c r="F217"/>
      <c r="G217"/>
      <c r="H217"/>
      <c r="I217"/>
      <c r="J217"/>
      <c r="K217"/>
      <c r="L217"/>
      <c r="M217"/>
      <c r="N217"/>
      <c r="O217"/>
      <c r="P217"/>
      <c r="Q217"/>
      <c r="R217"/>
      <c r="S217"/>
    </row>
    <row r="218" spans="1:19" ht="12.75">
      <c r="A218"/>
      <c r="B218"/>
      <c r="C218"/>
      <c r="D218"/>
      <c r="E218"/>
      <c r="F218"/>
      <c r="G218"/>
      <c r="H218"/>
      <c r="I218"/>
      <c r="J218"/>
      <c r="K218"/>
      <c r="L218"/>
      <c r="M218"/>
      <c r="N218"/>
      <c r="O218"/>
      <c r="P218"/>
      <c r="Q218"/>
      <c r="R218"/>
      <c r="S218"/>
    </row>
    <row r="219" spans="1:19" ht="12.75">
      <c r="A219"/>
      <c r="B219"/>
      <c r="C219"/>
      <c r="D219"/>
      <c r="E219"/>
      <c r="F219"/>
      <c r="G219"/>
      <c r="H219"/>
      <c r="I219"/>
      <c r="J219"/>
      <c r="K219"/>
      <c r="L219"/>
      <c r="M219"/>
      <c r="N219"/>
      <c r="O219"/>
      <c r="P219"/>
      <c r="Q219"/>
      <c r="R219"/>
      <c r="S219"/>
    </row>
    <row r="220" spans="1:19" ht="12.75">
      <c r="A220"/>
      <c r="B220"/>
      <c r="C220"/>
      <c r="D220"/>
      <c r="E220"/>
      <c r="F220"/>
      <c r="G220"/>
      <c r="H220"/>
      <c r="I220"/>
      <c r="J220"/>
      <c r="K220"/>
      <c r="L220"/>
      <c r="M220"/>
      <c r="N220"/>
      <c r="O220"/>
      <c r="P220"/>
      <c r="Q220"/>
      <c r="R220"/>
      <c r="S220"/>
    </row>
    <row r="221" spans="1:21" s="607" customFormat="1" ht="12.75">
      <c r="A221"/>
      <c r="B221"/>
      <c r="C221"/>
      <c r="D221"/>
      <c r="E221"/>
      <c r="F221"/>
      <c r="G221"/>
      <c r="H221"/>
      <c r="I221"/>
      <c r="J221"/>
      <c r="K221"/>
      <c r="L221"/>
      <c r="M221"/>
      <c r="N221"/>
      <c r="O221"/>
      <c r="P221"/>
      <c r="Q221"/>
      <c r="R221"/>
      <c r="S221"/>
      <c r="T221" s="580"/>
      <c r="U221" s="580"/>
    </row>
    <row r="222" spans="1:21" s="583" customFormat="1" ht="12.75">
      <c r="A222"/>
      <c r="B222"/>
      <c r="C222"/>
      <c r="D222"/>
      <c r="E222"/>
      <c r="F222"/>
      <c r="G222"/>
      <c r="H222"/>
      <c r="I222"/>
      <c r="J222"/>
      <c r="K222"/>
      <c r="L222"/>
      <c r="M222"/>
      <c r="N222"/>
      <c r="O222"/>
      <c r="P222"/>
      <c r="Q222"/>
      <c r="R222"/>
      <c r="S222"/>
      <c r="T222" s="580"/>
      <c r="U222" s="580"/>
    </row>
    <row r="223" spans="1:19" ht="12.75">
      <c r="A223"/>
      <c r="B223"/>
      <c r="C223"/>
      <c r="D223"/>
      <c r="E223"/>
      <c r="F223"/>
      <c r="G223"/>
      <c r="H223"/>
      <c r="I223"/>
      <c r="J223"/>
      <c r="K223"/>
      <c r="L223"/>
      <c r="M223"/>
      <c r="N223"/>
      <c r="O223"/>
      <c r="P223"/>
      <c r="Q223"/>
      <c r="R223"/>
      <c r="S223"/>
    </row>
    <row r="224" spans="1:19" ht="12.75">
      <c r="A224"/>
      <c r="B224"/>
      <c r="C224"/>
      <c r="D224"/>
      <c r="E224"/>
      <c r="F224"/>
      <c r="G224"/>
      <c r="H224"/>
      <c r="I224"/>
      <c r="J224"/>
      <c r="K224"/>
      <c r="L224"/>
      <c r="M224"/>
      <c r="N224"/>
      <c r="O224"/>
      <c r="P224"/>
      <c r="Q224"/>
      <c r="R224"/>
      <c r="S224"/>
    </row>
    <row r="225" spans="1:19" ht="12.75">
      <c r="A225"/>
      <c r="B225"/>
      <c r="C225"/>
      <c r="D225"/>
      <c r="E225"/>
      <c r="F225"/>
      <c r="G225"/>
      <c r="H225"/>
      <c r="I225"/>
      <c r="J225"/>
      <c r="K225"/>
      <c r="L225"/>
      <c r="M225"/>
      <c r="N225"/>
      <c r="O225"/>
      <c r="P225"/>
      <c r="Q225"/>
      <c r="R225"/>
      <c r="S225"/>
    </row>
    <row r="226" spans="1:19" ht="12.75">
      <c r="A226"/>
      <c r="B226"/>
      <c r="C226"/>
      <c r="D226"/>
      <c r="E226"/>
      <c r="F226"/>
      <c r="G226"/>
      <c r="H226"/>
      <c r="I226"/>
      <c r="J226"/>
      <c r="K226"/>
      <c r="L226"/>
      <c r="M226"/>
      <c r="N226"/>
      <c r="O226"/>
      <c r="P226"/>
      <c r="Q226"/>
      <c r="R226"/>
      <c r="S226"/>
    </row>
    <row r="227" spans="1:19" ht="12.75">
      <c r="A227"/>
      <c r="B227"/>
      <c r="C227"/>
      <c r="D227"/>
      <c r="E227"/>
      <c r="F227"/>
      <c r="G227"/>
      <c r="H227"/>
      <c r="I227"/>
      <c r="J227"/>
      <c r="K227"/>
      <c r="L227"/>
      <c r="M227"/>
      <c r="N227"/>
      <c r="O227"/>
      <c r="P227"/>
      <c r="Q227"/>
      <c r="R227"/>
      <c r="S227"/>
    </row>
    <row r="228" spans="1:19" ht="12.75">
      <c r="A228"/>
      <c r="B228"/>
      <c r="C228"/>
      <c r="D228"/>
      <c r="E228"/>
      <c r="F228"/>
      <c r="G228"/>
      <c r="H228"/>
      <c r="I228"/>
      <c r="J228"/>
      <c r="K228"/>
      <c r="L228"/>
      <c r="M228"/>
      <c r="N228"/>
      <c r="O228"/>
      <c r="P228"/>
      <c r="Q228"/>
      <c r="R228"/>
      <c r="S228"/>
    </row>
    <row r="229" spans="1:19" ht="12.75">
      <c r="A229"/>
      <c r="B229"/>
      <c r="C229"/>
      <c r="D229"/>
      <c r="E229"/>
      <c r="F229"/>
      <c r="G229"/>
      <c r="H229"/>
      <c r="I229"/>
      <c r="J229"/>
      <c r="K229"/>
      <c r="L229"/>
      <c r="M229"/>
      <c r="N229"/>
      <c r="O229"/>
      <c r="P229"/>
      <c r="Q229"/>
      <c r="R229"/>
      <c r="S229"/>
    </row>
    <row r="230" spans="1:19" ht="12.75">
      <c r="A230"/>
      <c r="B230"/>
      <c r="C230"/>
      <c r="D230"/>
      <c r="E230"/>
      <c r="F230"/>
      <c r="G230"/>
      <c r="H230"/>
      <c r="I230"/>
      <c r="J230"/>
      <c r="K230"/>
      <c r="L230"/>
      <c r="M230"/>
      <c r="N230"/>
      <c r="O230"/>
      <c r="P230"/>
      <c r="Q230"/>
      <c r="R230"/>
      <c r="S230"/>
    </row>
    <row r="231" spans="1:19" ht="12.75">
      <c r="A231"/>
      <c r="B231"/>
      <c r="C231"/>
      <c r="D231"/>
      <c r="E231"/>
      <c r="F231"/>
      <c r="G231"/>
      <c r="H231"/>
      <c r="I231"/>
      <c r="J231"/>
      <c r="K231"/>
      <c r="L231"/>
      <c r="M231"/>
      <c r="N231"/>
      <c r="O231"/>
      <c r="P231"/>
      <c r="Q231"/>
      <c r="R231"/>
      <c r="S231"/>
    </row>
    <row r="232" spans="1:19" ht="12.75">
      <c r="A232"/>
      <c r="B232"/>
      <c r="C232"/>
      <c r="D232"/>
      <c r="E232"/>
      <c r="F232"/>
      <c r="G232"/>
      <c r="H232"/>
      <c r="I232"/>
      <c r="J232"/>
      <c r="K232"/>
      <c r="L232"/>
      <c r="M232"/>
      <c r="N232"/>
      <c r="O232"/>
      <c r="P232"/>
      <c r="Q232"/>
      <c r="R232"/>
      <c r="S232"/>
    </row>
    <row r="233" spans="1:19" ht="12.75">
      <c r="A233"/>
      <c r="B233"/>
      <c r="C233"/>
      <c r="D233"/>
      <c r="E233"/>
      <c r="F233"/>
      <c r="G233"/>
      <c r="H233"/>
      <c r="I233"/>
      <c r="J233"/>
      <c r="K233"/>
      <c r="L233"/>
      <c r="M233"/>
      <c r="N233"/>
      <c r="O233"/>
      <c r="P233"/>
      <c r="Q233"/>
      <c r="R233"/>
      <c r="S233"/>
    </row>
    <row r="234" spans="1:19" ht="12.75">
      <c r="A234"/>
      <c r="B234"/>
      <c r="C234"/>
      <c r="D234"/>
      <c r="E234"/>
      <c r="F234"/>
      <c r="G234"/>
      <c r="H234"/>
      <c r="I234"/>
      <c r="J234"/>
      <c r="K234"/>
      <c r="L234"/>
      <c r="M234"/>
      <c r="N234"/>
      <c r="O234"/>
      <c r="P234"/>
      <c r="Q234"/>
      <c r="R234"/>
      <c r="S234"/>
    </row>
    <row r="235" spans="1:19" ht="12.75">
      <c r="A235"/>
      <c r="B235"/>
      <c r="C235"/>
      <c r="D235"/>
      <c r="E235"/>
      <c r="F235"/>
      <c r="G235"/>
      <c r="H235"/>
      <c r="I235"/>
      <c r="J235"/>
      <c r="K235"/>
      <c r="L235"/>
      <c r="M235"/>
      <c r="N235"/>
      <c r="O235"/>
      <c r="P235"/>
      <c r="Q235"/>
      <c r="R235"/>
      <c r="S235"/>
    </row>
    <row r="236" spans="1:19" ht="12.75">
      <c r="A236"/>
      <c r="B236"/>
      <c r="C236"/>
      <c r="D236"/>
      <c r="E236"/>
      <c r="F236"/>
      <c r="G236"/>
      <c r="H236"/>
      <c r="I236"/>
      <c r="J236"/>
      <c r="K236"/>
      <c r="L236"/>
      <c r="M236"/>
      <c r="N236"/>
      <c r="O236"/>
      <c r="P236"/>
      <c r="Q236"/>
      <c r="R236"/>
      <c r="S236"/>
    </row>
    <row r="237" spans="1:19" ht="12.75">
      <c r="A237"/>
      <c r="B237"/>
      <c r="C237"/>
      <c r="D237"/>
      <c r="E237"/>
      <c r="F237"/>
      <c r="G237"/>
      <c r="H237"/>
      <c r="I237"/>
      <c r="J237"/>
      <c r="K237"/>
      <c r="L237"/>
      <c r="M237"/>
      <c r="N237"/>
      <c r="O237"/>
      <c r="P237"/>
      <c r="Q237"/>
      <c r="R237"/>
      <c r="S237"/>
    </row>
    <row r="238" spans="1:19" ht="12.75">
      <c r="A238"/>
      <c r="B238"/>
      <c r="C238"/>
      <c r="D238"/>
      <c r="E238"/>
      <c r="F238"/>
      <c r="G238"/>
      <c r="H238"/>
      <c r="I238"/>
      <c r="J238"/>
      <c r="K238"/>
      <c r="L238"/>
      <c r="M238"/>
      <c r="N238"/>
      <c r="O238"/>
      <c r="P238"/>
      <c r="Q238"/>
      <c r="R238"/>
      <c r="S238"/>
    </row>
    <row r="239" spans="1:19" ht="12.75">
      <c r="A239"/>
      <c r="B239"/>
      <c r="C239"/>
      <c r="D239"/>
      <c r="E239"/>
      <c r="F239"/>
      <c r="G239"/>
      <c r="H239"/>
      <c r="I239"/>
      <c r="J239"/>
      <c r="K239"/>
      <c r="L239"/>
      <c r="M239"/>
      <c r="N239"/>
      <c r="O239"/>
      <c r="P239"/>
      <c r="Q239"/>
      <c r="R239"/>
      <c r="S239"/>
    </row>
    <row r="240" spans="1:19" ht="12.75">
      <c r="A240"/>
      <c r="B240"/>
      <c r="C240"/>
      <c r="D240"/>
      <c r="E240"/>
      <c r="F240"/>
      <c r="G240"/>
      <c r="H240"/>
      <c r="I240"/>
      <c r="J240"/>
      <c r="K240"/>
      <c r="L240"/>
      <c r="M240"/>
      <c r="N240"/>
      <c r="O240"/>
      <c r="P240"/>
      <c r="Q240"/>
      <c r="R240"/>
      <c r="S240"/>
    </row>
    <row r="241" spans="1:19" ht="12.75">
      <c r="A241"/>
      <c r="B241"/>
      <c r="C241"/>
      <c r="D241"/>
      <c r="E241"/>
      <c r="F241"/>
      <c r="G241"/>
      <c r="H241"/>
      <c r="I241"/>
      <c r="J241"/>
      <c r="K241"/>
      <c r="L241"/>
      <c r="M241"/>
      <c r="N241"/>
      <c r="O241"/>
      <c r="P241"/>
      <c r="Q241"/>
      <c r="R241"/>
      <c r="S241"/>
    </row>
    <row r="242" spans="1:19" ht="12.75">
      <c r="A242"/>
      <c r="B242"/>
      <c r="C242"/>
      <c r="D242"/>
      <c r="E242"/>
      <c r="F242"/>
      <c r="G242"/>
      <c r="H242"/>
      <c r="I242"/>
      <c r="J242"/>
      <c r="K242"/>
      <c r="L242"/>
      <c r="M242"/>
      <c r="N242"/>
      <c r="O242"/>
      <c r="P242"/>
      <c r="Q242"/>
      <c r="R242"/>
      <c r="S242"/>
    </row>
    <row r="243" spans="1:19" ht="12.75">
      <c r="A243"/>
      <c r="B243"/>
      <c r="C243"/>
      <c r="D243"/>
      <c r="E243"/>
      <c r="F243"/>
      <c r="G243"/>
      <c r="H243"/>
      <c r="I243"/>
      <c r="J243"/>
      <c r="K243"/>
      <c r="L243"/>
      <c r="M243"/>
      <c r="N243"/>
      <c r="O243"/>
      <c r="P243"/>
      <c r="Q243"/>
      <c r="R243"/>
      <c r="S243"/>
    </row>
    <row r="244" spans="1:19" ht="12.75">
      <c r="A244"/>
      <c r="B244"/>
      <c r="C244"/>
      <c r="D244"/>
      <c r="E244"/>
      <c r="F244"/>
      <c r="G244"/>
      <c r="H244"/>
      <c r="I244"/>
      <c r="J244"/>
      <c r="K244"/>
      <c r="L244"/>
      <c r="M244"/>
      <c r="N244"/>
      <c r="O244"/>
      <c r="P244"/>
      <c r="Q244"/>
      <c r="R244"/>
      <c r="S244"/>
    </row>
    <row r="245" spans="1:19" ht="12.75">
      <c r="A245"/>
      <c r="B245"/>
      <c r="C245"/>
      <c r="D245"/>
      <c r="E245"/>
      <c r="F245"/>
      <c r="G245"/>
      <c r="H245"/>
      <c r="I245"/>
      <c r="J245"/>
      <c r="K245"/>
      <c r="L245"/>
      <c r="M245"/>
      <c r="N245"/>
      <c r="O245"/>
      <c r="P245"/>
      <c r="Q245"/>
      <c r="R245"/>
      <c r="S245"/>
    </row>
    <row r="246" spans="1:19" ht="12.75">
      <c r="A246"/>
      <c r="B246"/>
      <c r="C246"/>
      <c r="D246"/>
      <c r="E246"/>
      <c r="F246"/>
      <c r="G246"/>
      <c r="H246"/>
      <c r="I246"/>
      <c r="J246"/>
      <c r="K246"/>
      <c r="L246"/>
      <c r="M246"/>
      <c r="N246"/>
      <c r="O246"/>
      <c r="P246"/>
      <c r="Q246"/>
      <c r="R246"/>
      <c r="S246"/>
    </row>
    <row r="247" spans="1:19" ht="12.75">
      <c r="A247"/>
      <c r="B247"/>
      <c r="C247"/>
      <c r="D247"/>
      <c r="E247"/>
      <c r="F247"/>
      <c r="G247"/>
      <c r="H247"/>
      <c r="I247"/>
      <c r="J247"/>
      <c r="K247"/>
      <c r="L247"/>
      <c r="M247"/>
      <c r="N247"/>
      <c r="O247"/>
      <c r="P247"/>
      <c r="Q247"/>
      <c r="R247"/>
      <c r="S247"/>
    </row>
    <row r="248" spans="1:19" ht="12.75">
      <c r="A248"/>
      <c r="B248"/>
      <c r="C248"/>
      <c r="D248"/>
      <c r="E248"/>
      <c r="F248"/>
      <c r="G248"/>
      <c r="H248"/>
      <c r="I248"/>
      <c r="J248"/>
      <c r="K248"/>
      <c r="L248"/>
      <c r="M248"/>
      <c r="N248"/>
      <c r="O248"/>
      <c r="P248"/>
      <c r="Q248"/>
      <c r="R248"/>
      <c r="S248"/>
    </row>
    <row r="249" spans="1:19" ht="12.75">
      <c r="A249"/>
      <c r="B249"/>
      <c r="C249"/>
      <c r="D249"/>
      <c r="E249"/>
      <c r="F249"/>
      <c r="G249"/>
      <c r="H249"/>
      <c r="I249"/>
      <c r="J249"/>
      <c r="K249"/>
      <c r="L249"/>
      <c r="M249"/>
      <c r="N249"/>
      <c r="O249"/>
      <c r="P249"/>
      <c r="Q249"/>
      <c r="R249"/>
      <c r="S249"/>
    </row>
    <row r="250" spans="1:19" ht="12.75">
      <c r="A250"/>
      <c r="B250"/>
      <c r="C250"/>
      <c r="D250"/>
      <c r="E250"/>
      <c r="F250"/>
      <c r="G250"/>
      <c r="H250"/>
      <c r="I250"/>
      <c r="J250"/>
      <c r="K250"/>
      <c r="L250"/>
      <c r="M250"/>
      <c r="N250"/>
      <c r="O250"/>
      <c r="P250"/>
      <c r="Q250"/>
      <c r="R250"/>
      <c r="S250"/>
    </row>
    <row r="251" spans="1:19" ht="12.75">
      <c r="A251"/>
      <c r="B251"/>
      <c r="C251"/>
      <c r="D251"/>
      <c r="E251"/>
      <c r="F251"/>
      <c r="G251"/>
      <c r="H251"/>
      <c r="I251"/>
      <c r="J251"/>
      <c r="K251"/>
      <c r="L251"/>
      <c r="M251"/>
      <c r="N251"/>
      <c r="O251"/>
      <c r="P251"/>
      <c r="Q251"/>
      <c r="R251"/>
      <c r="S251"/>
    </row>
    <row r="252" spans="1:19" ht="12.75">
      <c r="A252"/>
      <c r="B252"/>
      <c r="C252"/>
      <c r="D252"/>
      <c r="E252"/>
      <c r="F252"/>
      <c r="G252"/>
      <c r="H252"/>
      <c r="I252"/>
      <c r="J252"/>
      <c r="K252"/>
      <c r="L252"/>
      <c r="M252"/>
      <c r="N252"/>
      <c r="O252"/>
      <c r="P252"/>
      <c r="Q252"/>
      <c r="R252"/>
      <c r="S252"/>
    </row>
    <row r="253" spans="1:19" ht="12.75">
      <c r="A253"/>
      <c r="B253"/>
      <c r="C253"/>
      <c r="D253"/>
      <c r="E253"/>
      <c r="F253"/>
      <c r="G253"/>
      <c r="H253"/>
      <c r="I253"/>
      <c r="J253"/>
      <c r="K253"/>
      <c r="L253"/>
      <c r="M253"/>
      <c r="N253"/>
      <c r="O253"/>
      <c r="P253"/>
      <c r="Q253"/>
      <c r="R253"/>
      <c r="S253"/>
    </row>
    <row r="254" spans="1:19" ht="12.75">
      <c r="A254"/>
      <c r="B254"/>
      <c r="C254"/>
      <c r="D254"/>
      <c r="E254"/>
      <c r="F254"/>
      <c r="G254"/>
      <c r="H254"/>
      <c r="I254"/>
      <c r="J254"/>
      <c r="K254"/>
      <c r="L254"/>
      <c r="M254"/>
      <c r="N254"/>
      <c r="O254"/>
      <c r="P254"/>
      <c r="Q254"/>
      <c r="R254"/>
      <c r="S254"/>
    </row>
    <row r="255" spans="1:19" ht="12.75">
      <c r="A255"/>
      <c r="B255"/>
      <c r="C255"/>
      <c r="D255"/>
      <c r="E255"/>
      <c r="F255"/>
      <c r="G255"/>
      <c r="H255"/>
      <c r="I255"/>
      <c r="J255"/>
      <c r="K255"/>
      <c r="L255"/>
      <c r="M255"/>
      <c r="N255"/>
      <c r="O255"/>
      <c r="P255"/>
      <c r="Q255"/>
      <c r="R255"/>
      <c r="S255"/>
    </row>
    <row r="256" spans="1:19" ht="12.75">
      <c r="A256"/>
      <c r="B256"/>
      <c r="C256"/>
      <c r="D256"/>
      <c r="E256"/>
      <c r="F256"/>
      <c r="G256"/>
      <c r="H256"/>
      <c r="I256"/>
      <c r="J256"/>
      <c r="K256"/>
      <c r="L256"/>
      <c r="M256"/>
      <c r="N256"/>
      <c r="O256"/>
      <c r="P256"/>
      <c r="Q256"/>
      <c r="R256"/>
      <c r="S256"/>
    </row>
    <row r="257" spans="1:21" s="607" customFormat="1" ht="12.75">
      <c r="A257"/>
      <c r="B257"/>
      <c r="C257"/>
      <c r="D257"/>
      <c r="E257"/>
      <c r="F257"/>
      <c r="G257"/>
      <c r="H257"/>
      <c r="I257"/>
      <c r="J257"/>
      <c r="K257"/>
      <c r="L257"/>
      <c r="M257"/>
      <c r="N257"/>
      <c r="O257"/>
      <c r="P257"/>
      <c r="Q257"/>
      <c r="R257"/>
      <c r="S257"/>
      <c r="T257" s="580"/>
      <c r="U257" s="580"/>
    </row>
    <row r="258" spans="1:21" s="583" customFormat="1" ht="12.75">
      <c r="A258"/>
      <c r="B258"/>
      <c r="C258"/>
      <c r="D258"/>
      <c r="E258"/>
      <c r="F258"/>
      <c r="G258"/>
      <c r="H258"/>
      <c r="I258"/>
      <c r="J258"/>
      <c r="K258"/>
      <c r="L258"/>
      <c r="M258"/>
      <c r="N258"/>
      <c r="O258"/>
      <c r="P258"/>
      <c r="Q258"/>
      <c r="R258"/>
      <c r="S258"/>
      <c r="T258" s="580"/>
      <c r="U258" s="580"/>
    </row>
    <row r="259" spans="1:19" ht="12.75">
      <c r="A259"/>
      <c r="B259"/>
      <c r="C259"/>
      <c r="D259"/>
      <c r="E259"/>
      <c r="F259"/>
      <c r="G259"/>
      <c r="H259"/>
      <c r="I259"/>
      <c r="J259"/>
      <c r="K259"/>
      <c r="L259"/>
      <c r="M259"/>
      <c r="N259"/>
      <c r="O259"/>
      <c r="P259"/>
      <c r="Q259"/>
      <c r="R259"/>
      <c r="S259"/>
    </row>
    <row r="260" spans="1:19" ht="12.75">
      <c r="A260"/>
      <c r="B260"/>
      <c r="C260"/>
      <c r="D260"/>
      <c r="E260"/>
      <c r="F260"/>
      <c r="G260"/>
      <c r="H260"/>
      <c r="I260"/>
      <c r="J260"/>
      <c r="K260"/>
      <c r="L260"/>
      <c r="M260"/>
      <c r="N260"/>
      <c r="O260"/>
      <c r="P260"/>
      <c r="Q260"/>
      <c r="R260"/>
      <c r="S260"/>
    </row>
    <row r="261" spans="1:19" ht="12.75">
      <c r="A261"/>
      <c r="B261"/>
      <c r="C261"/>
      <c r="D261"/>
      <c r="E261"/>
      <c r="F261"/>
      <c r="G261"/>
      <c r="H261"/>
      <c r="I261"/>
      <c r="J261"/>
      <c r="K261"/>
      <c r="L261"/>
      <c r="M261"/>
      <c r="N261"/>
      <c r="O261"/>
      <c r="P261"/>
      <c r="Q261"/>
      <c r="R261"/>
      <c r="S261"/>
    </row>
    <row r="262" spans="1:19" ht="12.75">
      <c r="A262"/>
      <c r="B262"/>
      <c r="C262"/>
      <c r="D262"/>
      <c r="E262"/>
      <c r="F262"/>
      <c r="G262"/>
      <c r="H262"/>
      <c r="I262"/>
      <c r="J262"/>
      <c r="K262"/>
      <c r="L262"/>
      <c r="M262"/>
      <c r="N262"/>
      <c r="O262"/>
      <c r="P262"/>
      <c r="Q262"/>
      <c r="R262"/>
      <c r="S262"/>
    </row>
    <row r="263" spans="1:19" ht="12.75">
      <c r="A263"/>
      <c r="B263"/>
      <c r="C263"/>
      <c r="D263"/>
      <c r="E263"/>
      <c r="F263"/>
      <c r="G263"/>
      <c r="H263"/>
      <c r="I263"/>
      <c r="J263"/>
      <c r="K263"/>
      <c r="L263"/>
      <c r="M263"/>
      <c r="N263"/>
      <c r="O263"/>
      <c r="P263"/>
      <c r="Q263"/>
      <c r="R263"/>
      <c r="S263"/>
    </row>
    <row r="264" spans="1:19" ht="12.75">
      <c r="A264"/>
      <c r="B264"/>
      <c r="C264"/>
      <c r="D264"/>
      <c r="E264"/>
      <c r="F264"/>
      <c r="G264"/>
      <c r="H264"/>
      <c r="I264"/>
      <c r="J264"/>
      <c r="K264"/>
      <c r="L264"/>
      <c r="M264"/>
      <c r="N264"/>
      <c r="O264"/>
      <c r="P264"/>
      <c r="Q264"/>
      <c r="R264"/>
      <c r="S264"/>
    </row>
    <row r="265" spans="1:19" ht="12.75">
      <c r="A265"/>
      <c r="B265"/>
      <c r="C265"/>
      <c r="D265"/>
      <c r="E265"/>
      <c r="F265"/>
      <c r="G265"/>
      <c r="H265"/>
      <c r="I265"/>
      <c r="J265"/>
      <c r="K265"/>
      <c r="L265"/>
      <c r="M265"/>
      <c r="N265"/>
      <c r="O265"/>
      <c r="P265"/>
      <c r="Q265"/>
      <c r="R265"/>
      <c r="S265"/>
    </row>
    <row r="266" spans="1:19" ht="12.75">
      <c r="A266"/>
      <c r="B266"/>
      <c r="C266"/>
      <c r="D266"/>
      <c r="E266"/>
      <c r="F266"/>
      <c r="G266"/>
      <c r="H266"/>
      <c r="I266"/>
      <c r="J266"/>
      <c r="K266"/>
      <c r="L266"/>
      <c r="M266"/>
      <c r="N266"/>
      <c r="O266"/>
      <c r="P266"/>
      <c r="Q266"/>
      <c r="R266"/>
      <c r="S266"/>
    </row>
    <row r="267" spans="1:19" ht="12.75">
      <c r="A267"/>
      <c r="B267"/>
      <c r="C267"/>
      <c r="D267"/>
      <c r="E267"/>
      <c r="F267"/>
      <c r="G267"/>
      <c r="H267"/>
      <c r="I267"/>
      <c r="J267"/>
      <c r="K267"/>
      <c r="L267"/>
      <c r="M267"/>
      <c r="N267"/>
      <c r="O267"/>
      <c r="P267"/>
      <c r="Q267"/>
      <c r="R267"/>
      <c r="S267"/>
    </row>
    <row r="268" spans="1:19" ht="12.75">
      <c r="A268"/>
      <c r="B268"/>
      <c r="C268"/>
      <c r="D268"/>
      <c r="E268"/>
      <c r="F268"/>
      <c r="G268"/>
      <c r="H268"/>
      <c r="I268"/>
      <c r="J268"/>
      <c r="K268"/>
      <c r="L268"/>
      <c r="M268"/>
      <c r="N268"/>
      <c r="O268"/>
      <c r="P268"/>
      <c r="Q268"/>
      <c r="R268"/>
      <c r="S268"/>
    </row>
    <row r="269" spans="1:19" ht="12.75">
      <c r="A269"/>
      <c r="B269"/>
      <c r="C269"/>
      <c r="D269"/>
      <c r="E269"/>
      <c r="F269"/>
      <c r="G269"/>
      <c r="H269"/>
      <c r="I269"/>
      <c r="J269"/>
      <c r="K269"/>
      <c r="L269"/>
      <c r="M269"/>
      <c r="N269"/>
      <c r="O269"/>
      <c r="P269"/>
      <c r="Q269"/>
      <c r="R269"/>
      <c r="S269"/>
    </row>
    <row r="270" spans="1:19" ht="12.75">
      <c r="A270"/>
      <c r="B270"/>
      <c r="C270"/>
      <c r="D270"/>
      <c r="E270"/>
      <c r="F270"/>
      <c r="G270"/>
      <c r="H270"/>
      <c r="I270"/>
      <c r="J270"/>
      <c r="K270"/>
      <c r="L270"/>
      <c r="M270"/>
      <c r="N270"/>
      <c r="O270"/>
      <c r="P270"/>
      <c r="Q270"/>
      <c r="R270"/>
      <c r="S270"/>
    </row>
    <row r="271" spans="1:19" ht="12.75">
      <c r="A271"/>
      <c r="B271"/>
      <c r="C271"/>
      <c r="D271"/>
      <c r="E271"/>
      <c r="F271"/>
      <c r="G271"/>
      <c r="H271"/>
      <c r="I271"/>
      <c r="J271"/>
      <c r="K271"/>
      <c r="L271"/>
      <c r="M271"/>
      <c r="N271"/>
      <c r="O271"/>
      <c r="P271"/>
      <c r="Q271"/>
      <c r="R271"/>
      <c r="S271"/>
    </row>
    <row r="272" spans="1:19" ht="12.75">
      <c r="A272"/>
      <c r="B272"/>
      <c r="C272"/>
      <c r="D272"/>
      <c r="E272"/>
      <c r="F272"/>
      <c r="G272"/>
      <c r="H272"/>
      <c r="I272"/>
      <c r="J272"/>
      <c r="K272"/>
      <c r="L272"/>
      <c r="M272"/>
      <c r="N272"/>
      <c r="O272"/>
      <c r="P272"/>
      <c r="Q272"/>
      <c r="R272"/>
      <c r="S272"/>
    </row>
    <row r="273" spans="1:19" ht="12.75">
      <c r="A273"/>
      <c r="B273"/>
      <c r="C273"/>
      <c r="D273"/>
      <c r="E273"/>
      <c r="F273"/>
      <c r="G273"/>
      <c r="H273"/>
      <c r="I273"/>
      <c r="J273"/>
      <c r="K273"/>
      <c r="L273"/>
      <c r="M273"/>
      <c r="N273"/>
      <c r="O273"/>
      <c r="P273"/>
      <c r="Q273"/>
      <c r="R273"/>
      <c r="S273"/>
    </row>
    <row r="274" spans="1:19" ht="12.75">
      <c r="A274"/>
      <c r="B274"/>
      <c r="C274"/>
      <c r="D274"/>
      <c r="E274"/>
      <c r="F274"/>
      <c r="G274"/>
      <c r="H274"/>
      <c r="I274"/>
      <c r="J274"/>
      <c r="K274"/>
      <c r="L274"/>
      <c r="M274"/>
      <c r="N274"/>
      <c r="O274"/>
      <c r="P274"/>
      <c r="Q274"/>
      <c r="R274"/>
      <c r="S274"/>
    </row>
    <row r="275" spans="1:19" ht="12.75">
      <c r="A275"/>
      <c r="B275"/>
      <c r="C275"/>
      <c r="D275"/>
      <c r="E275"/>
      <c r="F275"/>
      <c r="G275"/>
      <c r="H275"/>
      <c r="I275"/>
      <c r="J275"/>
      <c r="K275"/>
      <c r="L275"/>
      <c r="M275"/>
      <c r="N275"/>
      <c r="O275"/>
      <c r="P275"/>
      <c r="Q275"/>
      <c r="R275"/>
      <c r="S275"/>
    </row>
    <row r="276" spans="1:19" ht="12.75">
      <c r="A276"/>
      <c r="B276"/>
      <c r="C276"/>
      <c r="D276"/>
      <c r="E276"/>
      <c r="F276"/>
      <c r="G276"/>
      <c r="H276"/>
      <c r="I276"/>
      <c r="J276"/>
      <c r="K276"/>
      <c r="L276"/>
      <c r="M276"/>
      <c r="N276"/>
      <c r="O276"/>
      <c r="P276"/>
      <c r="Q276"/>
      <c r="R276"/>
      <c r="S276"/>
    </row>
    <row r="277" spans="1:19" ht="12.75">
      <c r="A277"/>
      <c r="B277"/>
      <c r="C277"/>
      <c r="D277"/>
      <c r="E277"/>
      <c r="F277"/>
      <c r="G277"/>
      <c r="H277"/>
      <c r="I277"/>
      <c r="J277"/>
      <c r="K277"/>
      <c r="L277"/>
      <c r="M277"/>
      <c r="N277"/>
      <c r="O277"/>
      <c r="P277"/>
      <c r="Q277"/>
      <c r="R277"/>
      <c r="S277"/>
    </row>
    <row r="278" spans="1:19" ht="12.75">
      <c r="A278"/>
      <c r="B278"/>
      <c r="C278"/>
      <c r="D278"/>
      <c r="E278"/>
      <c r="F278"/>
      <c r="G278"/>
      <c r="H278"/>
      <c r="I278"/>
      <c r="J278"/>
      <c r="K278"/>
      <c r="L278"/>
      <c r="M278"/>
      <c r="N278"/>
      <c r="O278"/>
      <c r="P278"/>
      <c r="Q278"/>
      <c r="R278"/>
      <c r="S278"/>
    </row>
    <row r="279" spans="1:19" ht="12.75">
      <c r="A279"/>
      <c r="B279"/>
      <c r="C279"/>
      <c r="D279"/>
      <c r="E279"/>
      <c r="F279"/>
      <c r="G279"/>
      <c r="H279"/>
      <c r="I279"/>
      <c r="J279"/>
      <c r="K279"/>
      <c r="L279"/>
      <c r="M279"/>
      <c r="N279"/>
      <c r="O279"/>
      <c r="P279"/>
      <c r="Q279"/>
      <c r="R279"/>
      <c r="S279"/>
    </row>
    <row r="280" spans="1:19" ht="12.75">
      <c r="A280"/>
      <c r="B280"/>
      <c r="C280"/>
      <c r="D280"/>
      <c r="E280"/>
      <c r="F280"/>
      <c r="G280"/>
      <c r="H280"/>
      <c r="I280"/>
      <c r="J280"/>
      <c r="K280"/>
      <c r="L280"/>
      <c r="M280"/>
      <c r="N280"/>
      <c r="O280"/>
      <c r="P280"/>
      <c r="Q280"/>
      <c r="R280"/>
      <c r="S280"/>
    </row>
    <row r="281" spans="1:19" ht="12.75">
      <c r="A281"/>
      <c r="B281"/>
      <c r="C281"/>
      <c r="D281"/>
      <c r="E281"/>
      <c r="F281"/>
      <c r="G281"/>
      <c r="H281"/>
      <c r="I281"/>
      <c r="J281"/>
      <c r="K281"/>
      <c r="L281"/>
      <c r="M281"/>
      <c r="N281"/>
      <c r="O281"/>
      <c r="P281"/>
      <c r="Q281"/>
      <c r="R281"/>
      <c r="S281"/>
    </row>
    <row r="282" spans="1:19" ht="12.75">
      <c r="A282"/>
      <c r="B282"/>
      <c r="C282"/>
      <c r="D282"/>
      <c r="E282"/>
      <c r="F282"/>
      <c r="G282"/>
      <c r="H282"/>
      <c r="I282"/>
      <c r="J282"/>
      <c r="K282"/>
      <c r="L282"/>
      <c r="M282"/>
      <c r="N282"/>
      <c r="O282"/>
      <c r="P282"/>
      <c r="Q282"/>
      <c r="R282"/>
      <c r="S282"/>
    </row>
    <row r="283" spans="1:19" ht="12.75">
      <c r="A283"/>
      <c r="B283"/>
      <c r="C283"/>
      <c r="D283"/>
      <c r="E283"/>
      <c r="F283"/>
      <c r="G283"/>
      <c r="H283"/>
      <c r="I283"/>
      <c r="J283"/>
      <c r="K283"/>
      <c r="L283"/>
      <c r="M283"/>
      <c r="N283"/>
      <c r="O283"/>
      <c r="P283"/>
      <c r="Q283"/>
      <c r="R283"/>
      <c r="S283"/>
    </row>
    <row r="284" spans="1:19" ht="12.75">
      <c r="A284"/>
      <c r="B284"/>
      <c r="C284"/>
      <c r="D284"/>
      <c r="E284"/>
      <c r="F284"/>
      <c r="G284"/>
      <c r="H284"/>
      <c r="I284"/>
      <c r="J284"/>
      <c r="K284"/>
      <c r="L284"/>
      <c r="M284"/>
      <c r="N284"/>
      <c r="O284"/>
      <c r="P284"/>
      <c r="Q284"/>
      <c r="R284"/>
      <c r="S284"/>
    </row>
    <row r="285" spans="1:19" ht="12.75">
      <c r="A285"/>
      <c r="B285"/>
      <c r="C285"/>
      <c r="D285"/>
      <c r="E285"/>
      <c r="F285"/>
      <c r="G285"/>
      <c r="H285"/>
      <c r="I285"/>
      <c r="J285"/>
      <c r="K285"/>
      <c r="L285"/>
      <c r="M285"/>
      <c r="N285"/>
      <c r="O285"/>
      <c r="P285"/>
      <c r="Q285"/>
      <c r="R285"/>
      <c r="S285"/>
    </row>
    <row r="286" spans="1:19" ht="12.75">
      <c r="A286"/>
      <c r="B286"/>
      <c r="C286"/>
      <c r="D286"/>
      <c r="E286"/>
      <c r="F286"/>
      <c r="G286"/>
      <c r="H286"/>
      <c r="I286"/>
      <c r="J286"/>
      <c r="K286"/>
      <c r="L286"/>
      <c r="M286"/>
      <c r="N286"/>
      <c r="O286"/>
      <c r="P286"/>
      <c r="Q286"/>
      <c r="R286"/>
      <c r="S286"/>
    </row>
    <row r="287" spans="1:19" ht="12.75">
      <c r="A287"/>
      <c r="B287"/>
      <c r="C287"/>
      <c r="D287"/>
      <c r="E287"/>
      <c r="F287"/>
      <c r="G287"/>
      <c r="H287"/>
      <c r="I287"/>
      <c r="J287"/>
      <c r="K287"/>
      <c r="L287"/>
      <c r="M287"/>
      <c r="N287"/>
      <c r="O287"/>
      <c r="P287"/>
      <c r="Q287"/>
      <c r="R287"/>
      <c r="S287"/>
    </row>
    <row r="288" spans="1:19" ht="12.75">
      <c r="A288"/>
      <c r="B288"/>
      <c r="C288"/>
      <c r="D288"/>
      <c r="E288"/>
      <c r="F288"/>
      <c r="G288"/>
      <c r="H288"/>
      <c r="I288"/>
      <c r="J288"/>
      <c r="K288"/>
      <c r="L288"/>
      <c r="M288"/>
      <c r="N288"/>
      <c r="O288"/>
      <c r="P288"/>
      <c r="Q288"/>
      <c r="R288"/>
      <c r="S288"/>
    </row>
    <row r="289" spans="1:19" ht="12.75">
      <c r="A289"/>
      <c r="B289"/>
      <c r="C289"/>
      <c r="D289"/>
      <c r="E289"/>
      <c r="F289"/>
      <c r="G289"/>
      <c r="H289"/>
      <c r="I289"/>
      <c r="J289"/>
      <c r="K289"/>
      <c r="L289"/>
      <c r="M289"/>
      <c r="N289"/>
      <c r="O289"/>
      <c r="P289"/>
      <c r="Q289"/>
      <c r="R289"/>
      <c r="S289"/>
    </row>
    <row r="290" spans="1:19" ht="12.75">
      <c r="A290"/>
      <c r="B290"/>
      <c r="C290"/>
      <c r="D290"/>
      <c r="E290"/>
      <c r="F290"/>
      <c r="G290"/>
      <c r="H290"/>
      <c r="I290"/>
      <c r="J290"/>
      <c r="K290"/>
      <c r="L290"/>
      <c r="M290"/>
      <c r="N290"/>
      <c r="O290"/>
      <c r="P290"/>
      <c r="Q290"/>
      <c r="R290"/>
      <c r="S290"/>
    </row>
    <row r="291" spans="1:19" ht="12.75">
      <c r="A291"/>
      <c r="B291"/>
      <c r="C291"/>
      <c r="D291"/>
      <c r="E291"/>
      <c r="F291"/>
      <c r="G291"/>
      <c r="H291"/>
      <c r="I291"/>
      <c r="J291"/>
      <c r="K291"/>
      <c r="L291"/>
      <c r="M291"/>
      <c r="N291"/>
      <c r="O291"/>
      <c r="P291"/>
      <c r="Q291"/>
      <c r="R291"/>
      <c r="S291"/>
    </row>
    <row r="292" spans="1:19" ht="12.75">
      <c r="A292"/>
      <c r="B292"/>
      <c r="C292"/>
      <c r="D292"/>
      <c r="E292"/>
      <c r="F292"/>
      <c r="G292"/>
      <c r="H292"/>
      <c r="I292"/>
      <c r="J292"/>
      <c r="K292"/>
      <c r="L292"/>
      <c r="M292"/>
      <c r="N292"/>
      <c r="O292"/>
      <c r="P292"/>
      <c r="Q292"/>
      <c r="R292"/>
      <c r="S292"/>
    </row>
    <row r="293" spans="1:21" s="607" customFormat="1" ht="12.75">
      <c r="A293"/>
      <c r="B293"/>
      <c r="C293"/>
      <c r="D293"/>
      <c r="E293"/>
      <c r="F293"/>
      <c r="G293"/>
      <c r="H293"/>
      <c r="I293"/>
      <c r="J293"/>
      <c r="K293"/>
      <c r="L293"/>
      <c r="M293"/>
      <c r="N293"/>
      <c r="O293"/>
      <c r="P293"/>
      <c r="Q293"/>
      <c r="R293"/>
      <c r="S293"/>
      <c r="T293" s="580"/>
      <c r="U293" s="580"/>
    </row>
    <row r="294" spans="1:21" s="583" customFormat="1" ht="12.75">
      <c r="A294"/>
      <c r="B294"/>
      <c r="C294"/>
      <c r="D294"/>
      <c r="E294"/>
      <c r="F294"/>
      <c r="G294"/>
      <c r="H294"/>
      <c r="I294"/>
      <c r="J294"/>
      <c r="K294"/>
      <c r="L294"/>
      <c r="M294"/>
      <c r="N294"/>
      <c r="O294"/>
      <c r="P294"/>
      <c r="Q294"/>
      <c r="R294"/>
      <c r="S294"/>
      <c r="T294" s="580"/>
      <c r="U294" s="580"/>
    </row>
    <row r="295" spans="1:19" ht="12.75">
      <c r="A295"/>
      <c r="B295"/>
      <c r="C295"/>
      <c r="D295"/>
      <c r="E295"/>
      <c r="F295"/>
      <c r="G295"/>
      <c r="H295"/>
      <c r="I295"/>
      <c r="J295"/>
      <c r="K295"/>
      <c r="L295"/>
      <c r="M295"/>
      <c r="N295"/>
      <c r="O295"/>
      <c r="P295"/>
      <c r="Q295"/>
      <c r="R295"/>
      <c r="S295"/>
    </row>
    <row r="296" spans="1:19" ht="12.75">
      <c r="A296"/>
      <c r="B296"/>
      <c r="C296"/>
      <c r="D296"/>
      <c r="E296"/>
      <c r="F296"/>
      <c r="G296"/>
      <c r="H296"/>
      <c r="I296"/>
      <c r="J296"/>
      <c r="K296"/>
      <c r="L296"/>
      <c r="M296"/>
      <c r="N296"/>
      <c r="O296"/>
      <c r="P296"/>
      <c r="Q296"/>
      <c r="R296"/>
      <c r="S296"/>
    </row>
    <row r="297" spans="1:19" ht="12.75">
      <c r="A297"/>
      <c r="B297"/>
      <c r="C297"/>
      <c r="D297"/>
      <c r="E297"/>
      <c r="F297"/>
      <c r="G297"/>
      <c r="H297"/>
      <c r="I297"/>
      <c r="J297"/>
      <c r="K297"/>
      <c r="L297"/>
      <c r="M297"/>
      <c r="N297"/>
      <c r="O297"/>
      <c r="P297"/>
      <c r="Q297"/>
      <c r="R297"/>
      <c r="S297"/>
    </row>
    <row r="298" spans="1:19" ht="12.75">
      <c r="A298"/>
      <c r="B298"/>
      <c r="C298"/>
      <c r="D298"/>
      <c r="E298"/>
      <c r="F298"/>
      <c r="G298"/>
      <c r="H298"/>
      <c r="I298"/>
      <c r="J298"/>
      <c r="K298"/>
      <c r="L298"/>
      <c r="M298"/>
      <c r="N298"/>
      <c r="O298"/>
      <c r="P298"/>
      <c r="Q298"/>
      <c r="R298"/>
      <c r="S298"/>
    </row>
    <row r="299" spans="1:19" ht="12.75">
      <c r="A299"/>
      <c r="B299"/>
      <c r="C299"/>
      <c r="D299"/>
      <c r="E299"/>
      <c r="F299"/>
      <c r="G299"/>
      <c r="H299"/>
      <c r="I299"/>
      <c r="J299"/>
      <c r="K299"/>
      <c r="L299"/>
      <c r="M299"/>
      <c r="N299"/>
      <c r="O299"/>
      <c r="P299"/>
      <c r="Q299"/>
      <c r="R299"/>
      <c r="S299"/>
    </row>
    <row r="300" spans="1:19" ht="12.75">
      <c r="A300"/>
      <c r="B300"/>
      <c r="C300"/>
      <c r="D300"/>
      <c r="E300"/>
      <c r="F300"/>
      <c r="G300"/>
      <c r="H300"/>
      <c r="I300"/>
      <c r="J300"/>
      <c r="K300"/>
      <c r="L300"/>
      <c r="M300"/>
      <c r="N300"/>
      <c r="O300"/>
      <c r="P300"/>
      <c r="Q300"/>
      <c r="R300"/>
      <c r="S300"/>
    </row>
    <row r="301" spans="1:19" ht="12.75">
      <c r="A301"/>
      <c r="B301"/>
      <c r="C301"/>
      <c r="D301"/>
      <c r="E301"/>
      <c r="F301"/>
      <c r="G301"/>
      <c r="H301"/>
      <c r="I301"/>
      <c r="J301"/>
      <c r="K301"/>
      <c r="L301"/>
      <c r="M301"/>
      <c r="N301"/>
      <c r="O301"/>
      <c r="P301"/>
      <c r="Q301"/>
      <c r="R301"/>
      <c r="S301"/>
    </row>
    <row r="302" spans="1:19" ht="12.75">
      <c r="A302"/>
      <c r="B302"/>
      <c r="C302"/>
      <c r="D302"/>
      <c r="E302"/>
      <c r="F302"/>
      <c r="G302"/>
      <c r="H302"/>
      <c r="I302"/>
      <c r="J302"/>
      <c r="K302"/>
      <c r="L302"/>
      <c r="M302"/>
      <c r="N302"/>
      <c r="O302"/>
      <c r="P302"/>
      <c r="Q302"/>
      <c r="R302"/>
      <c r="S302"/>
    </row>
    <row r="303" spans="1:19" ht="12.75">
      <c r="A303"/>
      <c r="B303"/>
      <c r="C303"/>
      <c r="D303"/>
      <c r="E303"/>
      <c r="F303"/>
      <c r="G303"/>
      <c r="H303"/>
      <c r="I303"/>
      <c r="J303"/>
      <c r="K303"/>
      <c r="L303"/>
      <c r="M303"/>
      <c r="N303"/>
      <c r="O303"/>
      <c r="P303"/>
      <c r="Q303"/>
      <c r="R303"/>
      <c r="S303"/>
    </row>
    <row r="304" spans="1:19" ht="12.75">
      <c r="A304"/>
      <c r="B304"/>
      <c r="C304"/>
      <c r="D304"/>
      <c r="E304"/>
      <c r="F304"/>
      <c r="G304"/>
      <c r="H304"/>
      <c r="I304"/>
      <c r="J304"/>
      <c r="K304"/>
      <c r="L304"/>
      <c r="M304"/>
      <c r="N304"/>
      <c r="O304"/>
      <c r="P304"/>
      <c r="Q304"/>
      <c r="R304"/>
      <c r="S304"/>
    </row>
    <row r="305" spans="1:19" ht="12.75">
      <c r="A305"/>
      <c r="B305"/>
      <c r="C305"/>
      <c r="D305"/>
      <c r="E305"/>
      <c r="F305"/>
      <c r="G305"/>
      <c r="H305"/>
      <c r="I305"/>
      <c r="J305"/>
      <c r="K305"/>
      <c r="L305"/>
      <c r="M305"/>
      <c r="N305"/>
      <c r="O305"/>
      <c r="P305"/>
      <c r="Q305"/>
      <c r="R305"/>
      <c r="S305"/>
    </row>
    <row r="306" spans="1:19" ht="12.75">
      <c r="A306"/>
      <c r="B306"/>
      <c r="C306"/>
      <c r="D306"/>
      <c r="E306"/>
      <c r="F306"/>
      <c r="G306"/>
      <c r="H306"/>
      <c r="I306"/>
      <c r="J306"/>
      <c r="K306"/>
      <c r="L306"/>
      <c r="M306"/>
      <c r="N306"/>
      <c r="O306"/>
      <c r="P306"/>
      <c r="Q306"/>
      <c r="R306"/>
      <c r="S306"/>
    </row>
    <row r="307" spans="1:19" ht="12.75">
      <c r="A307"/>
      <c r="B307"/>
      <c r="C307"/>
      <c r="D307"/>
      <c r="E307"/>
      <c r="F307"/>
      <c r="G307"/>
      <c r="H307"/>
      <c r="I307"/>
      <c r="J307"/>
      <c r="K307"/>
      <c r="L307"/>
      <c r="M307"/>
      <c r="N307"/>
      <c r="O307"/>
      <c r="P307"/>
      <c r="Q307"/>
      <c r="R307"/>
      <c r="S307"/>
    </row>
    <row r="308" spans="1:19" ht="12.75">
      <c r="A308"/>
      <c r="B308"/>
      <c r="C308"/>
      <c r="D308"/>
      <c r="E308"/>
      <c r="F308"/>
      <c r="G308"/>
      <c r="H308"/>
      <c r="I308"/>
      <c r="J308"/>
      <c r="K308"/>
      <c r="L308"/>
      <c r="M308"/>
      <c r="N308"/>
      <c r="O308"/>
      <c r="P308"/>
      <c r="Q308"/>
      <c r="R308"/>
      <c r="S308"/>
    </row>
    <row r="309" spans="1:19" ht="12.75">
      <c r="A309"/>
      <c r="B309"/>
      <c r="C309"/>
      <c r="D309"/>
      <c r="E309"/>
      <c r="F309"/>
      <c r="G309"/>
      <c r="H309"/>
      <c r="I309"/>
      <c r="J309"/>
      <c r="K309"/>
      <c r="L309"/>
      <c r="M309"/>
      <c r="N309"/>
      <c r="O309"/>
      <c r="P309"/>
      <c r="Q309"/>
      <c r="R309"/>
      <c r="S309"/>
    </row>
    <row r="310" spans="1:19" ht="12.75">
      <c r="A310"/>
      <c r="B310"/>
      <c r="C310"/>
      <c r="D310"/>
      <c r="E310"/>
      <c r="F310"/>
      <c r="G310"/>
      <c r="H310"/>
      <c r="I310"/>
      <c r="J310"/>
      <c r="K310"/>
      <c r="L310"/>
      <c r="M310"/>
      <c r="N310"/>
      <c r="O310"/>
      <c r="P310"/>
      <c r="Q310"/>
      <c r="R310"/>
      <c r="S310"/>
    </row>
    <row r="311" spans="1:19" ht="12.75">
      <c r="A311"/>
      <c r="B311"/>
      <c r="C311"/>
      <c r="D311"/>
      <c r="E311"/>
      <c r="F311"/>
      <c r="G311"/>
      <c r="H311"/>
      <c r="I311"/>
      <c r="J311"/>
      <c r="K311"/>
      <c r="L311"/>
      <c r="M311"/>
      <c r="N311"/>
      <c r="O311"/>
      <c r="P311"/>
      <c r="Q311"/>
      <c r="R311"/>
      <c r="S311"/>
    </row>
    <row r="312" spans="1:19" ht="12.75">
      <c r="A312"/>
      <c r="B312"/>
      <c r="C312"/>
      <c r="D312"/>
      <c r="E312"/>
      <c r="F312"/>
      <c r="G312"/>
      <c r="H312"/>
      <c r="I312"/>
      <c r="J312"/>
      <c r="K312"/>
      <c r="L312"/>
      <c r="M312"/>
      <c r="N312"/>
      <c r="O312"/>
      <c r="P312"/>
      <c r="Q312"/>
      <c r="R312"/>
      <c r="S312"/>
    </row>
    <row r="313" spans="1:19" ht="12.75">
      <c r="A313"/>
      <c r="B313"/>
      <c r="C313"/>
      <c r="D313"/>
      <c r="E313"/>
      <c r="F313"/>
      <c r="G313"/>
      <c r="H313"/>
      <c r="I313"/>
      <c r="J313"/>
      <c r="K313"/>
      <c r="L313"/>
      <c r="M313"/>
      <c r="N313"/>
      <c r="O313"/>
      <c r="P313"/>
      <c r="Q313"/>
      <c r="R313"/>
      <c r="S313"/>
    </row>
    <row r="314" spans="1:19" ht="12.75">
      <c r="A314"/>
      <c r="B314"/>
      <c r="C314"/>
      <c r="D314"/>
      <c r="E314"/>
      <c r="F314"/>
      <c r="G314"/>
      <c r="H314"/>
      <c r="I314"/>
      <c r="J314"/>
      <c r="K314"/>
      <c r="L314"/>
      <c r="M314"/>
      <c r="N314"/>
      <c r="O314"/>
      <c r="P314"/>
      <c r="Q314"/>
      <c r="R314"/>
      <c r="S314"/>
    </row>
    <row r="315" spans="1:19" ht="12.75">
      <c r="A315"/>
      <c r="B315"/>
      <c r="C315"/>
      <c r="D315"/>
      <c r="E315"/>
      <c r="F315"/>
      <c r="G315"/>
      <c r="H315"/>
      <c r="I315"/>
      <c r="J315"/>
      <c r="K315"/>
      <c r="L315"/>
      <c r="M315"/>
      <c r="N315"/>
      <c r="O315"/>
      <c r="P315"/>
      <c r="Q315"/>
      <c r="R315"/>
      <c r="S315"/>
    </row>
    <row r="316" spans="1:19" ht="12.75">
      <c r="A316"/>
      <c r="B316"/>
      <c r="C316"/>
      <c r="D316"/>
      <c r="E316"/>
      <c r="F316"/>
      <c r="G316"/>
      <c r="H316"/>
      <c r="I316"/>
      <c r="J316"/>
      <c r="K316"/>
      <c r="L316"/>
      <c r="M316"/>
      <c r="N316"/>
      <c r="O316"/>
      <c r="P316"/>
      <c r="Q316"/>
      <c r="R316"/>
      <c r="S316"/>
    </row>
    <row r="317" spans="1:19" ht="12.75">
      <c r="A317"/>
      <c r="B317"/>
      <c r="C317"/>
      <c r="D317"/>
      <c r="E317"/>
      <c r="F317"/>
      <c r="G317"/>
      <c r="H317"/>
      <c r="I317"/>
      <c r="J317"/>
      <c r="K317"/>
      <c r="L317"/>
      <c r="M317"/>
      <c r="N317"/>
      <c r="O317"/>
      <c r="P317"/>
      <c r="Q317"/>
      <c r="R317"/>
      <c r="S317"/>
    </row>
    <row r="318" spans="1:19" ht="12.75">
      <c r="A318"/>
      <c r="B318"/>
      <c r="C318"/>
      <c r="D318"/>
      <c r="E318"/>
      <c r="F318"/>
      <c r="G318"/>
      <c r="H318"/>
      <c r="I318"/>
      <c r="J318"/>
      <c r="K318"/>
      <c r="L318"/>
      <c r="M318"/>
      <c r="N318"/>
      <c r="O318"/>
      <c r="P318"/>
      <c r="Q318"/>
      <c r="R318"/>
      <c r="S318"/>
    </row>
    <row r="319" spans="1:19" ht="12.75">
      <c r="A319"/>
      <c r="B319"/>
      <c r="C319"/>
      <c r="D319"/>
      <c r="E319"/>
      <c r="F319"/>
      <c r="G319"/>
      <c r="H319"/>
      <c r="I319"/>
      <c r="J319"/>
      <c r="K319"/>
      <c r="L319"/>
      <c r="M319"/>
      <c r="N319"/>
      <c r="O319"/>
      <c r="P319"/>
      <c r="Q319"/>
      <c r="R319"/>
      <c r="S319"/>
    </row>
    <row r="320" spans="1:19" ht="12.75">
      <c r="A320"/>
      <c r="B320"/>
      <c r="C320"/>
      <c r="D320"/>
      <c r="E320"/>
      <c r="F320"/>
      <c r="G320"/>
      <c r="H320"/>
      <c r="I320"/>
      <c r="J320"/>
      <c r="K320"/>
      <c r="L320"/>
      <c r="M320"/>
      <c r="N320"/>
      <c r="O320"/>
      <c r="P320"/>
      <c r="Q320"/>
      <c r="R320"/>
      <c r="S320"/>
    </row>
    <row r="321" spans="1:19" ht="12.75">
      <c r="A321"/>
      <c r="B321"/>
      <c r="C321"/>
      <c r="D321"/>
      <c r="E321"/>
      <c r="F321"/>
      <c r="G321"/>
      <c r="H321"/>
      <c r="I321"/>
      <c r="J321"/>
      <c r="K321"/>
      <c r="L321"/>
      <c r="M321"/>
      <c r="N321"/>
      <c r="O321"/>
      <c r="P321"/>
      <c r="Q321"/>
      <c r="R321"/>
      <c r="S321"/>
    </row>
    <row r="322" spans="1:19" ht="12.75">
      <c r="A322"/>
      <c r="B322"/>
      <c r="C322"/>
      <c r="D322"/>
      <c r="E322"/>
      <c r="F322"/>
      <c r="G322"/>
      <c r="H322"/>
      <c r="I322"/>
      <c r="J322"/>
      <c r="K322"/>
      <c r="L322"/>
      <c r="M322"/>
      <c r="N322"/>
      <c r="O322"/>
      <c r="P322"/>
      <c r="Q322"/>
      <c r="R322"/>
      <c r="S322"/>
    </row>
    <row r="323" spans="1:19" ht="12.75">
      <c r="A323"/>
      <c r="B323"/>
      <c r="C323"/>
      <c r="D323"/>
      <c r="E323"/>
      <c r="F323"/>
      <c r="G323"/>
      <c r="H323"/>
      <c r="I323"/>
      <c r="J323"/>
      <c r="K323"/>
      <c r="L323"/>
      <c r="M323"/>
      <c r="N323"/>
      <c r="O323"/>
      <c r="P323"/>
      <c r="Q323"/>
      <c r="R323"/>
      <c r="S323"/>
    </row>
    <row r="324" spans="1:19" ht="12.75">
      <c r="A324"/>
      <c r="B324"/>
      <c r="C324"/>
      <c r="D324"/>
      <c r="E324"/>
      <c r="F324"/>
      <c r="G324"/>
      <c r="H324"/>
      <c r="I324"/>
      <c r="J324"/>
      <c r="K324"/>
      <c r="L324"/>
      <c r="M324"/>
      <c r="N324"/>
      <c r="O324"/>
      <c r="P324"/>
      <c r="Q324"/>
      <c r="R324"/>
      <c r="S324"/>
    </row>
    <row r="325" spans="1:19" ht="12.75">
      <c r="A325"/>
      <c r="B325"/>
      <c r="C325"/>
      <c r="D325"/>
      <c r="E325"/>
      <c r="F325"/>
      <c r="G325"/>
      <c r="H325"/>
      <c r="I325"/>
      <c r="J325"/>
      <c r="K325"/>
      <c r="L325"/>
      <c r="M325"/>
      <c r="N325"/>
      <c r="O325"/>
      <c r="P325"/>
      <c r="Q325"/>
      <c r="R325"/>
      <c r="S325"/>
    </row>
    <row r="326" spans="1:19" ht="12.75">
      <c r="A326"/>
      <c r="B326"/>
      <c r="C326"/>
      <c r="D326"/>
      <c r="E326"/>
      <c r="F326"/>
      <c r="G326"/>
      <c r="H326"/>
      <c r="I326"/>
      <c r="J326"/>
      <c r="K326"/>
      <c r="L326"/>
      <c r="M326"/>
      <c r="N326"/>
      <c r="O326"/>
      <c r="P326"/>
      <c r="Q326"/>
      <c r="R326"/>
      <c r="S326"/>
    </row>
    <row r="327" spans="1:19" ht="12.75">
      <c r="A327"/>
      <c r="B327"/>
      <c r="C327"/>
      <c r="D327"/>
      <c r="E327"/>
      <c r="F327"/>
      <c r="G327"/>
      <c r="H327"/>
      <c r="I327"/>
      <c r="J327"/>
      <c r="K327"/>
      <c r="L327"/>
      <c r="M327"/>
      <c r="N327"/>
      <c r="O327"/>
      <c r="P327"/>
      <c r="Q327"/>
      <c r="R327"/>
      <c r="S327"/>
    </row>
    <row r="328" spans="1:19" ht="12.75">
      <c r="A328"/>
      <c r="B328"/>
      <c r="C328"/>
      <c r="D328"/>
      <c r="E328"/>
      <c r="F328"/>
      <c r="G328"/>
      <c r="H328"/>
      <c r="I328"/>
      <c r="J328"/>
      <c r="K328"/>
      <c r="L328"/>
      <c r="M328"/>
      <c r="N328"/>
      <c r="O328"/>
      <c r="P328"/>
      <c r="Q328"/>
      <c r="R328"/>
      <c r="S328"/>
    </row>
    <row r="329" spans="1:21" s="607" customFormat="1" ht="12.75">
      <c r="A329"/>
      <c r="B329"/>
      <c r="C329"/>
      <c r="D329"/>
      <c r="E329"/>
      <c r="F329"/>
      <c r="G329"/>
      <c r="H329"/>
      <c r="I329"/>
      <c r="J329"/>
      <c r="K329"/>
      <c r="L329"/>
      <c r="M329"/>
      <c r="N329"/>
      <c r="O329"/>
      <c r="P329"/>
      <c r="Q329"/>
      <c r="R329"/>
      <c r="S329"/>
      <c r="T329" s="580"/>
      <c r="U329" s="580"/>
    </row>
    <row r="330" spans="1:21" s="583" customFormat="1" ht="12.75">
      <c r="A330"/>
      <c r="B330"/>
      <c r="C330"/>
      <c r="D330"/>
      <c r="E330"/>
      <c r="F330"/>
      <c r="G330"/>
      <c r="H330"/>
      <c r="I330"/>
      <c r="J330"/>
      <c r="K330"/>
      <c r="L330"/>
      <c r="M330"/>
      <c r="N330"/>
      <c r="O330"/>
      <c r="P330"/>
      <c r="Q330"/>
      <c r="R330"/>
      <c r="S330"/>
      <c r="T330" s="580"/>
      <c r="U330" s="580"/>
    </row>
    <row r="331" spans="1:19" ht="12.75">
      <c r="A331"/>
      <c r="B331"/>
      <c r="C331"/>
      <c r="D331"/>
      <c r="E331"/>
      <c r="F331"/>
      <c r="G331"/>
      <c r="H331"/>
      <c r="I331"/>
      <c r="J331"/>
      <c r="K331"/>
      <c r="L331"/>
      <c r="M331"/>
      <c r="N331"/>
      <c r="O331"/>
      <c r="P331"/>
      <c r="Q331"/>
      <c r="R331"/>
      <c r="S331"/>
    </row>
    <row r="332" spans="1:19" ht="12.75">
      <c r="A332"/>
      <c r="B332"/>
      <c r="C332"/>
      <c r="D332"/>
      <c r="E332"/>
      <c r="F332"/>
      <c r="G332"/>
      <c r="H332"/>
      <c r="I332"/>
      <c r="J332"/>
      <c r="K332"/>
      <c r="L332"/>
      <c r="M332"/>
      <c r="N332"/>
      <c r="O332"/>
      <c r="P332"/>
      <c r="Q332"/>
      <c r="R332"/>
      <c r="S332"/>
    </row>
    <row r="333" spans="1:19" ht="12.75">
      <c r="A333"/>
      <c r="B333"/>
      <c r="C333"/>
      <c r="D333"/>
      <c r="E333"/>
      <c r="F333"/>
      <c r="G333"/>
      <c r="H333"/>
      <c r="I333"/>
      <c r="J333"/>
      <c r="K333"/>
      <c r="L333"/>
      <c r="M333"/>
      <c r="N333"/>
      <c r="O333"/>
      <c r="P333"/>
      <c r="Q333"/>
      <c r="R333"/>
      <c r="S333"/>
    </row>
    <row r="334" spans="1:19" ht="12.75">
      <c r="A334"/>
      <c r="B334"/>
      <c r="C334"/>
      <c r="D334"/>
      <c r="E334"/>
      <c r="F334"/>
      <c r="G334"/>
      <c r="H334"/>
      <c r="I334"/>
      <c r="J334"/>
      <c r="K334"/>
      <c r="L334"/>
      <c r="M334"/>
      <c r="N334"/>
      <c r="O334"/>
      <c r="P334"/>
      <c r="Q334"/>
      <c r="R334"/>
      <c r="S334"/>
    </row>
    <row r="335" spans="1:19" ht="12.75">
      <c r="A335"/>
      <c r="B335"/>
      <c r="C335"/>
      <c r="D335"/>
      <c r="E335"/>
      <c r="F335"/>
      <c r="G335"/>
      <c r="H335"/>
      <c r="I335"/>
      <c r="J335"/>
      <c r="K335"/>
      <c r="L335"/>
      <c r="M335"/>
      <c r="N335"/>
      <c r="O335"/>
      <c r="P335"/>
      <c r="Q335"/>
      <c r="R335"/>
      <c r="S335"/>
    </row>
    <row r="336" spans="1:19" ht="12.75">
      <c r="A336"/>
      <c r="B336"/>
      <c r="C336"/>
      <c r="D336"/>
      <c r="E336"/>
      <c r="F336"/>
      <c r="G336"/>
      <c r="H336"/>
      <c r="I336"/>
      <c r="J336"/>
      <c r="K336"/>
      <c r="L336"/>
      <c r="M336"/>
      <c r="N336"/>
      <c r="O336"/>
      <c r="P336"/>
      <c r="Q336"/>
      <c r="R336"/>
      <c r="S336"/>
    </row>
    <row r="337" spans="1:19" ht="12.75">
      <c r="A337"/>
      <c r="B337"/>
      <c r="C337"/>
      <c r="D337"/>
      <c r="E337"/>
      <c r="F337"/>
      <c r="G337"/>
      <c r="H337"/>
      <c r="I337"/>
      <c r="J337"/>
      <c r="K337"/>
      <c r="L337"/>
      <c r="M337"/>
      <c r="N337"/>
      <c r="O337"/>
      <c r="P337"/>
      <c r="Q337"/>
      <c r="R337"/>
      <c r="S337"/>
    </row>
    <row r="338" spans="1:19" ht="12.75">
      <c r="A338"/>
      <c r="B338"/>
      <c r="C338"/>
      <c r="D338"/>
      <c r="E338"/>
      <c r="F338"/>
      <c r="G338"/>
      <c r="H338"/>
      <c r="I338"/>
      <c r="J338"/>
      <c r="K338"/>
      <c r="L338"/>
      <c r="M338"/>
      <c r="N338"/>
      <c r="O338"/>
      <c r="P338"/>
      <c r="Q338"/>
      <c r="R338"/>
      <c r="S338"/>
    </row>
    <row r="339" spans="1:19" ht="12.75">
      <c r="A339"/>
      <c r="B339"/>
      <c r="C339"/>
      <c r="D339"/>
      <c r="E339"/>
      <c r="F339"/>
      <c r="G339"/>
      <c r="H339"/>
      <c r="I339"/>
      <c r="J339"/>
      <c r="K339"/>
      <c r="L339"/>
      <c r="M339"/>
      <c r="N339"/>
      <c r="O339"/>
      <c r="P339"/>
      <c r="Q339"/>
      <c r="R339"/>
      <c r="S339"/>
    </row>
    <row r="340" spans="1:19" ht="12.75">
      <c r="A340"/>
      <c r="B340"/>
      <c r="C340"/>
      <c r="D340"/>
      <c r="E340"/>
      <c r="F340"/>
      <c r="G340"/>
      <c r="H340"/>
      <c r="I340"/>
      <c r="J340"/>
      <c r="K340"/>
      <c r="L340"/>
      <c r="M340"/>
      <c r="N340"/>
      <c r="O340"/>
      <c r="P340"/>
      <c r="Q340"/>
      <c r="R340"/>
      <c r="S340"/>
    </row>
    <row r="341" spans="1:19" ht="12.75">
      <c r="A341"/>
      <c r="B341"/>
      <c r="C341"/>
      <c r="D341"/>
      <c r="E341"/>
      <c r="F341"/>
      <c r="G341"/>
      <c r="H341"/>
      <c r="I341"/>
      <c r="J341"/>
      <c r="K341"/>
      <c r="L341"/>
      <c r="M341"/>
      <c r="N341"/>
      <c r="O341"/>
      <c r="P341"/>
      <c r="Q341"/>
      <c r="R341"/>
      <c r="S341"/>
    </row>
    <row r="342" spans="1:19" ht="12.75">
      <c r="A342"/>
      <c r="B342"/>
      <c r="C342"/>
      <c r="D342"/>
      <c r="E342"/>
      <c r="F342"/>
      <c r="G342"/>
      <c r="H342"/>
      <c r="I342"/>
      <c r="J342"/>
      <c r="K342"/>
      <c r="L342"/>
      <c r="M342"/>
      <c r="N342"/>
      <c r="O342"/>
      <c r="P342"/>
      <c r="Q342"/>
      <c r="R342"/>
      <c r="S342"/>
    </row>
    <row r="343" spans="1:19" ht="12.75">
      <c r="A343"/>
      <c r="B343"/>
      <c r="C343"/>
      <c r="D343"/>
      <c r="E343"/>
      <c r="F343"/>
      <c r="G343"/>
      <c r="H343"/>
      <c r="I343"/>
      <c r="J343"/>
      <c r="K343"/>
      <c r="L343"/>
      <c r="M343"/>
      <c r="N343"/>
      <c r="O343"/>
      <c r="P343"/>
      <c r="Q343"/>
      <c r="R343"/>
      <c r="S343"/>
    </row>
    <row r="344" spans="1:19" ht="12.75">
      <c r="A344"/>
      <c r="B344"/>
      <c r="C344"/>
      <c r="D344"/>
      <c r="E344"/>
      <c r="F344"/>
      <c r="G344"/>
      <c r="H344"/>
      <c r="I344"/>
      <c r="J344"/>
      <c r="K344"/>
      <c r="L344"/>
      <c r="M344"/>
      <c r="N344"/>
      <c r="O344"/>
      <c r="P344"/>
      <c r="Q344"/>
      <c r="R344"/>
      <c r="S344"/>
    </row>
    <row r="345" spans="1:19" ht="12.75">
      <c r="A345"/>
      <c r="B345"/>
      <c r="C345"/>
      <c r="D345"/>
      <c r="E345"/>
      <c r="F345"/>
      <c r="G345"/>
      <c r="H345"/>
      <c r="I345"/>
      <c r="J345"/>
      <c r="K345"/>
      <c r="L345"/>
      <c r="M345"/>
      <c r="N345"/>
      <c r="O345"/>
      <c r="P345"/>
      <c r="Q345"/>
      <c r="R345"/>
      <c r="S345"/>
    </row>
    <row r="346" spans="1:19" ht="12.75">
      <c r="A346"/>
      <c r="B346"/>
      <c r="C346"/>
      <c r="D346"/>
      <c r="E346"/>
      <c r="F346"/>
      <c r="G346"/>
      <c r="H346"/>
      <c r="I346"/>
      <c r="J346"/>
      <c r="K346"/>
      <c r="L346"/>
      <c r="M346"/>
      <c r="N346"/>
      <c r="O346"/>
      <c r="P346"/>
      <c r="Q346"/>
      <c r="R346"/>
      <c r="S346"/>
    </row>
    <row r="347" spans="1:19" ht="12.75">
      <c r="A347"/>
      <c r="B347"/>
      <c r="C347"/>
      <c r="D347"/>
      <c r="E347"/>
      <c r="F347"/>
      <c r="G347"/>
      <c r="H347"/>
      <c r="I347"/>
      <c r="J347"/>
      <c r="K347"/>
      <c r="L347"/>
      <c r="M347"/>
      <c r="N347"/>
      <c r="O347"/>
      <c r="P347"/>
      <c r="Q347"/>
      <c r="R347"/>
      <c r="S347"/>
    </row>
    <row r="348" spans="1:19" ht="12.75">
      <c r="A348"/>
      <c r="B348"/>
      <c r="C348"/>
      <c r="D348"/>
      <c r="E348"/>
      <c r="F348"/>
      <c r="G348"/>
      <c r="H348"/>
      <c r="I348"/>
      <c r="J348"/>
      <c r="K348"/>
      <c r="L348"/>
      <c r="M348"/>
      <c r="N348"/>
      <c r="O348"/>
      <c r="P348"/>
      <c r="Q348"/>
      <c r="R348"/>
      <c r="S348"/>
    </row>
    <row r="349" spans="1:19" ht="12.75">
      <c r="A349"/>
      <c r="B349"/>
      <c r="C349"/>
      <c r="D349"/>
      <c r="E349"/>
      <c r="F349"/>
      <c r="G349"/>
      <c r="H349"/>
      <c r="I349"/>
      <c r="J349"/>
      <c r="K349"/>
      <c r="L349"/>
      <c r="M349"/>
      <c r="N349"/>
      <c r="O349"/>
      <c r="P349"/>
      <c r="Q349"/>
      <c r="R349"/>
      <c r="S349"/>
    </row>
    <row r="350" spans="1:19" ht="12.75">
      <c r="A350"/>
      <c r="B350"/>
      <c r="C350"/>
      <c r="D350"/>
      <c r="E350"/>
      <c r="F350"/>
      <c r="G350"/>
      <c r="H350"/>
      <c r="I350"/>
      <c r="J350"/>
      <c r="K350"/>
      <c r="L350"/>
      <c r="M350"/>
      <c r="N350"/>
      <c r="O350"/>
      <c r="P350"/>
      <c r="Q350"/>
      <c r="R350"/>
      <c r="S350"/>
    </row>
    <row r="351" spans="1:19" ht="12.75">
      <c r="A351"/>
      <c r="B351"/>
      <c r="C351"/>
      <c r="D351"/>
      <c r="E351"/>
      <c r="F351"/>
      <c r="G351"/>
      <c r="H351"/>
      <c r="I351"/>
      <c r="J351"/>
      <c r="K351"/>
      <c r="L351"/>
      <c r="M351"/>
      <c r="N351"/>
      <c r="O351"/>
      <c r="P351"/>
      <c r="Q351"/>
      <c r="R351"/>
      <c r="S351"/>
    </row>
    <row r="352" spans="1:19" ht="12.75">
      <c r="A352"/>
      <c r="B352"/>
      <c r="C352"/>
      <c r="D352"/>
      <c r="E352"/>
      <c r="F352"/>
      <c r="G352"/>
      <c r="H352"/>
      <c r="I352"/>
      <c r="J352"/>
      <c r="K352"/>
      <c r="L352"/>
      <c r="M352"/>
      <c r="N352"/>
      <c r="O352"/>
      <c r="P352"/>
      <c r="Q352"/>
      <c r="R352"/>
      <c r="S352"/>
    </row>
    <row r="353" spans="1:19" ht="12.75">
      <c r="A353"/>
      <c r="B353"/>
      <c r="C353"/>
      <c r="D353"/>
      <c r="E353"/>
      <c r="F353"/>
      <c r="G353"/>
      <c r="H353"/>
      <c r="I353"/>
      <c r="J353"/>
      <c r="K353"/>
      <c r="L353"/>
      <c r="M353"/>
      <c r="N353"/>
      <c r="O353"/>
      <c r="P353"/>
      <c r="Q353"/>
      <c r="R353"/>
      <c r="S353"/>
    </row>
    <row r="354" spans="1:19" ht="12.75">
      <c r="A354"/>
      <c r="B354"/>
      <c r="C354"/>
      <c r="D354"/>
      <c r="E354"/>
      <c r="F354"/>
      <c r="G354"/>
      <c r="H354"/>
      <c r="I354"/>
      <c r="J354"/>
      <c r="K354"/>
      <c r="L354"/>
      <c r="M354"/>
      <c r="N354"/>
      <c r="O354"/>
      <c r="P354"/>
      <c r="Q354"/>
      <c r="R354"/>
      <c r="S354"/>
    </row>
    <row r="355" spans="1:19" ht="12.75">
      <c r="A355"/>
      <c r="B355"/>
      <c r="C355"/>
      <c r="D355"/>
      <c r="E355"/>
      <c r="F355"/>
      <c r="G355"/>
      <c r="H355"/>
      <c r="I355"/>
      <c r="J355"/>
      <c r="K355"/>
      <c r="L355"/>
      <c r="M355"/>
      <c r="N355"/>
      <c r="O355"/>
      <c r="P355"/>
      <c r="Q355"/>
      <c r="R355"/>
      <c r="S355"/>
    </row>
    <row r="356" spans="1:19" ht="12.75">
      <c r="A356"/>
      <c r="B356"/>
      <c r="C356"/>
      <c r="D356"/>
      <c r="E356"/>
      <c r="F356"/>
      <c r="G356"/>
      <c r="H356"/>
      <c r="I356"/>
      <c r="J356"/>
      <c r="K356"/>
      <c r="L356"/>
      <c r="M356"/>
      <c r="N356"/>
      <c r="O356"/>
      <c r="P356"/>
      <c r="Q356"/>
      <c r="R356"/>
      <c r="S356"/>
    </row>
    <row r="357" spans="1:19" ht="12.75">
      <c r="A357"/>
      <c r="B357"/>
      <c r="C357"/>
      <c r="D357"/>
      <c r="E357"/>
      <c r="F357"/>
      <c r="G357"/>
      <c r="H357"/>
      <c r="I357"/>
      <c r="J357"/>
      <c r="K357"/>
      <c r="L357"/>
      <c r="M357"/>
      <c r="N357"/>
      <c r="O357"/>
      <c r="P357"/>
      <c r="Q357"/>
      <c r="R357"/>
      <c r="S357"/>
    </row>
    <row r="358" spans="1:19" ht="12.75">
      <c r="A358"/>
      <c r="B358"/>
      <c r="C358"/>
      <c r="D358"/>
      <c r="E358"/>
      <c r="F358"/>
      <c r="G358"/>
      <c r="H358"/>
      <c r="I358"/>
      <c r="J358"/>
      <c r="K358"/>
      <c r="L358"/>
      <c r="M358"/>
      <c r="N358"/>
      <c r="O358"/>
      <c r="P358"/>
      <c r="Q358"/>
      <c r="R358"/>
      <c r="S358"/>
    </row>
    <row r="359" spans="1:19" ht="12.75">
      <c r="A359"/>
      <c r="B359"/>
      <c r="C359"/>
      <c r="D359"/>
      <c r="E359"/>
      <c r="F359"/>
      <c r="G359"/>
      <c r="H359"/>
      <c r="I359"/>
      <c r="J359"/>
      <c r="K359"/>
      <c r="L359"/>
      <c r="M359"/>
      <c r="N359"/>
      <c r="O359"/>
      <c r="P359"/>
      <c r="Q359"/>
      <c r="R359"/>
      <c r="S359"/>
    </row>
    <row r="360" spans="1:19" ht="12.75">
      <c r="A360"/>
      <c r="B360"/>
      <c r="C360"/>
      <c r="D360"/>
      <c r="E360"/>
      <c r="F360"/>
      <c r="G360"/>
      <c r="H360"/>
      <c r="I360"/>
      <c r="J360"/>
      <c r="K360"/>
      <c r="L360"/>
      <c r="M360"/>
      <c r="N360"/>
      <c r="O360"/>
      <c r="P360"/>
      <c r="Q360"/>
      <c r="R360"/>
      <c r="S360"/>
    </row>
    <row r="361" spans="1:19" ht="12.75">
      <c r="A361"/>
      <c r="B361"/>
      <c r="C361"/>
      <c r="D361"/>
      <c r="E361"/>
      <c r="F361"/>
      <c r="G361"/>
      <c r="H361"/>
      <c r="I361"/>
      <c r="J361"/>
      <c r="K361"/>
      <c r="L361"/>
      <c r="M361"/>
      <c r="N361"/>
      <c r="O361"/>
      <c r="P361"/>
      <c r="Q361"/>
      <c r="R361"/>
      <c r="S361"/>
    </row>
    <row r="362" spans="1:19" ht="12.75">
      <c r="A362"/>
      <c r="B362"/>
      <c r="C362"/>
      <c r="D362"/>
      <c r="E362"/>
      <c r="F362"/>
      <c r="G362"/>
      <c r="H362"/>
      <c r="I362"/>
      <c r="J362"/>
      <c r="K362"/>
      <c r="L362"/>
      <c r="M362"/>
      <c r="N362"/>
      <c r="O362"/>
      <c r="P362"/>
      <c r="Q362"/>
      <c r="R362"/>
      <c r="S362"/>
    </row>
    <row r="363" spans="1:19" ht="12.75">
      <c r="A363"/>
      <c r="B363"/>
      <c r="C363"/>
      <c r="D363"/>
      <c r="E363"/>
      <c r="F363"/>
      <c r="G363"/>
      <c r="H363"/>
      <c r="I363"/>
      <c r="J363"/>
      <c r="K363"/>
      <c r="L363"/>
      <c r="M363"/>
      <c r="N363"/>
      <c r="O363"/>
      <c r="P363"/>
      <c r="Q363"/>
      <c r="R363"/>
      <c r="S363"/>
    </row>
    <row r="364" spans="1:19" ht="12.75">
      <c r="A364"/>
      <c r="B364"/>
      <c r="C364"/>
      <c r="D364"/>
      <c r="E364"/>
      <c r="F364"/>
      <c r="G364"/>
      <c r="H364"/>
      <c r="I364"/>
      <c r="J364"/>
      <c r="K364"/>
      <c r="L364"/>
      <c r="M364"/>
      <c r="N364"/>
      <c r="O364"/>
      <c r="P364"/>
      <c r="Q364"/>
      <c r="R364"/>
      <c r="S364"/>
    </row>
    <row r="365" spans="1:21" s="607" customFormat="1" ht="12.75">
      <c r="A365"/>
      <c r="B365"/>
      <c r="C365"/>
      <c r="D365"/>
      <c r="E365"/>
      <c r="F365"/>
      <c r="G365"/>
      <c r="H365"/>
      <c r="I365"/>
      <c r="J365"/>
      <c r="K365"/>
      <c r="L365"/>
      <c r="M365"/>
      <c r="N365"/>
      <c r="O365"/>
      <c r="P365"/>
      <c r="Q365"/>
      <c r="R365"/>
      <c r="S365"/>
      <c r="T365" s="580"/>
      <c r="U365" s="580"/>
    </row>
    <row r="366" spans="1:21" s="583" customFormat="1" ht="12.75">
      <c r="A366"/>
      <c r="B366"/>
      <c r="C366"/>
      <c r="D366"/>
      <c r="E366"/>
      <c r="F366"/>
      <c r="G366"/>
      <c r="H366"/>
      <c r="I366"/>
      <c r="J366"/>
      <c r="K366"/>
      <c r="L366"/>
      <c r="M366"/>
      <c r="N366"/>
      <c r="O366"/>
      <c r="P366"/>
      <c r="Q366"/>
      <c r="R366"/>
      <c r="S366"/>
      <c r="T366" s="580"/>
      <c r="U366" s="580"/>
    </row>
    <row r="367" spans="1:19" ht="12.75">
      <c r="A367"/>
      <c r="B367"/>
      <c r="C367"/>
      <c r="D367"/>
      <c r="E367"/>
      <c r="F367"/>
      <c r="G367"/>
      <c r="H367"/>
      <c r="I367"/>
      <c r="J367"/>
      <c r="K367"/>
      <c r="L367"/>
      <c r="M367"/>
      <c r="N367"/>
      <c r="O367"/>
      <c r="P367"/>
      <c r="Q367"/>
      <c r="R367"/>
      <c r="S367"/>
    </row>
    <row r="368" spans="1:19" ht="12.75">
      <c r="A368"/>
      <c r="B368"/>
      <c r="C368"/>
      <c r="D368"/>
      <c r="E368"/>
      <c r="F368"/>
      <c r="G368"/>
      <c r="H368"/>
      <c r="I368"/>
      <c r="J368"/>
      <c r="K368"/>
      <c r="L368"/>
      <c r="M368"/>
      <c r="N368"/>
      <c r="O368"/>
      <c r="P368"/>
      <c r="Q368"/>
      <c r="R368"/>
      <c r="S368"/>
    </row>
    <row r="369" spans="1:19" ht="12.75">
      <c r="A369"/>
      <c r="B369"/>
      <c r="C369"/>
      <c r="D369"/>
      <c r="E369"/>
      <c r="F369"/>
      <c r="G369"/>
      <c r="H369"/>
      <c r="I369"/>
      <c r="J369"/>
      <c r="K369"/>
      <c r="L369"/>
      <c r="M369"/>
      <c r="N369"/>
      <c r="O369"/>
      <c r="P369"/>
      <c r="Q369"/>
      <c r="R369"/>
      <c r="S369"/>
    </row>
    <row r="370" spans="1:19" ht="12.75">
      <c r="A370"/>
      <c r="B370"/>
      <c r="C370"/>
      <c r="D370"/>
      <c r="E370"/>
      <c r="F370"/>
      <c r="G370"/>
      <c r="H370"/>
      <c r="I370"/>
      <c r="J370"/>
      <c r="K370"/>
      <c r="L370"/>
      <c r="M370"/>
      <c r="N370"/>
      <c r="O370"/>
      <c r="P370"/>
      <c r="Q370"/>
      <c r="R370"/>
      <c r="S370"/>
    </row>
    <row r="371" spans="1:19" ht="12.75">
      <c r="A371"/>
      <c r="B371"/>
      <c r="C371"/>
      <c r="D371"/>
      <c r="E371"/>
      <c r="F371"/>
      <c r="G371"/>
      <c r="H371"/>
      <c r="I371"/>
      <c r="J371"/>
      <c r="K371"/>
      <c r="L371"/>
      <c r="M371"/>
      <c r="N371"/>
      <c r="O371"/>
      <c r="P371"/>
      <c r="Q371"/>
      <c r="R371"/>
      <c r="S371"/>
    </row>
    <row r="372" spans="1:19" ht="12.75">
      <c r="A372"/>
      <c r="B372"/>
      <c r="C372"/>
      <c r="D372"/>
      <c r="E372"/>
      <c r="F372"/>
      <c r="G372"/>
      <c r="H372"/>
      <c r="I372"/>
      <c r="J372"/>
      <c r="K372"/>
      <c r="L372"/>
      <c r="M372"/>
      <c r="N372"/>
      <c r="O372"/>
      <c r="P372"/>
      <c r="Q372"/>
      <c r="R372"/>
      <c r="S372"/>
    </row>
    <row r="373" spans="1:19" ht="12.75">
      <c r="A373"/>
      <c r="B373"/>
      <c r="C373"/>
      <c r="D373"/>
      <c r="E373"/>
      <c r="F373"/>
      <c r="G373"/>
      <c r="H373"/>
      <c r="I373"/>
      <c r="J373"/>
      <c r="K373"/>
      <c r="L373"/>
      <c r="M373"/>
      <c r="N373"/>
      <c r="O373"/>
      <c r="P373"/>
      <c r="Q373"/>
      <c r="R373"/>
      <c r="S373"/>
    </row>
    <row r="374" spans="1:19" ht="12.75">
      <c r="A374"/>
      <c r="B374"/>
      <c r="C374"/>
      <c r="D374"/>
      <c r="E374"/>
      <c r="F374"/>
      <c r="G374"/>
      <c r="H374"/>
      <c r="I374"/>
      <c r="J374"/>
      <c r="K374"/>
      <c r="L374"/>
      <c r="M374"/>
      <c r="N374"/>
      <c r="O374"/>
      <c r="P374"/>
      <c r="Q374"/>
      <c r="R374"/>
      <c r="S374"/>
    </row>
    <row r="375" spans="1:19" ht="12.75">
      <c r="A375"/>
      <c r="B375"/>
      <c r="C375"/>
      <c r="D375"/>
      <c r="E375"/>
      <c r="F375"/>
      <c r="G375"/>
      <c r="H375"/>
      <c r="I375"/>
      <c r="J375"/>
      <c r="K375"/>
      <c r="L375"/>
      <c r="M375"/>
      <c r="N375"/>
      <c r="O375"/>
      <c r="P375"/>
      <c r="Q375"/>
      <c r="R375"/>
      <c r="S375"/>
    </row>
    <row r="376" spans="1:19" ht="12.75">
      <c r="A376"/>
      <c r="B376"/>
      <c r="C376"/>
      <c r="D376"/>
      <c r="E376"/>
      <c r="F376"/>
      <c r="G376"/>
      <c r="H376"/>
      <c r="I376"/>
      <c r="J376"/>
      <c r="K376"/>
      <c r="L376"/>
      <c r="M376"/>
      <c r="N376"/>
      <c r="O376"/>
      <c r="P376"/>
      <c r="Q376"/>
      <c r="R376"/>
      <c r="S376"/>
    </row>
    <row r="377" spans="1:19" ht="12.75">
      <c r="A377"/>
      <c r="B377"/>
      <c r="C377"/>
      <c r="D377"/>
      <c r="E377"/>
      <c r="F377"/>
      <c r="G377"/>
      <c r="H377"/>
      <c r="I377"/>
      <c r="J377"/>
      <c r="K377"/>
      <c r="L377"/>
      <c r="M377"/>
      <c r="N377"/>
      <c r="O377"/>
      <c r="P377"/>
      <c r="Q377"/>
      <c r="R377"/>
      <c r="S377"/>
    </row>
    <row r="378" spans="1:19" ht="12.75">
      <c r="A378"/>
      <c r="B378"/>
      <c r="C378"/>
      <c r="D378"/>
      <c r="E378"/>
      <c r="F378"/>
      <c r="G378"/>
      <c r="H378"/>
      <c r="I378"/>
      <c r="J378"/>
      <c r="K378"/>
      <c r="L378"/>
      <c r="M378"/>
      <c r="N378"/>
      <c r="O378"/>
      <c r="P378"/>
      <c r="Q378"/>
      <c r="R378"/>
      <c r="S378"/>
    </row>
    <row r="379" spans="1:19" ht="12.75">
      <c r="A379"/>
      <c r="B379"/>
      <c r="C379"/>
      <c r="D379"/>
      <c r="E379"/>
      <c r="F379"/>
      <c r="G379"/>
      <c r="H379"/>
      <c r="I379"/>
      <c r="J379"/>
      <c r="K379"/>
      <c r="L379"/>
      <c r="M379"/>
      <c r="N379"/>
      <c r="O379"/>
      <c r="P379"/>
      <c r="Q379"/>
      <c r="R379"/>
      <c r="S379"/>
    </row>
    <row r="380" spans="1:19" ht="12.75">
      <c r="A380"/>
      <c r="B380"/>
      <c r="C380"/>
      <c r="D380"/>
      <c r="E380"/>
      <c r="F380"/>
      <c r="G380"/>
      <c r="H380"/>
      <c r="I380"/>
      <c r="J380"/>
      <c r="K380"/>
      <c r="L380"/>
      <c r="M380"/>
      <c r="N380"/>
      <c r="O380"/>
      <c r="P380"/>
      <c r="Q380"/>
      <c r="R380"/>
      <c r="S380"/>
    </row>
    <row r="381" spans="1:19" ht="12.75">
      <c r="A381"/>
      <c r="B381"/>
      <c r="C381"/>
      <c r="D381"/>
      <c r="E381"/>
      <c r="F381"/>
      <c r="G381"/>
      <c r="H381"/>
      <c r="I381"/>
      <c r="J381"/>
      <c r="K381"/>
      <c r="L381"/>
      <c r="M381"/>
      <c r="N381"/>
      <c r="O381"/>
      <c r="P381"/>
      <c r="Q381"/>
      <c r="R381"/>
      <c r="S381"/>
    </row>
    <row r="382" spans="1:19" ht="12.75">
      <c r="A382"/>
      <c r="B382"/>
      <c r="C382"/>
      <c r="D382"/>
      <c r="E382"/>
      <c r="F382"/>
      <c r="G382"/>
      <c r="H382"/>
      <c r="I382"/>
      <c r="J382"/>
      <c r="K382"/>
      <c r="L382"/>
      <c r="M382"/>
      <c r="N382"/>
      <c r="O382"/>
      <c r="P382"/>
      <c r="Q382"/>
      <c r="R382"/>
      <c r="S382"/>
    </row>
    <row r="383" spans="1:19" ht="12.75">
      <c r="A383"/>
      <c r="B383"/>
      <c r="C383"/>
      <c r="D383"/>
      <c r="E383"/>
      <c r="F383"/>
      <c r="G383"/>
      <c r="H383"/>
      <c r="I383"/>
      <c r="J383"/>
      <c r="K383"/>
      <c r="L383"/>
      <c r="M383"/>
      <c r="N383"/>
      <c r="O383"/>
      <c r="P383"/>
      <c r="Q383"/>
      <c r="R383"/>
      <c r="S383"/>
    </row>
    <row r="384" spans="1:19" ht="12.75">
      <c r="A384"/>
      <c r="B384"/>
      <c r="C384"/>
      <c r="D384"/>
      <c r="E384"/>
      <c r="F384"/>
      <c r="G384"/>
      <c r="H384"/>
      <c r="I384"/>
      <c r="J384"/>
      <c r="K384"/>
      <c r="L384"/>
      <c r="M384"/>
      <c r="N384"/>
      <c r="O384"/>
      <c r="P384"/>
      <c r="Q384"/>
      <c r="R384"/>
      <c r="S384"/>
    </row>
    <row r="385" spans="1:19" ht="12.75">
      <c r="A385"/>
      <c r="B385"/>
      <c r="C385"/>
      <c r="D385"/>
      <c r="E385"/>
      <c r="F385"/>
      <c r="G385"/>
      <c r="H385"/>
      <c r="I385"/>
      <c r="J385"/>
      <c r="K385"/>
      <c r="L385"/>
      <c r="M385"/>
      <c r="N385"/>
      <c r="O385"/>
      <c r="P385"/>
      <c r="Q385"/>
      <c r="R385"/>
      <c r="S385"/>
    </row>
    <row r="386" spans="1:19" ht="12.75">
      <c r="A386"/>
      <c r="B386"/>
      <c r="C386"/>
      <c r="D386"/>
      <c r="E386"/>
      <c r="F386"/>
      <c r="G386"/>
      <c r="H386"/>
      <c r="I386"/>
      <c r="J386"/>
      <c r="K386"/>
      <c r="L386"/>
      <c r="M386"/>
      <c r="N386"/>
      <c r="O386"/>
      <c r="P386"/>
      <c r="Q386"/>
      <c r="R386"/>
      <c r="S386"/>
    </row>
    <row r="387" spans="1:19" ht="12.75">
      <c r="A387"/>
      <c r="B387"/>
      <c r="C387"/>
      <c r="D387"/>
      <c r="E387"/>
      <c r="F387"/>
      <c r="G387"/>
      <c r="H387"/>
      <c r="I387"/>
      <c r="J387"/>
      <c r="K387"/>
      <c r="L387"/>
      <c r="M387"/>
      <c r="N387"/>
      <c r="O387"/>
      <c r="P387"/>
      <c r="Q387"/>
      <c r="R387"/>
      <c r="S387"/>
    </row>
    <row r="388" spans="1:19" ht="12.75">
      <c r="A388"/>
      <c r="B388"/>
      <c r="C388"/>
      <c r="D388"/>
      <c r="E388"/>
      <c r="F388"/>
      <c r="G388"/>
      <c r="H388"/>
      <c r="I388"/>
      <c r="J388"/>
      <c r="K388"/>
      <c r="L388"/>
      <c r="M388"/>
      <c r="N388"/>
      <c r="O388"/>
      <c r="P388"/>
      <c r="Q388"/>
      <c r="R388"/>
      <c r="S388"/>
    </row>
    <row r="389" spans="1:19" ht="12.75">
      <c r="A389"/>
      <c r="B389"/>
      <c r="C389"/>
      <c r="D389"/>
      <c r="E389"/>
      <c r="F389"/>
      <c r="G389"/>
      <c r="H389"/>
      <c r="I389"/>
      <c r="J389"/>
      <c r="K389"/>
      <c r="L389"/>
      <c r="M389"/>
      <c r="N389"/>
      <c r="O389"/>
      <c r="P389"/>
      <c r="Q389"/>
      <c r="R389"/>
      <c r="S389"/>
    </row>
    <row r="390" spans="1:19" ht="12.75">
      <c r="A390"/>
      <c r="B390"/>
      <c r="C390"/>
      <c r="D390"/>
      <c r="E390"/>
      <c r="F390"/>
      <c r="G390"/>
      <c r="H390"/>
      <c r="I390"/>
      <c r="J390"/>
      <c r="K390"/>
      <c r="L390"/>
      <c r="M390"/>
      <c r="N390"/>
      <c r="O390"/>
      <c r="P390"/>
      <c r="Q390"/>
      <c r="R390"/>
      <c r="S390"/>
    </row>
    <row r="391" spans="1:19" ht="12.75">
      <c r="A391"/>
      <c r="B391"/>
      <c r="C391"/>
      <c r="D391"/>
      <c r="E391"/>
      <c r="F391"/>
      <c r="G391"/>
      <c r="H391"/>
      <c r="I391"/>
      <c r="J391"/>
      <c r="K391"/>
      <c r="L391"/>
      <c r="M391"/>
      <c r="N391"/>
      <c r="O391"/>
      <c r="P391"/>
      <c r="Q391"/>
      <c r="R391"/>
      <c r="S391"/>
    </row>
    <row r="392" spans="1:19" ht="12.75">
      <c r="A392"/>
      <c r="B392"/>
      <c r="C392"/>
      <c r="D392"/>
      <c r="E392"/>
      <c r="F392"/>
      <c r="G392"/>
      <c r="H392"/>
      <c r="I392"/>
      <c r="J392"/>
      <c r="K392"/>
      <c r="L392"/>
      <c r="M392"/>
      <c r="N392"/>
      <c r="O392"/>
      <c r="P392"/>
      <c r="Q392"/>
      <c r="R392"/>
      <c r="S392"/>
    </row>
    <row r="393" spans="1:19" ht="12.75">
      <c r="A393"/>
      <c r="B393"/>
      <c r="C393"/>
      <c r="D393"/>
      <c r="E393"/>
      <c r="F393"/>
      <c r="G393"/>
      <c r="H393"/>
      <c r="I393"/>
      <c r="J393"/>
      <c r="K393"/>
      <c r="L393"/>
      <c r="M393"/>
      <c r="N393"/>
      <c r="O393"/>
      <c r="P393"/>
      <c r="Q393"/>
      <c r="R393"/>
      <c r="S393"/>
    </row>
    <row r="394" spans="1:19" ht="12.75">
      <c r="A394"/>
      <c r="B394"/>
      <c r="C394"/>
      <c r="D394"/>
      <c r="E394"/>
      <c r="F394"/>
      <c r="G394"/>
      <c r="H394"/>
      <c r="I394"/>
      <c r="J394"/>
      <c r="K394"/>
      <c r="L394"/>
      <c r="M394"/>
      <c r="N394"/>
      <c r="O394"/>
      <c r="P394"/>
      <c r="Q394"/>
      <c r="R394"/>
      <c r="S394"/>
    </row>
    <row r="395" spans="1:19" ht="12.75">
      <c r="A395"/>
      <c r="B395"/>
      <c r="C395"/>
      <c r="D395"/>
      <c r="E395"/>
      <c r="F395"/>
      <c r="G395"/>
      <c r="H395"/>
      <c r="I395"/>
      <c r="J395"/>
      <c r="K395"/>
      <c r="L395"/>
      <c r="M395"/>
      <c r="N395"/>
      <c r="O395"/>
      <c r="P395"/>
      <c r="Q395"/>
      <c r="R395"/>
      <c r="S395"/>
    </row>
    <row r="396" spans="1:19" ht="12.75">
      <c r="A396"/>
      <c r="B396"/>
      <c r="C396"/>
      <c r="D396"/>
      <c r="E396"/>
      <c r="F396"/>
      <c r="G396"/>
      <c r="H396"/>
      <c r="I396"/>
      <c r="J396"/>
      <c r="K396"/>
      <c r="L396"/>
      <c r="M396"/>
      <c r="N396"/>
      <c r="O396"/>
      <c r="P396"/>
      <c r="Q396"/>
      <c r="R396"/>
      <c r="S396"/>
    </row>
    <row r="397" spans="1:19" ht="12.75">
      <c r="A397"/>
      <c r="B397"/>
      <c r="C397"/>
      <c r="D397"/>
      <c r="E397"/>
      <c r="F397"/>
      <c r="G397"/>
      <c r="H397"/>
      <c r="I397"/>
      <c r="J397"/>
      <c r="K397"/>
      <c r="L397"/>
      <c r="M397"/>
      <c r="N397"/>
      <c r="O397"/>
      <c r="P397"/>
      <c r="Q397"/>
      <c r="R397"/>
      <c r="S397"/>
    </row>
    <row r="398" spans="1:19" ht="12.75">
      <c r="A398"/>
      <c r="B398"/>
      <c r="C398"/>
      <c r="D398"/>
      <c r="E398"/>
      <c r="F398"/>
      <c r="G398"/>
      <c r="H398"/>
      <c r="I398"/>
      <c r="J398"/>
      <c r="K398"/>
      <c r="L398"/>
      <c r="M398"/>
      <c r="N398"/>
      <c r="O398"/>
      <c r="P398"/>
      <c r="Q398"/>
      <c r="R398"/>
      <c r="S398"/>
    </row>
    <row r="399" spans="1:19" ht="12.75">
      <c r="A399"/>
      <c r="B399"/>
      <c r="C399"/>
      <c r="D399"/>
      <c r="E399"/>
      <c r="F399"/>
      <c r="G399"/>
      <c r="H399"/>
      <c r="I399"/>
      <c r="J399"/>
      <c r="K399"/>
      <c r="L399"/>
      <c r="M399"/>
      <c r="N399"/>
      <c r="O399"/>
      <c r="P399"/>
      <c r="Q399"/>
      <c r="R399"/>
      <c r="S399"/>
    </row>
    <row r="400" spans="1:19" ht="12.75">
      <c r="A400"/>
      <c r="B400"/>
      <c r="C400"/>
      <c r="D400"/>
      <c r="E400"/>
      <c r="F400"/>
      <c r="G400"/>
      <c r="H400"/>
      <c r="I400"/>
      <c r="J400"/>
      <c r="K400"/>
      <c r="L400"/>
      <c r="M400"/>
      <c r="N400"/>
      <c r="O400"/>
      <c r="P400"/>
      <c r="Q400"/>
      <c r="R400"/>
      <c r="S400"/>
    </row>
    <row r="401" spans="1:21" s="607" customFormat="1" ht="12.75">
      <c r="A401"/>
      <c r="B401"/>
      <c r="C401"/>
      <c r="D401"/>
      <c r="E401"/>
      <c r="F401"/>
      <c r="G401"/>
      <c r="H401"/>
      <c r="I401"/>
      <c r="J401"/>
      <c r="K401"/>
      <c r="L401"/>
      <c r="M401"/>
      <c r="N401"/>
      <c r="O401"/>
      <c r="P401"/>
      <c r="Q401"/>
      <c r="R401"/>
      <c r="S401"/>
      <c r="T401" s="580"/>
      <c r="U401" s="580"/>
    </row>
    <row r="402" spans="1:21" s="583" customFormat="1" ht="12.75">
      <c r="A402"/>
      <c r="B402"/>
      <c r="C402"/>
      <c r="D402"/>
      <c r="E402"/>
      <c r="F402"/>
      <c r="G402"/>
      <c r="H402"/>
      <c r="I402"/>
      <c r="J402"/>
      <c r="K402"/>
      <c r="L402"/>
      <c r="M402"/>
      <c r="N402"/>
      <c r="O402"/>
      <c r="P402"/>
      <c r="Q402"/>
      <c r="R402"/>
      <c r="S402"/>
      <c r="T402" s="580"/>
      <c r="U402" s="580"/>
    </row>
    <row r="403" spans="1:19" ht="12.75">
      <c r="A403"/>
      <c r="B403"/>
      <c r="C403"/>
      <c r="D403"/>
      <c r="E403"/>
      <c r="F403"/>
      <c r="G403"/>
      <c r="H403"/>
      <c r="I403"/>
      <c r="J403"/>
      <c r="K403"/>
      <c r="L403"/>
      <c r="M403"/>
      <c r="N403"/>
      <c r="O403"/>
      <c r="P403"/>
      <c r="Q403"/>
      <c r="R403"/>
      <c r="S403"/>
    </row>
    <row r="404" spans="1:19" ht="12.75">
      <c r="A404"/>
      <c r="B404"/>
      <c r="C404"/>
      <c r="D404"/>
      <c r="E404"/>
      <c r="F404"/>
      <c r="G404"/>
      <c r="H404"/>
      <c r="I404"/>
      <c r="J404"/>
      <c r="K404"/>
      <c r="L404"/>
      <c r="M404"/>
      <c r="N404"/>
      <c r="O404"/>
      <c r="P404"/>
      <c r="Q404"/>
      <c r="R404"/>
      <c r="S404"/>
    </row>
    <row r="405" spans="1:19" ht="12.75">
      <c r="A405"/>
      <c r="B405"/>
      <c r="C405"/>
      <c r="D405"/>
      <c r="E405"/>
      <c r="F405"/>
      <c r="G405"/>
      <c r="H405"/>
      <c r="I405"/>
      <c r="J405"/>
      <c r="K405"/>
      <c r="L405"/>
      <c r="M405"/>
      <c r="N405"/>
      <c r="O405"/>
      <c r="P405"/>
      <c r="Q405"/>
      <c r="R405"/>
      <c r="S405"/>
    </row>
    <row r="406" spans="1:19" ht="12.75">
      <c r="A406"/>
      <c r="B406"/>
      <c r="C406"/>
      <c r="D406"/>
      <c r="E406"/>
      <c r="F406"/>
      <c r="G406"/>
      <c r="H406"/>
      <c r="I406"/>
      <c r="J406"/>
      <c r="K406"/>
      <c r="L406"/>
      <c r="M406"/>
      <c r="N406"/>
      <c r="O406"/>
      <c r="P406"/>
      <c r="Q406"/>
      <c r="R406"/>
      <c r="S406"/>
    </row>
    <row r="407" spans="1:19" ht="12.75">
      <c r="A407"/>
      <c r="B407"/>
      <c r="C407"/>
      <c r="D407"/>
      <c r="E407"/>
      <c r="F407"/>
      <c r="G407"/>
      <c r="H407"/>
      <c r="I407"/>
      <c r="J407"/>
      <c r="K407"/>
      <c r="L407"/>
      <c r="M407"/>
      <c r="N407"/>
      <c r="O407"/>
      <c r="P407"/>
      <c r="Q407"/>
      <c r="R407"/>
      <c r="S407"/>
    </row>
    <row r="408" spans="1:19" ht="12.75">
      <c r="A408"/>
      <c r="B408"/>
      <c r="C408"/>
      <c r="D408"/>
      <c r="E408"/>
      <c r="F408"/>
      <c r="G408"/>
      <c r="H408"/>
      <c r="I408"/>
      <c r="J408"/>
      <c r="K408"/>
      <c r="L408"/>
      <c r="M408"/>
      <c r="N408"/>
      <c r="O408"/>
      <c r="P408"/>
      <c r="Q408"/>
      <c r="R408"/>
      <c r="S408"/>
    </row>
    <row r="409" spans="1:19" ht="12.75">
      <c r="A409"/>
      <c r="B409"/>
      <c r="C409"/>
      <c r="D409"/>
      <c r="E409"/>
      <c r="F409"/>
      <c r="G409"/>
      <c r="H409"/>
      <c r="I409"/>
      <c r="J409"/>
      <c r="K409"/>
      <c r="L409"/>
      <c r="M409"/>
      <c r="N409"/>
      <c r="O409"/>
      <c r="P409"/>
      <c r="Q409"/>
      <c r="R409"/>
      <c r="S409"/>
    </row>
    <row r="410" spans="1:19" ht="12.75">
      <c r="A410"/>
      <c r="B410"/>
      <c r="C410"/>
      <c r="D410"/>
      <c r="E410"/>
      <c r="F410"/>
      <c r="G410"/>
      <c r="H410"/>
      <c r="I410"/>
      <c r="J410"/>
      <c r="K410"/>
      <c r="L410"/>
      <c r="M410"/>
      <c r="N410"/>
      <c r="O410"/>
      <c r="P410"/>
      <c r="Q410"/>
      <c r="R410"/>
      <c r="S410"/>
    </row>
    <row r="411" spans="1:19" ht="12.75">
      <c r="A411"/>
      <c r="B411"/>
      <c r="C411"/>
      <c r="D411"/>
      <c r="E411"/>
      <c r="F411"/>
      <c r="G411"/>
      <c r="H411"/>
      <c r="I411"/>
      <c r="J411"/>
      <c r="K411"/>
      <c r="L411"/>
      <c r="M411"/>
      <c r="N411"/>
      <c r="O411"/>
      <c r="P411"/>
      <c r="Q411"/>
      <c r="R411"/>
      <c r="S411"/>
    </row>
    <row r="412" spans="1:19" ht="12.75">
      <c r="A412"/>
      <c r="B412"/>
      <c r="C412"/>
      <c r="D412"/>
      <c r="E412"/>
      <c r="F412"/>
      <c r="G412"/>
      <c r="H412"/>
      <c r="I412"/>
      <c r="J412"/>
      <c r="K412"/>
      <c r="L412"/>
      <c r="M412"/>
      <c r="N412"/>
      <c r="O412"/>
      <c r="P412"/>
      <c r="Q412"/>
      <c r="R412"/>
      <c r="S412"/>
    </row>
    <row r="413" spans="1:19" ht="12.75">
      <c r="A413"/>
      <c r="B413"/>
      <c r="C413"/>
      <c r="D413"/>
      <c r="E413"/>
      <c r="F413"/>
      <c r="G413"/>
      <c r="H413"/>
      <c r="I413"/>
      <c r="J413"/>
      <c r="K413"/>
      <c r="L413"/>
      <c r="M413"/>
      <c r="N413"/>
      <c r="O413"/>
      <c r="P413"/>
      <c r="Q413"/>
      <c r="R413"/>
      <c r="S413"/>
    </row>
    <row r="414" spans="1:19" ht="12.75">
      <c r="A414"/>
      <c r="B414"/>
      <c r="C414"/>
      <c r="D414"/>
      <c r="E414"/>
      <c r="F414"/>
      <c r="G414"/>
      <c r="H414"/>
      <c r="I414"/>
      <c r="J414"/>
      <c r="K414"/>
      <c r="L414"/>
      <c r="M414"/>
      <c r="N414"/>
      <c r="O414"/>
      <c r="P414"/>
      <c r="Q414"/>
      <c r="R414"/>
      <c r="S414"/>
    </row>
    <row r="415" spans="1:19" ht="12.75">
      <c r="A415"/>
      <c r="B415"/>
      <c r="C415"/>
      <c r="D415"/>
      <c r="E415"/>
      <c r="F415"/>
      <c r="G415"/>
      <c r="H415"/>
      <c r="I415"/>
      <c r="J415"/>
      <c r="K415"/>
      <c r="L415"/>
      <c r="M415"/>
      <c r="N415"/>
      <c r="O415"/>
      <c r="P415"/>
      <c r="Q415"/>
      <c r="R415"/>
      <c r="S415"/>
    </row>
    <row r="416" spans="1:19" ht="12.75">
      <c r="A416"/>
      <c r="B416"/>
      <c r="C416"/>
      <c r="D416"/>
      <c r="E416"/>
      <c r="F416"/>
      <c r="G416"/>
      <c r="H416"/>
      <c r="I416"/>
      <c r="J416"/>
      <c r="K416"/>
      <c r="L416"/>
      <c r="M416"/>
      <c r="N416"/>
      <c r="O416"/>
      <c r="P416"/>
      <c r="Q416"/>
      <c r="R416"/>
      <c r="S416"/>
    </row>
    <row r="417" spans="1:19" ht="12.75">
      <c r="A417"/>
      <c r="B417"/>
      <c r="C417"/>
      <c r="D417"/>
      <c r="E417"/>
      <c r="F417"/>
      <c r="G417"/>
      <c r="H417"/>
      <c r="I417"/>
      <c r="J417"/>
      <c r="K417"/>
      <c r="L417"/>
      <c r="M417"/>
      <c r="N417"/>
      <c r="O417"/>
      <c r="P417"/>
      <c r="Q417"/>
      <c r="R417"/>
      <c r="S417"/>
    </row>
    <row r="418" spans="1:19" ht="12.75">
      <c r="A418"/>
      <c r="B418"/>
      <c r="C418"/>
      <c r="D418"/>
      <c r="E418"/>
      <c r="F418"/>
      <c r="G418"/>
      <c r="H418"/>
      <c r="I418"/>
      <c r="J418"/>
      <c r="K418"/>
      <c r="L418"/>
      <c r="M418"/>
      <c r="N418"/>
      <c r="O418"/>
      <c r="P418"/>
      <c r="Q418"/>
      <c r="R418"/>
      <c r="S418"/>
    </row>
    <row r="419" spans="1:19" ht="12.75">
      <c r="A419"/>
      <c r="B419"/>
      <c r="C419"/>
      <c r="D419"/>
      <c r="E419"/>
      <c r="F419"/>
      <c r="G419"/>
      <c r="H419"/>
      <c r="I419"/>
      <c r="J419"/>
      <c r="K419"/>
      <c r="L419"/>
      <c r="M419"/>
      <c r="N419"/>
      <c r="O419"/>
      <c r="P419"/>
      <c r="Q419"/>
      <c r="R419"/>
      <c r="S419"/>
    </row>
    <row r="420" spans="1:19" ht="12.75">
      <c r="A420"/>
      <c r="B420"/>
      <c r="C420"/>
      <c r="D420"/>
      <c r="E420"/>
      <c r="F420"/>
      <c r="G420"/>
      <c r="H420"/>
      <c r="I420"/>
      <c r="J420"/>
      <c r="K420"/>
      <c r="L420"/>
      <c r="M420"/>
      <c r="N420"/>
      <c r="O420"/>
      <c r="P420"/>
      <c r="Q420"/>
      <c r="R420"/>
      <c r="S420"/>
    </row>
    <row r="421" spans="1:19" ht="12.75">
      <c r="A421"/>
      <c r="B421"/>
      <c r="C421"/>
      <c r="D421"/>
      <c r="E421"/>
      <c r="F421"/>
      <c r="G421"/>
      <c r="H421"/>
      <c r="I421"/>
      <c r="J421"/>
      <c r="K421"/>
      <c r="L421"/>
      <c r="M421"/>
      <c r="N421"/>
      <c r="O421"/>
      <c r="P421"/>
      <c r="Q421"/>
      <c r="R421"/>
      <c r="S421"/>
    </row>
    <row r="422" spans="1:19" ht="12.75">
      <c r="A422"/>
      <c r="B422"/>
      <c r="C422"/>
      <c r="D422"/>
      <c r="E422"/>
      <c r="F422"/>
      <c r="G422"/>
      <c r="H422"/>
      <c r="I422"/>
      <c r="J422"/>
      <c r="K422"/>
      <c r="L422"/>
      <c r="M422"/>
      <c r="N422"/>
      <c r="O422"/>
      <c r="P422"/>
      <c r="Q422"/>
      <c r="R422"/>
      <c r="S422"/>
    </row>
    <row r="423" spans="1:19" ht="12.75">
      <c r="A423"/>
      <c r="B423"/>
      <c r="C423"/>
      <c r="D423"/>
      <c r="E423"/>
      <c r="F423"/>
      <c r="G423"/>
      <c r="H423"/>
      <c r="I423"/>
      <c r="J423"/>
      <c r="K423"/>
      <c r="L423"/>
      <c r="M423"/>
      <c r="N423"/>
      <c r="O423"/>
      <c r="P423"/>
      <c r="Q423"/>
      <c r="R423"/>
      <c r="S423"/>
    </row>
    <row r="424" spans="1:19" ht="12.75">
      <c r="A424"/>
      <c r="B424"/>
      <c r="C424"/>
      <c r="D424"/>
      <c r="E424"/>
      <c r="F424"/>
      <c r="G424"/>
      <c r="H424"/>
      <c r="I424"/>
      <c r="J424"/>
      <c r="K424"/>
      <c r="L424"/>
      <c r="M424"/>
      <c r="N424"/>
      <c r="O424"/>
      <c r="P424"/>
      <c r="Q424"/>
      <c r="R424"/>
      <c r="S424"/>
    </row>
    <row r="425" spans="1:19" ht="12.75">
      <c r="A425"/>
      <c r="B425"/>
      <c r="C425"/>
      <c r="D425"/>
      <c r="E425"/>
      <c r="F425"/>
      <c r="G425"/>
      <c r="H425"/>
      <c r="I425"/>
      <c r="J425"/>
      <c r="K425"/>
      <c r="L425"/>
      <c r="M425"/>
      <c r="N425"/>
      <c r="O425"/>
      <c r="P425"/>
      <c r="Q425"/>
      <c r="R425"/>
      <c r="S425"/>
    </row>
    <row r="426" spans="1:19" ht="12.75">
      <c r="A426"/>
      <c r="B426"/>
      <c r="C426"/>
      <c r="D426"/>
      <c r="E426"/>
      <c r="F426"/>
      <c r="G426"/>
      <c r="H426"/>
      <c r="I426"/>
      <c r="J426"/>
      <c r="K426"/>
      <c r="L426"/>
      <c r="M426"/>
      <c r="N426"/>
      <c r="O426"/>
      <c r="P426"/>
      <c r="Q426"/>
      <c r="R426"/>
      <c r="S426"/>
    </row>
    <row r="427" spans="1:19" ht="12.75">
      <c r="A427"/>
      <c r="B427"/>
      <c r="C427"/>
      <c r="D427"/>
      <c r="E427"/>
      <c r="F427"/>
      <c r="G427"/>
      <c r="H427"/>
      <c r="I427"/>
      <c r="J427"/>
      <c r="K427"/>
      <c r="L427"/>
      <c r="M427"/>
      <c r="N427"/>
      <c r="O427"/>
      <c r="P427"/>
      <c r="Q427"/>
      <c r="R427"/>
      <c r="S427"/>
    </row>
    <row r="428" spans="1:19" ht="12.75">
      <c r="A428"/>
      <c r="B428"/>
      <c r="C428"/>
      <c r="D428"/>
      <c r="E428"/>
      <c r="F428"/>
      <c r="G428"/>
      <c r="H428"/>
      <c r="I428"/>
      <c r="J428"/>
      <c r="K428"/>
      <c r="L428"/>
      <c r="M428"/>
      <c r="N428"/>
      <c r="O428"/>
      <c r="P428"/>
      <c r="Q428"/>
      <c r="R428"/>
      <c r="S428"/>
    </row>
    <row r="429" spans="1:19" ht="12.75">
      <c r="A429"/>
      <c r="B429"/>
      <c r="C429"/>
      <c r="D429"/>
      <c r="E429"/>
      <c r="F429"/>
      <c r="G429"/>
      <c r="H429"/>
      <c r="I429"/>
      <c r="J429"/>
      <c r="K429"/>
      <c r="L429"/>
      <c r="M429"/>
      <c r="N429"/>
      <c r="O429"/>
      <c r="P429"/>
      <c r="Q429"/>
      <c r="R429"/>
      <c r="S429"/>
    </row>
    <row r="430" spans="1:19" ht="12.75">
      <c r="A430"/>
      <c r="B430"/>
      <c r="C430"/>
      <c r="D430"/>
      <c r="E430"/>
      <c r="F430"/>
      <c r="G430"/>
      <c r="H430"/>
      <c r="I430"/>
      <c r="J430"/>
      <c r="K430"/>
      <c r="L430"/>
      <c r="M430"/>
      <c r="N430"/>
      <c r="O430"/>
      <c r="P430"/>
      <c r="Q430"/>
      <c r="R430"/>
      <c r="S430"/>
    </row>
    <row r="431" spans="1:19" ht="12.75">
      <c r="A431"/>
      <c r="B431"/>
      <c r="C431"/>
      <c r="D431"/>
      <c r="E431"/>
      <c r="F431"/>
      <c r="G431"/>
      <c r="H431"/>
      <c r="I431"/>
      <c r="J431"/>
      <c r="K431"/>
      <c r="L431"/>
      <c r="M431"/>
      <c r="N431"/>
      <c r="O431"/>
      <c r="P431"/>
      <c r="Q431"/>
      <c r="R431"/>
      <c r="S431"/>
    </row>
    <row r="432" spans="1:19" ht="12.75">
      <c r="A432"/>
      <c r="B432"/>
      <c r="C432"/>
      <c r="D432"/>
      <c r="E432"/>
      <c r="F432"/>
      <c r="G432"/>
      <c r="H432"/>
      <c r="I432"/>
      <c r="J432"/>
      <c r="K432"/>
      <c r="L432"/>
      <c r="M432"/>
      <c r="N432"/>
      <c r="O432"/>
      <c r="P432"/>
      <c r="Q432"/>
      <c r="R432"/>
      <c r="S432"/>
    </row>
    <row r="433" spans="1:19" ht="12.75">
      <c r="A433"/>
      <c r="B433"/>
      <c r="C433"/>
      <c r="D433"/>
      <c r="E433"/>
      <c r="F433"/>
      <c r="G433"/>
      <c r="H433"/>
      <c r="I433"/>
      <c r="J433"/>
      <c r="K433"/>
      <c r="L433"/>
      <c r="M433"/>
      <c r="N433"/>
      <c r="O433"/>
      <c r="P433"/>
      <c r="Q433"/>
      <c r="R433"/>
      <c r="S433"/>
    </row>
    <row r="434" spans="1:19" ht="12.75">
      <c r="A434"/>
      <c r="B434"/>
      <c r="C434"/>
      <c r="D434"/>
      <c r="E434"/>
      <c r="F434"/>
      <c r="G434"/>
      <c r="H434"/>
      <c r="I434"/>
      <c r="J434"/>
      <c r="K434"/>
      <c r="L434"/>
      <c r="M434"/>
      <c r="N434"/>
      <c r="O434"/>
      <c r="P434"/>
      <c r="Q434"/>
      <c r="R434"/>
      <c r="S434"/>
    </row>
    <row r="435" spans="1:19" ht="12.75">
      <c r="A435"/>
      <c r="B435"/>
      <c r="C435"/>
      <c r="D435"/>
      <c r="E435"/>
      <c r="F435"/>
      <c r="G435"/>
      <c r="H435"/>
      <c r="I435"/>
      <c r="J435"/>
      <c r="K435"/>
      <c r="L435"/>
      <c r="M435"/>
      <c r="N435"/>
      <c r="O435"/>
      <c r="P435"/>
      <c r="Q435"/>
      <c r="R435"/>
      <c r="S435"/>
    </row>
    <row r="436" spans="1:19" ht="12.75">
      <c r="A436"/>
      <c r="B436"/>
      <c r="C436"/>
      <c r="D436"/>
      <c r="E436"/>
      <c r="F436"/>
      <c r="G436"/>
      <c r="H436"/>
      <c r="I436"/>
      <c r="J436"/>
      <c r="K436"/>
      <c r="L436"/>
      <c r="M436"/>
      <c r="N436"/>
      <c r="O436"/>
      <c r="P436"/>
      <c r="Q436"/>
      <c r="R436"/>
      <c r="S436"/>
    </row>
    <row r="437" spans="1:21" s="607" customFormat="1" ht="12.75">
      <c r="A437"/>
      <c r="B437"/>
      <c r="C437"/>
      <c r="D437"/>
      <c r="E437"/>
      <c r="F437"/>
      <c r="G437"/>
      <c r="H437"/>
      <c r="I437"/>
      <c r="J437"/>
      <c r="K437"/>
      <c r="L437"/>
      <c r="M437"/>
      <c r="N437"/>
      <c r="O437"/>
      <c r="P437"/>
      <c r="Q437"/>
      <c r="R437"/>
      <c r="S437"/>
      <c r="T437" s="580"/>
      <c r="U437" s="580"/>
    </row>
    <row r="438" spans="1:21" s="583" customFormat="1" ht="12.75">
      <c r="A438"/>
      <c r="B438"/>
      <c r="C438"/>
      <c r="D438"/>
      <c r="E438"/>
      <c r="F438"/>
      <c r="G438"/>
      <c r="H438"/>
      <c r="I438"/>
      <c r="J438"/>
      <c r="K438"/>
      <c r="L438"/>
      <c r="M438"/>
      <c r="N438"/>
      <c r="O438"/>
      <c r="P438"/>
      <c r="Q438"/>
      <c r="R438"/>
      <c r="S438"/>
      <c r="T438" s="580"/>
      <c r="U438" s="580"/>
    </row>
    <row r="439" spans="1:19" ht="12.75">
      <c r="A439"/>
      <c r="B439"/>
      <c r="C439"/>
      <c r="D439"/>
      <c r="E439"/>
      <c r="F439"/>
      <c r="G439"/>
      <c r="H439"/>
      <c r="I439"/>
      <c r="J439"/>
      <c r="K439"/>
      <c r="L439"/>
      <c r="M439"/>
      <c r="N439"/>
      <c r="O439"/>
      <c r="P439"/>
      <c r="Q439"/>
      <c r="R439"/>
      <c r="S439"/>
    </row>
    <row r="440" spans="1:19" ht="12.75">
      <c r="A440"/>
      <c r="B440"/>
      <c r="C440"/>
      <c r="D440"/>
      <c r="E440"/>
      <c r="F440"/>
      <c r="G440"/>
      <c r="H440"/>
      <c r="I440"/>
      <c r="J440"/>
      <c r="K440"/>
      <c r="L440"/>
      <c r="M440"/>
      <c r="N440"/>
      <c r="O440"/>
      <c r="P440"/>
      <c r="Q440"/>
      <c r="R440"/>
      <c r="S440"/>
    </row>
    <row r="441" spans="1:19" ht="12.75">
      <c r="A441"/>
      <c r="B441"/>
      <c r="C441"/>
      <c r="D441"/>
      <c r="E441"/>
      <c r="F441"/>
      <c r="G441"/>
      <c r="H441"/>
      <c r="I441"/>
      <c r="J441"/>
      <c r="K441"/>
      <c r="L441"/>
      <c r="M441"/>
      <c r="N441"/>
      <c r="O441"/>
      <c r="P441"/>
      <c r="Q441"/>
      <c r="R441"/>
      <c r="S441"/>
    </row>
    <row r="442" spans="1:19" ht="12.75">
      <c r="A442"/>
      <c r="B442"/>
      <c r="C442"/>
      <c r="D442"/>
      <c r="E442"/>
      <c r="F442"/>
      <c r="G442"/>
      <c r="H442"/>
      <c r="I442"/>
      <c r="J442"/>
      <c r="K442"/>
      <c r="L442"/>
      <c r="M442"/>
      <c r="N442"/>
      <c r="O442"/>
      <c r="P442"/>
      <c r="Q442"/>
      <c r="R442"/>
      <c r="S442"/>
    </row>
    <row r="443" spans="1:19" ht="12.75">
      <c r="A443"/>
      <c r="B443"/>
      <c r="C443"/>
      <c r="D443"/>
      <c r="E443"/>
      <c r="F443"/>
      <c r="G443"/>
      <c r="H443"/>
      <c r="I443"/>
      <c r="J443"/>
      <c r="K443"/>
      <c r="L443"/>
      <c r="M443"/>
      <c r="N443"/>
      <c r="O443"/>
      <c r="P443"/>
      <c r="Q443"/>
      <c r="R443"/>
      <c r="S443"/>
    </row>
    <row r="444" spans="1:19" ht="12.75">
      <c r="A444"/>
      <c r="B444"/>
      <c r="C444"/>
      <c r="D444"/>
      <c r="E444"/>
      <c r="F444"/>
      <c r="G444"/>
      <c r="H444"/>
      <c r="I444"/>
      <c r="J444"/>
      <c r="K444"/>
      <c r="L444"/>
      <c r="M444"/>
      <c r="N444"/>
      <c r="O444"/>
      <c r="P444"/>
      <c r="Q444"/>
      <c r="R444"/>
      <c r="S444"/>
    </row>
    <row r="445" spans="1:19" ht="12.75">
      <c r="A445"/>
      <c r="B445"/>
      <c r="C445"/>
      <c r="D445"/>
      <c r="E445"/>
      <c r="F445"/>
      <c r="G445"/>
      <c r="H445"/>
      <c r="I445"/>
      <c r="J445"/>
      <c r="K445"/>
      <c r="L445"/>
      <c r="M445"/>
      <c r="N445"/>
      <c r="O445"/>
      <c r="P445"/>
      <c r="Q445"/>
      <c r="R445"/>
      <c r="S445"/>
    </row>
    <row r="446" spans="1:19" ht="12.75">
      <c r="A446"/>
      <c r="B446"/>
      <c r="C446"/>
      <c r="D446"/>
      <c r="E446"/>
      <c r="F446"/>
      <c r="G446"/>
      <c r="H446"/>
      <c r="I446"/>
      <c r="J446"/>
      <c r="K446"/>
      <c r="L446"/>
      <c r="M446"/>
      <c r="N446"/>
      <c r="O446"/>
      <c r="P446"/>
      <c r="Q446"/>
      <c r="R446"/>
      <c r="S446"/>
    </row>
    <row r="447" spans="1:19" ht="12.75">
      <c r="A447"/>
      <c r="B447"/>
      <c r="C447"/>
      <c r="D447"/>
      <c r="E447"/>
      <c r="F447"/>
      <c r="G447"/>
      <c r="H447"/>
      <c r="I447"/>
      <c r="J447"/>
      <c r="K447"/>
      <c r="L447"/>
      <c r="M447"/>
      <c r="N447"/>
      <c r="O447"/>
      <c r="P447"/>
      <c r="Q447"/>
      <c r="R447"/>
      <c r="S447"/>
    </row>
    <row r="448" spans="1:19" ht="12.75">
      <c r="A448"/>
      <c r="B448"/>
      <c r="C448"/>
      <c r="D448"/>
      <c r="E448"/>
      <c r="F448"/>
      <c r="G448"/>
      <c r="H448"/>
      <c r="I448"/>
      <c r="J448"/>
      <c r="K448"/>
      <c r="L448"/>
      <c r="M448"/>
      <c r="N448"/>
      <c r="O448"/>
      <c r="P448"/>
      <c r="Q448"/>
      <c r="R448"/>
      <c r="S448"/>
    </row>
    <row r="449" spans="1:19" ht="12.75">
      <c r="A449"/>
      <c r="B449"/>
      <c r="C449"/>
      <c r="D449"/>
      <c r="E449"/>
      <c r="F449"/>
      <c r="G449"/>
      <c r="H449"/>
      <c r="I449"/>
      <c r="J449"/>
      <c r="K449"/>
      <c r="L449"/>
      <c r="M449"/>
      <c r="N449"/>
      <c r="O449"/>
      <c r="P449"/>
      <c r="Q449"/>
      <c r="R449"/>
      <c r="S449"/>
    </row>
    <row r="450" spans="1:19" ht="12.75">
      <c r="A450"/>
      <c r="B450"/>
      <c r="C450"/>
      <c r="D450"/>
      <c r="E450"/>
      <c r="F450"/>
      <c r="G450"/>
      <c r="H450"/>
      <c r="I450"/>
      <c r="J450"/>
      <c r="K450"/>
      <c r="L450"/>
      <c r="M450"/>
      <c r="N450"/>
      <c r="O450"/>
      <c r="P450"/>
      <c r="Q450"/>
      <c r="R450"/>
      <c r="S450"/>
    </row>
    <row r="451" spans="1:19" ht="12.75">
      <c r="A451"/>
      <c r="B451"/>
      <c r="C451"/>
      <c r="D451"/>
      <c r="E451"/>
      <c r="F451"/>
      <c r="G451"/>
      <c r="H451"/>
      <c r="I451"/>
      <c r="J451"/>
      <c r="K451"/>
      <c r="L451"/>
      <c r="M451"/>
      <c r="N451"/>
      <c r="O451"/>
      <c r="P451"/>
      <c r="Q451"/>
      <c r="R451"/>
      <c r="S451"/>
    </row>
    <row r="452" spans="1:19" ht="12.75">
      <c r="A452"/>
      <c r="B452"/>
      <c r="C452"/>
      <c r="D452"/>
      <c r="E452"/>
      <c r="F452"/>
      <c r="G452"/>
      <c r="H452"/>
      <c r="I452"/>
      <c r="J452"/>
      <c r="K452"/>
      <c r="L452"/>
      <c r="M452"/>
      <c r="N452"/>
      <c r="O452"/>
      <c r="P452"/>
      <c r="Q452"/>
      <c r="R452"/>
      <c r="S452"/>
    </row>
    <row r="453" spans="1:19" ht="12.75">
      <c r="A453"/>
      <c r="B453"/>
      <c r="C453"/>
      <c r="D453"/>
      <c r="E453"/>
      <c r="F453"/>
      <c r="G453"/>
      <c r="H453"/>
      <c r="I453"/>
      <c r="J453"/>
      <c r="K453"/>
      <c r="L453"/>
      <c r="M453"/>
      <c r="N453"/>
      <c r="O453"/>
      <c r="P453"/>
      <c r="Q453"/>
      <c r="R453"/>
      <c r="S453"/>
    </row>
    <row r="454" spans="1:19" ht="12.75">
      <c r="A454"/>
      <c r="B454"/>
      <c r="C454"/>
      <c r="D454"/>
      <c r="E454"/>
      <c r="F454"/>
      <c r="G454"/>
      <c r="H454"/>
      <c r="I454"/>
      <c r="J454"/>
      <c r="K454"/>
      <c r="L454"/>
      <c r="M454"/>
      <c r="N454"/>
      <c r="O454"/>
      <c r="P454"/>
      <c r="Q454"/>
      <c r="R454"/>
      <c r="S454"/>
    </row>
    <row r="455" spans="1:19" ht="12.75">
      <c r="A455"/>
      <c r="B455"/>
      <c r="C455"/>
      <c r="D455"/>
      <c r="E455"/>
      <c r="F455"/>
      <c r="G455"/>
      <c r="H455"/>
      <c r="I455"/>
      <c r="J455"/>
      <c r="K455"/>
      <c r="L455"/>
      <c r="M455"/>
      <c r="N455"/>
      <c r="O455"/>
      <c r="P455"/>
      <c r="Q455"/>
      <c r="R455"/>
      <c r="S455"/>
    </row>
    <row r="456" spans="1:19" ht="12.75">
      <c r="A456"/>
      <c r="B456"/>
      <c r="C456"/>
      <c r="D456"/>
      <c r="E456"/>
      <c r="F456"/>
      <c r="G456"/>
      <c r="H456"/>
      <c r="I456"/>
      <c r="J456"/>
      <c r="K456"/>
      <c r="L456"/>
      <c r="M456"/>
      <c r="N456"/>
      <c r="O456"/>
      <c r="P456"/>
      <c r="Q456"/>
      <c r="R456"/>
      <c r="S456"/>
    </row>
    <row r="457" spans="1:19" ht="12.75">
      <c r="A457"/>
      <c r="B457"/>
      <c r="C457"/>
      <c r="D457"/>
      <c r="E457"/>
      <c r="F457"/>
      <c r="G457"/>
      <c r="H457"/>
      <c r="I457"/>
      <c r="J457"/>
      <c r="K457"/>
      <c r="L457"/>
      <c r="M457"/>
      <c r="N457"/>
      <c r="O457"/>
      <c r="P457"/>
      <c r="Q457"/>
      <c r="R457"/>
      <c r="S457"/>
    </row>
    <row r="458" spans="1:21" s="608" customFormat="1" ht="12.75">
      <c r="A458"/>
      <c r="B458"/>
      <c r="C458"/>
      <c r="D458"/>
      <c r="E458"/>
      <c r="F458"/>
      <c r="G458"/>
      <c r="H458"/>
      <c r="I458"/>
      <c r="J458"/>
      <c r="K458"/>
      <c r="L458"/>
      <c r="M458"/>
      <c r="N458"/>
      <c r="O458"/>
      <c r="P458"/>
      <c r="Q458"/>
      <c r="R458"/>
      <c r="S458"/>
      <c r="T458" s="580"/>
      <c r="U458" s="580"/>
    </row>
    <row r="459" spans="1:19" ht="12.75">
      <c r="A459"/>
      <c r="B459"/>
      <c r="C459"/>
      <c r="D459"/>
      <c r="E459"/>
      <c r="F459"/>
      <c r="G459"/>
      <c r="H459"/>
      <c r="I459"/>
      <c r="J459"/>
      <c r="K459"/>
      <c r="L459"/>
      <c r="M459"/>
      <c r="N459"/>
      <c r="O459"/>
      <c r="P459"/>
      <c r="Q459"/>
      <c r="R459"/>
      <c r="S459"/>
    </row>
    <row r="460" spans="1:19" ht="12.75">
      <c r="A460"/>
      <c r="B460"/>
      <c r="C460"/>
      <c r="D460"/>
      <c r="E460"/>
      <c r="F460"/>
      <c r="G460"/>
      <c r="H460"/>
      <c r="I460"/>
      <c r="J460"/>
      <c r="K460"/>
      <c r="L460"/>
      <c r="M460"/>
      <c r="N460"/>
      <c r="O460"/>
      <c r="P460"/>
      <c r="Q460"/>
      <c r="R460"/>
      <c r="S460"/>
    </row>
    <row r="461" spans="1:19" ht="12.75">
      <c r="A461"/>
      <c r="B461"/>
      <c r="C461"/>
      <c r="D461"/>
      <c r="E461"/>
      <c r="F461"/>
      <c r="G461"/>
      <c r="H461"/>
      <c r="I461"/>
      <c r="J461"/>
      <c r="K461"/>
      <c r="L461"/>
      <c r="M461"/>
      <c r="N461"/>
      <c r="O461"/>
      <c r="P461"/>
      <c r="Q461"/>
      <c r="R461"/>
      <c r="S461"/>
    </row>
    <row r="462" spans="1:19" ht="12.75">
      <c r="A462"/>
      <c r="B462"/>
      <c r="C462"/>
      <c r="D462"/>
      <c r="E462"/>
      <c r="F462"/>
      <c r="G462"/>
      <c r="H462"/>
      <c r="I462"/>
      <c r="J462"/>
      <c r="K462"/>
      <c r="L462"/>
      <c r="M462"/>
      <c r="N462"/>
      <c r="O462"/>
      <c r="P462"/>
      <c r="Q462"/>
      <c r="R462"/>
      <c r="S462"/>
    </row>
    <row r="463" spans="1:19" ht="12.75">
      <c r="A463"/>
      <c r="B463"/>
      <c r="C463"/>
      <c r="D463"/>
      <c r="E463"/>
      <c r="F463"/>
      <c r="G463"/>
      <c r="H463"/>
      <c r="I463"/>
      <c r="J463"/>
      <c r="K463"/>
      <c r="L463"/>
      <c r="M463"/>
      <c r="N463"/>
      <c r="O463"/>
      <c r="P463"/>
      <c r="Q463"/>
      <c r="R463"/>
      <c r="S463"/>
    </row>
    <row r="464" spans="1:21" s="609" customFormat="1" ht="12.75">
      <c r="A464"/>
      <c r="B464"/>
      <c r="C464"/>
      <c r="D464"/>
      <c r="E464"/>
      <c r="F464"/>
      <c r="G464"/>
      <c r="H464"/>
      <c r="I464"/>
      <c r="J464"/>
      <c r="K464"/>
      <c r="L464"/>
      <c r="M464"/>
      <c r="N464"/>
      <c r="O464"/>
      <c r="P464"/>
      <c r="Q464"/>
      <c r="R464"/>
      <c r="S464"/>
      <c r="T464" s="580"/>
      <c r="U464" s="580"/>
    </row>
    <row r="465" spans="1:19" ht="12.75">
      <c r="A465"/>
      <c r="B465"/>
      <c r="C465"/>
      <c r="D465"/>
      <c r="E465"/>
      <c r="F465"/>
      <c r="G465"/>
      <c r="H465"/>
      <c r="I465"/>
      <c r="J465"/>
      <c r="K465"/>
      <c r="L465"/>
      <c r="M465"/>
      <c r="N465"/>
      <c r="O465"/>
      <c r="P465"/>
      <c r="Q465"/>
      <c r="R465"/>
      <c r="S465"/>
    </row>
    <row r="466" spans="1:19" ht="12.75">
      <c r="A466"/>
      <c r="B466"/>
      <c r="C466"/>
      <c r="D466"/>
      <c r="E466"/>
      <c r="F466"/>
      <c r="G466"/>
      <c r="H466"/>
      <c r="I466"/>
      <c r="J466"/>
      <c r="K466"/>
      <c r="L466"/>
      <c r="M466"/>
      <c r="N466"/>
      <c r="O466"/>
      <c r="P466"/>
      <c r="Q466"/>
      <c r="R466"/>
      <c r="S466"/>
    </row>
    <row r="467" spans="1:19" ht="12.75">
      <c r="A467"/>
      <c r="B467"/>
      <c r="C467"/>
      <c r="D467"/>
      <c r="E467"/>
      <c r="F467"/>
      <c r="G467"/>
      <c r="H467"/>
      <c r="I467"/>
      <c r="J467"/>
      <c r="K467"/>
      <c r="L467"/>
      <c r="M467"/>
      <c r="N467"/>
      <c r="O467"/>
      <c r="P467"/>
      <c r="Q467"/>
      <c r="R467"/>
      <c r="S467"/>
    </row>
    <row r="468" spans="1:19" ht="12.75">
      <c r="A468"/>
      <c r="B468"/>
      <c r="C468"/>
      <c r="D468"/>
      <c r="E468"/>
      <c r="F468"/>
      <c r="G468"/>
      <c r="H468"/>
      <c r="I468"/>
      <c r="J468"/>
      <c r="K468"/>
      <c r="L468"/>
      <c r="M468"/>
      <c r="N468"/>
      <c r="O468"/>
      <c r="P468"/>
      <c r="Q468"/>
      <c r="R468"/>
      <c r="S468"/>
    </row>
    <row r="469" spans="1:19" ht="12.75">
      <c r="A469"/>
      <c r="B469"/>
      <c r="C469"/>
      <c r="D469"/>
      <c r="E469"/>
      <c r="F469"/>
      <c r="G469"/>
      <c r="H469"/>
      <c r="I469"/>
      <c r="J469"/>
      <c r="K469"/>
      <c r="L469"/>
      <c r="M469"/>
      <c r="N469"/>
      <c r="O469"/>
      <c r="P469"/>
      <c r="Q469"/>
      <c r="R469"/>
      <c r="S469"/>
    </row>
    <row r="470" spans="1:19" ht="12.75">
      <c r="A470"/>
      <c r="B470"/>
      <c r="C470"/>
      <c r="D470"/>
      <c r="E470"/>
      <c r="F470"/>
      <c r="G470"/>
      <c r="H470"/>
      <c r="I470"/>
      <c r="J470"/>
      <c r="K470"/>
      <c r="L470"/>
      <c r="M470"/>
      <c r="N470"/>
      <c r="O470"/>
      <c r="P470"/>
      <c r="Q470"/>
      <c r="R470"/>
      <c r="S470"/>
    </row>
    <row r="471" spans="1:19" ht="12.75">
      <c r="A471"/>
      <c r="B471"/>
      <c r="C471"/>
      <c r="D471"/>
      <c r="E471"/>
      <c r="F471"/>
      <c r="G471"/>
      <c r="H471"/>
      <c r="I471"/>
      <c r="J471"/>
      <c r="K471"/>
      <c r="L471"/>
      <c r="M471"/>
      <c r="N471"/>
      <c r="O471"/>
      <c r="P471"/>
      <c r="Q471"/>
      <c r="R471"/>
      <c r="S471"/>
    </row>
    <row r="472" spans="1:19" ht="12.75">
      <c r="A472"/>
      <c r="B472"/>
      <c r="C472"/>
      <c r="D472"/>
      <c r="E472"/>
      <c r="F472"/>
      <c r="G472"/>
      <c r="H472"/>
      <c r="I472"/>
      <c r="J472"/>
      <c r="K472"/>
      <c r="L472"/>
      <c r="M472"/>
      <c r="N472"/>
      <c r="O472"/>
      <c r="P472"/>
      <c r="Q472"/>
      <c r="R472"/>
      <c r="S472"/>
    </row>
    <row r="473" spans="1:21" s="607" customFormat="1" ht="12.75">
      <c r="A473"/>
      <c r="B473"/>
      <c r="C473"/>
      <c r="D473"/>
      <c r="E473"/>
      <c r="F473"/>
      <c r="G473"/>
      <c r="H473"/>
      <c r="I473"/>
      <c r="J473"/>
      <c r="K473"/>
      <c r="L473"/>
      <c r="M473"/>
      <c r="N473"/>
      <c r="O473"/>
      <c r="P473"/>
      <c r="Q473"/>
      <c r="R473"/>
      <c r="S473"/>
      <c r="T473" s="580"/>
      <c r="U473" s="580"/>
    </row>
    <row r="474" spans="1:21" s="583" customFormat="1" ht="12.75">
      <c r="A474"/>
      <c r="B474"/>
      <c r="C474"/>
      <c r="D474"/>
      <c r="E474"/>
      <c r="F474"/>
      <c r="G474"/>
      <c r="H474"/>
      <c r="I474"/>
      <c r="J474"/>
      <c r="K474"/>
      <c r="L474"/>
      <c r="M474"/>
      <c r="N474"/>
      <c r="O474"/>
      <c r="P474"/>
      <c r="Q474"/>
      <c r="R474"/>
      <c r="S474"/>
      <c r="T474" s="580"/>
      <c r="U474" s="580"/>
    </row>
    <row r="475" spans="1:19" ht="12.75">
      <c r="A475"/>
      <c r="B475"/>
      <c r="C475"/>
      <c r="D475"/>
      <c r="E475"/>
      <c r="F475"/>
      <c r="G475"/>
      <c r="H475"/>
      <c r="I475"/>
      <c r="J475"/>
      <c r="K475"/>
      <c r="L475"/>
      <c r="M475"/>
      <c r="N475"/>
      <c r="O475"/>
      <c r="P475"/>
      <c r="Q475"/>
      <c r="R475"/>
      <c r="S475"/>
    </row>
    <row r="476" spans="1:21" s="612" customFormat="1" ht="12.75">
      <c r="A476"/>
      <c r="B476"/>
      <c r="C476"/>
      <c r="D476"/>
      <c r="E476"/>
      <c r="F476"/>
      <c r="G476"/>
      <c r="H476"/>
      <c r="I476"/>
      <c r="J476"/>
      <c r="K476"/>
      <c r="L476"/>
      <c r="M476"/>
      <c r="N476"/>
      <c r="O476"/>
      <c r="P476"/>
      <c r="Q476"/>
      <c r="R476"/>
      <c r="S476"/>
      <c r="T476" s="580"/>
      <c r="U476" s="580"/>
    </row>
    <row r="477" spans="1:19" ht="12.75">
      <c r="A477"/>
      <c r="B477"/>
      <c r="C477"/>
      <c r="D477"/>
      <c r="E477"/>
      <c r="F477"/>
      <c r="G477"/>
      <c r="H477"/>
      <c r="I477"/>
      <c r="J477"/>
      <c r="K477"/>
      <c r="L477"/>
      <c r="M477"/>
      <c r="N477"/>
      <c r="O477"/>
      <c r="P477"/>
      <c r="Q477"/>
      <c r="R477"/>
      <c r="S477"/>
    </row>
    <row r="478" spans="1:19" ht="12.75">
      <c r="A478"/>
      <c r="B478"/>
      <c r="C478"/>
      <c r="D478"/>
      <c r="E478"/>
      <c r="F478"/>
      <c r="G478"/>
      <c r="H478"/>
      <c r="I478"/>
      <c r="J478"/>
      <c r="K478"/>
      <c r="L478"/>
      <c r="M478"/>
      <c r="N478"/>
      <c r="O478"/>
      <c r="P478"/>
      <c r="Q478"/>
      <c r="R478"/>
      <c r="S478"/>
    </row>
    <row r="479" spans="1:21" s="612" customFormat="1" ht="12.75">
      <c r="A479"/>
      <c r="B479"/>
      <c r="C479"/>
      <c r="D479"/>
      <c r="E479"/>
      <c r="F479"/>
      <c r="G479"/>
      <c r="H479"/>
      <c r="I479"/>
      <c r="J479"/>
      <c r="K479"/>
      <c r="L479"/>
      <c r="M479"/>
      <c r="N479"/>
      <c r="O479"/>
      <c r="P479"/>
      <c r="Q479"/>
      <c r="R479"/>
      <c r="S479"/>
      <c r="T479" s="580"/>
      <c r="U479" s="580"/>
    </row>
    <row r="480" spans="1:19" ht="12.75">
      <c r="A480"/>
      <c r="B480"/>
      <c r="C480"/>
      <c r="D480"/>
      <c r="E480"/>
      <c r="F480"/>
      <c r="G480"/>
      <c r="H480"/>
      <c r="I480"/>
      <c r="J480"/>
      <c r="K480"/>
      <c r="L480"/>
      <c r="M480"/>
      <c r="N480"/>
      <c r="O480"/>
      <c r="P480"/>
      <c r="Q480"/>
      <c r="R480"/>
      <c r="S480"/>
    </row>
    <row r="481" spans="1:19" ht="12.75">
      <c r="A481"/>
      <c r="B481"/>
      <c r="C481"/>
      <c r="D481"/>
      <c r="E481"/>
      <c r="F481"/>
      <c r="G481"/>
      <c r="H481"/>
      <c r="I481"/>
      <c r="J481"/>
      <c r="K481"/>
      <c r="L481"/>
      <c r="M481"/>
      <c r="N481"/>
      <c r="O481"/>
      <c r="P481"/>
      <c r="Q481"/>
      <c r="R481"/>
      <c r="S481"/>
    </row>
    <row r="482" spans="1:21" s="612" customFormat="1" ht="12.75">
      <c r="A482"/>
      <c r="B482"/>
      <c r="C482"/>
      <c r="D482"/>
      <c r="E482"/>
      <c r="F482"/>
      <c r="G482"/>
      <c r="H482"/>
      <c r="I482"/>
      <c r="J482"/>
      <c r="K482"/>
      <c r="L482"/>
      <c r="M482"/>
      <c r="N482"/>
      <c r="O482"/>
      <c r="P482"/>
      <c r="Q482"/>
      <c r="R482"/>
      <c r="S482"/>
      <c r="T482" s="580"/>
      <c r="U482" s="580"/>
    </row>
    <row r="483" spans="1:19" ht="12.75">
      <c r="A483"/>
      <c r="B483"/>
      <c r="C483"/>
      <c r="D483"/>
      <c r="E483"/>
      <c r="F483"/>
      <c r="G483"/>
      <c r="H483"/>
      <c r="I483"/>
      <c r="J483"/>
      <c r="K483"/>
      <c r="L483"/>
      <c r="M483"/>
      <c r="N483"/>
      <c r="O483"/>
      <c r="P483"/>
      <c r="Q483"/>
      <c r="R483"/>
      <c r="S483"/>
    </row>
    <row r="484" spans="1:19" ht="12.75">
      <c r="A484"/>
      <c r="B484"/>
      <c r="C484"/>
      <c r="D484"/>
      <c r="E484"/>
      <c r="F484"/>
      <c r="G484"/>
      <c r="H484"/>
      <c r="I484"/>
      <c r="J484"/>
      <c r="K484"/>
      <c r="L484"/>
      <c r="M484"/>
      <c r="N484"/>
      <c r="O484"/>
      <c r="P484"/>
      <c r="Q484"/>
      <c r="R484"/>
      <c r="S484"/>
    </row>
    <row r="485" spans="1:21" s="612" customFormat="1" ht="12.75">
      <c r="A485"/>
      <c r="B485"/>
      <c r="C485"/>
      <c r="D485"/>
      <c r="E485"/>
      <c r="F485"/>
      <c r="G485"/>
      <c r="H485"/>
      <c r="I485"/>
      <c r="J485"/>
      <c r="K485"/>
      <c r="L485"/>
      <c r="M485"/>
      <c r="N485"/>
      <c r="O485"/>
      <c r="P485"/>
      <c r="Q485"/>
      <c r="R485"/>
      <c r="S485"/>
      <c r="T485" s="580"/>
      <c r="U485" s="580"/>
    </row>
    <row r="486" spans="1:19" ht="12.75">
      <c r="A486"/>
      <c r="B486"/>
      <c r="C486"/>
      <c r="D486"/>
      <c r="E486"/>
      <c r="F486"/>
      <c r="G486"/>
      <c r="H486"/>
      <c r="I486"/>
      <c r="J486"/>
      <c r="K486"/>
      <c r="L486"/>
      <c r="M486"/>
      <c r="N486"/>
      <c r="O486"/>
      <c r="P486"/>
      <c r="Q486"/>
      <c r="R486"/>
      <c r="S486"/>
    </row>
    <row r="487" spans="1:19" ht="12.75">
      <c r="A487"/>
      <c r="B487"/>
      <c r="C487"/>
      <c r="D487"/>
      <c r="E487"/>
      <c r="F487"/>
      <c r="G487"/>
      <c r="H487"/>
      <c r="I487"/>
      <c r="J487"/>
      <c r="K487"/>
      <c r="L487"/>
      <c r="M487"/>
      <c r="N487"/>
      <c r="O487"/>
      <c r="P487"/>
      <c r="Q487"/>
      <c r="R487"/>
      <c r="S487"/>
    </row>
    <row r="488" spans="1:21" s="612" customFormat="1" ht="12.75">
      <c r="A488"/>
      <c r="B488"/>
      <c r="C488"/>
      <c r="D488"/>
      <c r="E488"/>
      <c r="F488"/>
      <c r="G488"/>
      <c r="H488"/>
      <c r="I488"/>
      <c r="J488"/>
      <c r="K488"/>
      <c r="L488"/>
      <c r="M488"/>
      <c r="N488"/>
      <c r="O488"/>
      <c r="P488"/>
      <c r="Q488"/>
      <c r="R488"/>
      <c r="S488"/>
      <c r="T488" s="580"/>
      <c r="U488" s="580"/>
    </row>
    <row r="489" spans="1:19" ht="12.75">
      <c r="A489"/>
      <c r="B489"/>
      <c r="C489"/>
      <c r="D489"/>
      <c r="E489"/>
      <c r="F489"/>
      <c r="G489"/>
      <c r="H489"/>
      <c r="I489"/>
      <c r="J489"/>
      <c r="K489"/>
      <c r="L489"/>
      <c r="M489"/>
      <c r="N489"/>
      <c r="O489"/>
      <c r="P489"/>
      <c r="Q489"/>
      <c r="R489"/>
      <c r="S489"/>
    </row>
    <row r="490" spans="1:19" ht="12.75">
      <c r="A490"/>
      <c r="B490"/>
      <c r="C490"/>
      <c r="D490"/>
      <c r="E490"/>
      <c r="F490"/>
      <c r="G490"/>
      <c r="H490"/>
      <c r="I490"/>
      <c r="J490"/>
      <c r="K490"/>
      <c r="L490"/>
      <c r="M490"/>
      <c r="N490"/>
      <c r="O490"/>
      <c r="P490"/>
      <c r="Q490"/>
      <c r="R490"/>
      <c r="S490"/>
    </row>
    <row r="491" spans="1:21" s="612" customFormat="1" ht="12.75">
      <c r="A491"/>
      <c r="B491"/>
      <c r="C491"/>
      <c r="D491"/>
      <c r="E491"/>
      <c r="F491"/>
      <c r="G491"/>
      <c r="H491"/>
      <c r="I491"/>
      <c r="J491"/>
      <c r="K491"/>
      <c r="L491"/>
      <c r="M491"/>
      <c r="N491"/>
      <c r="O491"/>
      <c r="P491"/>
      <c r="Q491"/>
      <c r="R491"/>
      <c r="S491"/>
      <c r="T491" s="580"/>
      <c r="U491" s="580"/>
    </row>
    <row r="492" spans="1:19" ht="12.75">
      <c r="A492"/>
      <c r="B492"/>
      <c r="C492"/>
      <c r="D492"/>
      <c r="E492"/>
      <c r="F492"/>
      <c r="G492"/>
      <c r="H492"/>
      <c r="I492"/>
      <c r="J492"/>
      <c r="K492"/>
      <c r="L492"/>
      <c r="M492"/>
      <c r="N492"/>
      <c r="O492"/>
      <c r="P492"/>
      <c r="Q492"/>
      <c r="R492"/>
      <c r="S492"/>
    </row>
    <row r="493" spans="1:19" ht="12.75">
      <c r="A493"/>
      <c r="B493"/>
      <c r="C493"/>
      <c r="D493"/>
      <c r="E493"/>
      <c r="F493"/>
      <c r="G493"/>
      <c r="H493"/>
      <c r="I493"/>
      <c r="J493"/>
      <c r="K493"/>
      <c r="L493"/>
      <c r="M493"/>
      <c r="N493"/>
      <c r="O493"/>
      <c r="P493"/>
      <c r="Q493"/>
      <c r="R493"/>
      <c r="S493"/>
    </row>
    <row r="494" spans="1:21" s="612" customFormat="1" ht="12.75">
      <c r="A494"/>
      <c r="B494"/>
      <c r="C494"/>
      <c r="D494"/>
      <c r="E494"/>
      <c r="F494"/>
      <c r="G494"/>
      <c r="H494"/>
      <c r="I494"/>
      <c r="J494"/>
      <c r="K494"/>
      <c r="L494"/>
      <c r="M494"/>
      <c r="N494"/>
      <c r="O494"/>
      <c r="P494"/>
      <c r="Q494"/>
      <c r="R494"/>
      <c r="S494"/>
      <c r="T494" s="580"/>
      <c r="U494" s="580"/>
    </row>
    <row r="495" spans="1:19" ht="12.75">
      <c r="A495"/>
      <c r="B495"/>
      <c r="C495"/>
      <c r="D495"/>
      <c r="E495"/>
      <c r="F495"/>
      <c r="G495"/>
      <c r="H495"/>
      <c r="I495"/>
      <c r="J495"/>
      <c r="K495"/>
      <c r="L495"/>
      <c r="M495"/>
      <c r="N495"/>
      <c r="O495"/>
      <c r="P495"/>
      <c r="Q495"/>
      <c r="R495"/>
      <c r="S495"/>
    </row>
    <row r="496" spans="1:19" ht="12.75">
      <c r="A496"/>
      <c r="B496"/>
      <c r="C496"/>
      <c r="D496"/>
      <c r="E496"/>
      <c r="F496"/>
      <c r="G496"/>
      <c r="H496"/>
      <c r="I496"/>
      <c r="J496"/>
      <c r="K496"/>
      <c r="L496"/>
      <c r="M496"/>
      <c r="N496"/>
      <c r="O496"/>
      <c r="P496"/>
      <c r="Q496"/>
      <c r="R496"/>
      <c r="S496"/>
    </row>
    <row r="497" spans="1:21" s="612" customFormat="1" ht="12.75">
      <c r="A497"/>
      <c r="B497"/>
      <c r="C497"/>
      <c r="D497"/>
      <c r="E497"/>
      <c r="F497"/>
      <c r="G497"/>
      <c r="H497"/>
      <c r="I497"/>
      <c r="J497"/>
      <c r="K497"/>
      <c r="L497"/>
      <c r="M497"/>
      <c r="N497"/>
      <c r="O497"/>
      <c r="P497"/>
      <c r="Q497"/>
      <c r="R497"/>
      <c r="S497"/>
      <c r="T497" s="580"/>
      <c r="U497" s="580"/>
    </row>
    <row r="498" spans="1:19" ht="12.75">
      <c r="A498"/>
      <c r="B498"/>
      <c r="C498"/>
      <c r="D498"/>
      <c r="E498"/>
      <c r="F498"/>
      <c r="G498"/>
      <c r="H498"/>
      <c r="I498"/>
      <c r="J498"/>
      <c r="K498"/>
      <c r="L498"/>
      <c r="M498"/>
      <c r="N498"/>
      <c r="O498"/>
      <c r="P498"/>
      <c r="Q498"/>
      <c r="R498"/>
      <c r="S498"/>
    </row>
    <row r="499" spans="1:19" ht="12.75">
      <c r="A499"/>
      <c r="B499"/>
      <c r="C499"/>
      <c r="D499"/>
      <c r="E499"/>
      <c r="F499"/>
      <c r="G499"/>
      <c r="H499"/>
      <c r="I499"/>
      <c r="J499"/>
      <c r="K499"/>
      <c r="L499"/>
      <c r="M499"/>
      <c r="N499"/>
      <c r="O499"/>
      <c r="P499"/>
      <c r="Q499"/>
      <c r="R499"/>
      <c r="S499"/>
    </row>
    <row r="500" spans="1:21" s="612" customFormat="1" ht="12.75">
      <c r="A500"/>
      <c r="B500"/>
      <c r="C500"/>
      <c r="D500"/>
      <c r="E500"/>
      <c r="F500"/>
      <c r="G500"/>
      <c r="H500"/>
      <c r="I500"/>
      <c r="J500"/>
      <c r="K500"/>
      <c r="L500"/>
      <c r="M500"/>
      <c r="N500"/>
      <c r="O500"/>
      <c r="P500"/>
      <c r="Q500"/>
      <c r="R500"/>
      <c r="S500"/>
      <c r="T500" s="580"/>
      <c r="U500" s="580"/>
    </row>
    <row r="501" spans="1:19" ht="12.75">
      <c r="A501"/>
      <c r="B501"/>
      <c r="C501"/>
      <c r="D501"/>
      <c r="E501"/>
      <c r="F501"/>
      <c r="G501"/>
      <c r="H501"/>
      <c r="I501"/>
      <c r="J501"/>
      <c r="K501"/>
      <c r="L501"/>
      <c r="M501"/>
      <c r="N501"/>
      <c r="O501"/>
      <c r="P501"/>
      <c r="Q501"/>
      <c r="R501"/>
      <c r="S501"/>
    </row>
    <row r="502" spans="1:19" ht="12.75">
      <c r="A502"/>
      <c r="B502"/>
      <c r="C502"/>
      <c r="D502"/>
      <c r="E502"/>
      <c r="F502"/>
      <c r="G502"/>
      <c r="H502"/>
      <c r="I502"/>
      <c r="J502"/>
      <c r="K502"/>
      <c r="L502"/>
      <c r="M502"/>
      <c r="N502"/>
      <c r="O502"/>
      <c r="P502"/>
      <c r="Q502"/>
      <c r="R502"/>
      <c r="S502"/>
    </row>
    <row r="503" spans="1:21" s="612" customFormat="1" ht="12.75">
      <c r="A503"/>
      <c r="B503"/>
      <c r="C503"/>
      <c r="D503"/>
      <c r="E503"/>
      <c r="F503"/>
      <c r="G503"/>
      <c r="H503"/>
      <c r="I503"/>
      <c r="J503"/>
      <c r="K503"/>
      <c r="L503"/>
      <c r="M503"/>
      <c r="N503"/>
      <c r="O503"/>
      <c r="P503"/>
      <c r="Q503"/>
      <c r="R503"/>
      <c r="S503"/>
      <c r="T503" s="580"/>
      <c r="U503" s="580"/>
    </row>
    <row r="504" spans="1:19" ht="12.75">
      <c r="A504"/>
      <c r="B504"/>
      <c r="C504"/>
      <c r="D504"/>
      <c r="E504"/>
      <c r="F504"/>
      <c r="G504"/>
      <c r="H504"/>
      <c r="I504"/>
      <c r="J504"/>
      <c r="K504"/>
      <c r="L504"/>
      <c r="M504"/>
      <c r="N504"/>
      <c r="O504"/>
      <c r="P504"/>
      <c r="Q504"/>
      <c r="R504"/>
      <c r="S504"/>
    </row>
    <row r="505" spans="1:19" ht="12.75">
      <c r="A505"/>
      <c r="B505"/>
      <c r="C505"/>
      <c r="D505"/>
      <c r="E505"/>
      <c r="F505"/>
      <c r="G505"/>
      <c r="H505"/>
      <c r="I505"/>
      <c r="J505"/>
      <c r="K505"/>
      <c r="L505"/>
      <c r="M505"/>
      <c r="N505"/>
      <c r="O505"/>
      <c r="P505"/>
      <c r="Q505"/>
      <c r="R505"/>
      <c r="S505"/>
    </row>
    <row r="506" spans="1:21" s="612" customFormat="1" ht="12.75">
      <c r="A506"/>
      <c r="B506"/>
      <c r="C506"/>
      <c r="D506"/>
      <c r="E506"/>
      <c r="F506"/>
      <c r="G506"/>
      <c r="H506"/>
      <c r="I506"/>
      <c r="J506"/>
      <c r="K506"/>
      <c r="L506"/>
      <c r="M506"/>
      <c r="N506"/>
      <c r="O506"/>
      <c r="P506"/>
      <c r="Q506"/>
      <c r="R506"/>
      <c r="S506"/>
      <c r="T506" s="580"/>
      <c r="U506" s="580"/>
    </row>
    <row r="507" spans="1:19" ht="12.75">
      <c r="A507"/>
      <c r="B507"/>
      <c r="C507"/>
      <c r="D507"/>
      <c r="E507"/>
      <c r="F507"/>
      <c r="G507"/>
      <c r="H507"/>
      <c r="I507"/>
      <c r="J507"/>
      <c r="K507"/>
      <c r="L507"/>
      <c r="M507"/>
      <c r="N507"/>
      <c r="O507"/>
      <c r="P507"/>
      <c r="Q507"/>
      <c r="R507"/>
      <c r="S507"/>
    </row>
    <row r="508" spans="1:19" ht="12.75">
      <c r="A508"/>
      <c r="B508"/>
      <c r="C508"/>
      <c r="D508"/>
      <c r="E508"/>
      <c r="F508"/>
      <c r="G508"/>
      <c r="H508"/>
      <c r="I508"/>
      <c r="J508"/>
      <c r="K508"/>
      <c r="L508"/>
      <c r="M508"/>
      <c r="N508"/>
      <c r="O508"/>
      <c r="P508"/>
      <c r="Q508"/>
      <c r="R508"/>
      <c r="S508"/>
    </row>
    <row r="509" spans="1:21" s="613" customFormat="1" ht="12.75">
      <c r="A509"/>
      <c r="B509"/>
      <c r="C509"/>
      <c r="D509"/>
      <c r="E509"/>
      <c r="F509"/>
      <c r="G509"/>
      <c r="H509"/>
      <c r="I509"/>
      <c r="J509"/>
      <c r="K509"/>
      <c r="L509"/>
      <c r="M509"/>
      <c r="N509"/>
      <c r="O509"/>
      <c r="P509"/>
      <c r="Q509"/>
      <c r="R509"/>
      <c r="S509"/>
      <c r="T509" s="580"/>
      <c r="U509" s="580"/>
    </row>
    <row r="510" spans="1:21" s="583" customFormat="1" ht="12.75">
      <c r="A510"/>
      <c r="B510"/>
      <c r="C510"/>
      <c r="D510"/>
      <c r="E510"/>
      <c r="F510"/>
      <c r="G510"/>
      <c r="H510"/>
      <c r="I510"/>
      <c r="J510"/>
      <c r="K510"/>
      <c r="L510"/>
      <c r="M510"/>
      <c r="N510"/>
      <c r="O510"/>
      <c r="P510"/>
      <c r="Q510"/>
      <c r="R510"/>
      <c r="S510"/>
      <c r="T510" s="580"/>
      <c r="U510" s="580"/>
    </row>
    <row r="511" spans="1:19" ht="12.75">
      <c r="A511"/>
      <c r="B511"/>
      <c r="C511"/>
      <c r="D511"/>
      <c r="E511"/>
      <c r="F511"/>
      <c r="G511"/>
      <c r="H511"/>
      <c r="I511"/>
      <c r="J511"/>
      <c r="K511"/>
      <c r="L511"/>
      <c r="M511"/>
      <c r="N511"/>
      <c r="O511"/>
      <c r="P511"/>
      <c r="Q511"/>
      <c r="R511"/>
      <c r="S511"/>
    </row>
    <row r="512" spans="1:19" ht="12.75">
      <c r="A512"/>
      <c r="B512"/>
      <c r="C512"/>
      <c r="D512"/>
      <c r="E512"/>
      <c r="F512"/>
      <c r="G512"/>
      <c r="H512"/>
      <c r="I512"/>
      <c r="J512"/>
      <c r="K512"/>
      <c r="L512"/>
      <c r="M512"/>
      <c r="N512"/>
      <c r="O512"/>
      <c r="P512"/>
      <c r="Q512"/>
      <c r="R512"/>
      <c r="S512"/>
    </row>
    <row r="513" spans="1:19" ht="12.75">
      <c r="A513"/>
      <c r="B513"/>
      <c r="C513"/>
      <c r="D513"/>
      <c r="E513"/>
      <c r="F513"/>
      <c r="G513"/>
      <c r="H513"/>
      <c r="I513"/>
      <c r="J513"/>
      <c r="K513"/>
      <c r="L513"/>
      <c r="M513"/>
      <c r="N513"/>
      <c r="O513"/>
      <c r="P513"/>
      <c r="Q513"/>
      <c r="R513"/>
      <c r="S513"/>
    </row>
    <row r="514" spans="1:19" ht="12.75">
      <c r="A514"/>
      <c r="B514"/>
      <c r="C514"/>
      <c r="D514"/>
      <c r="E514"/>
      <c r="F514"/>
      <c r="G514"/>
      <c r="H514"/>
      <c r="I514"/>
      <c r="J514"/>
      <c r="K514"/>
      <c r="L514"/>
      <c r="M514"/>
      <c r="N514"/>
      <c r="O514"/>
      <c r="P514"/>
      <c r="Q514"/>
      <c r="R514"/>
      <c r="S514"/>
    </row>
    <row r="515" spans="1:19" ht="12.75">
      <c r="A515"/>
      <c r="B515"/>
      <c r="C515"/>
      <c r="D515"/>
      <c r="E515"/>
      <c r="F515"/>
      <c r="G515"/>
      <c r="H515"/>
      <c r="I515"/>
      <c r="J515"/>
      <c r="K515"/>
      <c r="L515"/>
      <c r="M515"/>
      <c r="N515"/>
      <c r="O515"/>
      <c r="P515"/>
      <c r="Q515"/>
      <c r="R515"/>
      <c r="S515"/>
    </row>
    <row r="516" spans="1:19" ht="12.75">
      <c r="A516"/>
      <c r="B516"/>
      <c r="C516"/>
      <c r="D516"/>
      <c r="E516"/>
      <c r="F516"/>
      <c r="G516"/>
      <c r="H516"/>
      <c r="I516"/>
      <c r="J516"/>
      <c r="K516"/>
      <c r="L516"/>
      <c r="M516"/>
      <c r="N516"/>
      <c r="O516"/>
      <c r="P516"/>
      <c r="Q516"/>
      <c r="R516"/>
      <c r="S516"/>
    </row>
    <row r="517" spans="1:19" ht="12.75">
      <c r="A517"/>
      <c r="B517"/>
      <c r="C517"/>
      <c r="D517"/>
      <c r="E517"/>
      <c r="F517"/>
      <c r="G517"/>
      <c r="H517"/>
      <c r="I517"/>
      <c r="J517"/>
      <c r="K517"/>
      <c r="L517"/>
      <c r="M517"/>
      <c r="N517"/>
      <c r="O517"/>
      <c r="P517"/>
      <c r="Q517"/>
      <c r="R517"/>
      <c r="S517"/>
    </row>
    <row r="518" spans="1:19" ht="12.75">
      <c r="A518"/>
      <c r="B518"/>
      <c r="C518"/>
      <c r="D518"/>
      <c r="E518"/>
      <c r="F518"/>
      <c r="G518"/>
      <c r="H518"/>
      <c r="I518"/>
      <c r="J518"/>
      <c r="K518"/>
      <c r="L518"/>
      <c r="M518"/>
      <c r="N518"/>
      <c r="O518"/>
      <c r="P518"/>
      <c r="Q518"/>
      <c r="R518"/>
      <c r="S518"/>
    </row>
    <row r="519" spans="1:19" ht="12.75">
      <c r="A519"/>
      <c r="B519"/>
      <c r="C519"/>
      <c r="D519"/>
      <c r="E519"/>
      <c r="F519"/>
      <c r="G519"/>
      <c r="H519"/>
      <c r="I519"/>
      <c r="J519"/>
      <c r="K519"/>
      <c r="L519"/>
      <c r="M519"/>
      <c r="N519"/>
      <c r="O519"/>
      <c r="P519"/>
      <c r="Q519"/>
      <c r="R519"/>
      <c r="S519"/>
    </row>
    <row r="520" spans="1:19" ht="12.75">
      <c r="A520"/>
      <c r="B520"/>
      <c r="C520"/>
      <c r="D520"/>
      <c r="E520"/>
      <c r="F520"/>
      <c r="G520"/>
      <c r="H520"/>
      <c r="I520"/>
      <c r="J520"/>
      <c r="K520"/>
      <c r="L520"/>
      <c r="M520"/>
      <c r="N520"/>
      <c r="O520"/>
      <c r="P520"/>
      <c r="Q520"/>
      <c r="R520"/>
      <c r="S520"/>
    </row>
    <row r="521" spans="1:19" ht="12.75">
      <c r="A521"/>
      <c r="B521"/>
      <c r="C521"/>
      <c r="D521"/>
      <c r="E521"/>
      <c r="F521"/>
      <c r="G521"/>
      <c r="H521"/>
      <c r="I521"/>
      <c r="J521"/>
      <c r="K521"/>
      <c r="L521"/>
      <c r="M521"/>
      <c r="N521"/>
      <c r="O521"/>
      <c r="P521"/>
      <c r="Q521"/>
      <c r="R521"/>
      <c r="S521"/>
    </row>
    <row r="522" spans="1:19" ht="12.75">
      <c r="A522"/>
      <c r="B522"/>
      <c r="C522"/>
      <c r="D522"/>
      <c r="E522"/>
      <c r="F522"/>
      <c r="G522"/>
      <c r="H522"/>
      <c r="I522"/>
      <c r="J522"/>
      <c r="K522"/>
      <c r="L522"/>
      <c r="M522"/>
      <c r="N522"/>
      <c r="O522"/>
      <c r="P522"/>
      <c r="Q522"/>
      <c r="R522"/>
      <c r="S522"/>
    </row>
    <row r="523" spans="1:19" ht="12.75">
      <c r="A523"/>
      <c r="B523"/>
      <c r="C523"/>
      <c r="D523"/>
      <c r="E523"/>
      <c r="F523"/>
      <c r="G523"/>
      <c r="H523"/>
      <c r="I523"/>
      <c r="J523"/>
      <c r="K523"/>
      <c r="L523"/>
      <c r="M523"/>
      <c r="N523"/>
      <c r="O523"/>
      <c r="P523"/>
      <c r="Q523"/>
      <c r="R523"/>
      <c r="S523"/>
    </row>
    <row r="524" spans="1:19" ht="12.75">
      <c r="A524"/>
      <c r="B524"/>
      <c r="C524"/>
      <c r="D524"/>
      <c r="E524"/>
      <c r="F524"/>
      <c r="G524"/>
      <c r="H524"/>
      <c r="I524"/>
      <c r="J524"/>
      <c r="K524"/>
      <c r="L524"/>
      <c r="M524"/>
      <c r="N524"/>
      <c r="O524"/>
      <c r="P524"/>
      <c r="Q524"/>
      <c r="R524"/>
      <c r="S524"/>
    </row>
    <row r="525" spans="1:19" ht="12.75">
      <c r="A525"/>
      <c r="B525"/>
      <c r="C525"/>
      <c r="D525"/>
      <c r="E525"/>
      <c r="F525"/>
      <c r="G525"/>
      <c r="H525"/>
      <c r="I525"/>
      <c r="J525"/>
      <c r="K525"/>
      <c r="L525"/>
      <c r="M525"/>
      <c r="N525"/>
      <c r="O525"/>
      <c r="P525"/>
      <c r="Q525"/>
      <c r="R525"/>
      <c r="S525"/>
    </row>
    <row r="526" spans="1:19" ht="12.75">
      <c r="A526"/>
      <c r="B526"/>
      <c r="C526"/>
      <c r="D526"/>
      <c r="E526"/>
      <c r="F526"/>
      <c r="G526"/>
      <c r="H526"/>
      <c r="I526"/>
      <c r="J526"/>
      <c r="K526"/>
      <c r="L526"/>
      <c r="M526"/>
      <c r="N526"/>
      <c r="O526"/>
      <c r="P526"/>
      <c r="Q526"/>
      <c r="R526"/>
      <c r="S526"/>
    </row>
    <row r="527" spans="1:19" ht="12.75">
      <c r="A527"/>
      <c r="B527"/>
      <c r="C527"/>
      <c r="D527"/>
      <c r="E527"/>
      <c r="F527"/>
      <c r="G527"/>
      <c r="H527"/>
      <c r="I527"/>
      <c r="J527"/>
      <c r="K527"/>
      <c r="L527"/>
      <c r="M527"/>
      <c r="N527"/>
      <c r="O527"/>
      <c r="P527"/>
      <c r="Q527"/>
      <c r="R527"/>
      <c r="S527"/>
    </row>
    <row r="528" spans="1:19" ht="12.75">
      <c r="A528"/>
      <c r="B528"/>
      <c r="C528"/>
      <c r="D528"/>
      <c r="E528"/>
      <c r="F528"/>
      <c r="G528"/>
      <c r="H528"/>
      <c r="I528"/>
      <c r="J528"/>
      <c r="K528"/>
      <c r="L528"/>
      <c r="M528"/>
      <c r="N528"/>
      <c r="O528"/>
      <c r="P528"/>
      <c r="Q528"/>
      <c r="R528"/>
      <c r="S528"/>
    </row>
    <row r="529" spans="1:19" ht="12.75">
      <c r="A529"/>
      <c r="B529"/>
      <c r="C529"/>
      <c r="D529"/>
      <c r="E529"/>
      <c r="F529"/>
      <c r="G529"/>
      <c r="H529"/>
      <c r="I529"/>
      <c r="J529"/>
      <c r="K529"/>
      <c r="L529"/>
      <c r="M529"/>
      <c r="N529"/>
      <c r="O529"/>
      <c r="P529"/>
      <c r="Q529"/>
      <c r="R529"/>
      <c r="S529"/>
    </row>
    <row r="530" spans="1:19" ht="12.75">
      <c r="A530"/>
      <c r="B530"/>
      <c r="C530"/>
      <c r="D530"/>
      <c r="E530"/>
      <c r="F530"/>
      <c r="G530"/>
      <c r="H530"/>
      <c r="I530"/>
      <c r="J530"/>
      <c r="K530"/>
      <c r="L530"/>
      <c r="M530"/>
      <c r="N530"/>
      <c r="O530"/>
      <c r="P530"/>
      <c r="Q530"/>
      <c r="R530"/>
      <c r="S530"/>
    </row>
    <row r="531" spans="1:19" ht="12.75">
      <c r="A531"/>
      <c r="B531"/>
      <c r="C531"/>
      <c r="D531"/>
      <c r="E531"/>
      <c r="F531"/>
      <c r="G531"/>
      <c r="H531"/>
      <c r="I531"/>
      <c r="J531"/>
      <c r="K531"/>
      <c r="L531"/>
      <c r="M531"/>
      <c r="N531"/>
      <c r="O531"/>
      <c r="P531"/>
      <c r="Q531"/>
      <c r="R531"/>
      <c r="S531"/>
    </row>
    <row r="532" spans="1:19" ht="12.75">
      <c r="A532"/>
      <c r="B532"/>
      <c r="C532"/>
      <c r="D532"/>
      <c r="E532"/>
      <c r="F532"/>
      <c r="G532"/>
      <c r="H532"/>
      <c r="I532"/>
      <c r="J532"/>
      <c r="K532"/>
      <c r="L532"/>
      <c r="M532"/>
      <c r="N532"/>
      <c r="O532"/>
      <c r="P532"/>
      <c r="Q532"/>
      <c r="R532"/>
      <c r="S532"/>
    </row>
    <row r="533" spans="1:19" ht="12.75">
      <c r="A533"/>
      <c r="B533"/>
      <c r="C533"/>
      <c r="D533"/>
      <c r="E533"/>
      <c r="F533"/>
      <c r="G533"/>
      <c r="H533"/>
      <c r="I533"/>
      <c r="J533"/>
      <c r="K533"/>
      <c r="L533"/>
      <c r="M533"/>
      <c r="N533"/>
      <c r="O533"/>
      <c r="P533"/>
      <c r="Q533"/>
      <c r="R533"/>
      <c r="S533"/>
    </row>
    <row r="534" spans="1:19" ht="12.75">
      <c r="A534"/>
      <c r="B534"/>
      <c r="C534"/>
      <c r="D534"/>
      <c r="E534"/>
      <c r="F534"/>
      <c r="G534"/>
      <c r="H534"/>
      <c r="I534"/>
      <c r="J534"/>
      <c r="K534"/>
      <c r="L534"/>
      <c r="M534"/>
      <c r="N534"/>
      <c r="O534"/>
      <c r="P534"/>
      <c r="Q534"/>
      <c r="R534"/>
      <c r="S534"/>
    </row>
    <row r="535" spans="1:19" ht="12.75">
      <c r="A535"/>
      <c r="B535"/>
      <c r="C535"/>
      <c r="D535"/>
      <c r="E535"/>
      <c r="F535"/>
      <c r="G535"/>
      <c r="H535"/>
      <c r="I535"/>
      <c r="J535"/>
      <c r="K535"/>
      <c r="L535"/>
      <c r="M535"/>
      <c r="N535"/>
      <c r="O535"/>
      <c r="P535"/>
      <c r="Q535"/>
      <c r="R535"/>
      <c r="S535"/>
    </row>
    <row r="536" spans="1:19" ht="12.75">
      <c r="A536"/>
      <c r="B536"/>
      <c r="C536"/>
      <c r="D536"/>
      <c r="E536"/>
      <c r="F536"/>
      <c r="G536"/>
      <c r="H536"/>
      <c r="I536"/>
      <c r="J536"/>
      <c r="K536"/>
      <c r="L536"/>
      <c r="M536"/>
      <c r="N536"/>
      <c r="O536"/>
      <c r="P536"/>
      <c r="Q536"/>
      <c r="R536"/>
      <c r="S536"/>
    </row>
    <row r="537" spans="1:19" ht="12.75">
      <c r="A537"/>
      <c r="B537"/>
      <c r="C537"/>
      <c r="D537"/>
      <c r="E537"/>
      <c r="F537"/>
      <c r="G537"/>
      <c r="H537"/>
      <c r="I537"/>
      <c r="J537"/>
      <c r="K537"/>
      <c r="L537"/>
      <c r="M537"/>
      <c r="N537"/>
      <c r="O537"/>
      <c r="P537"/>
      <c r="Q537"/>
      <c r="R537"/>
      <c r="S537"/>
    </row>
    <row r="538" spans="1:19" ht="12.75">
      <c r="A538"/>
      <c r="B538"/>
      <c r="C538"/>
      <c r="D538"/>
      <c r="E538"/>
      <c r="F538"/>
      <c r="G538"/>
      <c r="H538"/>
      <c r="I538"/>
      <c r="J538"/>
      <c r="K538"/>
      <c r="L538"/>
      <c r="M538"/>
      <c r="N538"/>
      <c r="O538"/>
      <c r="P538"/>
      <c r="Q538"/>
      <c r="R538"/>
      <c r="S538"/>
    </row>
    <row r="539" spans="1:19" ht="12.75">
      <c r="A539"/>
      <c r="B539"/>
      <c r="C539"/>
      <c r="D539"/>
      <c r="E539"/>
      <c r="F539"/>
      <c r="G539"/>
      <c r="H539"/>
      <c r="I539"/>
      <c r="J539"/>
      <c r="K539"/>
      <c r="L539"/>
      <c r="M539"/>
      <c r="N539"/>
      <c r="O539"/>
      <c r="P539"/>
      <c r="Q539"/>
      <c r="R539"/>
      <c r="S539"/>
    </row>
    <row r="540" spans="1:19" ht="12.75">
      <c r="A540"/>
      <c r="B540"/>
      <c r="C540"/>
      <c r="D540"/>
      <c r="E540"/>
      <c r="F540"/>
      <c r="G540"/>
      <c r="H540"/>
      <c r="I540"/>
      <c r="J540"/>
      <c r="K540"/>
      <c r="L540"/>
      <c r="M540"/>
      <c r="N540"/>
      <c r="O540"/>
      <c r="P540"/>
      <c r="Q540"/>
      <c r="R540"/>
      <c r="S540"/>
    </row>
    <row r="541" spans="1:19" ht="12.75">
      <c r="A541"/>
      <c r="B541"/>
      <c r="C541"/>
      <c r="D541"/>
      <c r="E541"/>
      <c r="F541"/>
      <c r="G541"/>
      <c r="H541"/>
      <c r="I541"/>
      <c r="J541"/>
      <c r="K541"/>
      <c r="L541"/>
      <c r="M541"/>
      <c r="N541"/>
      <c r="O541"/>
      <c r="P541"/>
      <c r="Q541"/>
      <c r="R541"/>
      <c r="S541"/>
    </row>
    <row r="542" spans="1:19" ht="12.75">
      <c r="A542"/>
      <c r="B542"/>
      <c r="C542"/>
      <c r="D542"/>
      <c r="E542"/>
      <c r="F542"/>
      <c r="G542"/>
      <c r="H542"/>
      <c r="I542"/>
      <c r="J542"/>
      <c r="K542"/>
      <c r="L542"/>
      <c r="M542"/>
      <c r="N542"/>
      <c r="O542"/>
      <c r="P542"/>
      <c r="Q542"/>
      <c r="R542"/>
      <c r="S542"/>
    </row>
    <row r="543" spans="1:19" ht="12.75">
      <c r="A543"/>
      <c r="B543"/>
      <c r="C543"/>
      <c r="D543"/>
      <c r="E543"/>
      <c r="F543"/>
      <c r="G543"/>
      <c r="H543"/>
      <c r="I543"/>
      <c r="J543"/>
      <c r="K543"/>
      <c r="L543"/>
      <c r="M543"/>
      <c r="N543"/>
      <c r="O543"/>
      <c r="P543"/>
      <c r="Q543"/>
      <c r="R543"/>
      <c r="S543"/>
    </row>
    <row r="544" spans="1:19" ht="12.75">
      <c r="A544"/>
      <c r="B544"/>
      <c r="C544"/>
      <c r="D544"/>
      <c r="E544"/>
      <c r="F544"/>
      <c r="G544"/>
      <c r="H544"/>
      <c r="I544"/>
      <c r="J544"/>
      <c r="K544"/>
      <c r="L544"/>
      <c r="M544"/>
      <c r="N544"/>
      <c r="O544"/>
      <c r="P544"/>
      <c r="Q544"/>
      <c r="R544"/>
      <c r="S544"/>
    </row>
    <row r="545" spans="1:21" s="607" customFormat="1" ht="12.75">
      <c r="A545"/>
      <c r="B545"/>
      <c r="C545"/>
      <c r="D545"/>
      <c r="E545"/>
      <c r="F545"/>
      <c r="G545"/>
      <c r="H545"/>
      <c r="I545"/>
      <c r="J545"/>
      <c r="K545"/>
      <c r="L545"/>
      <c r="M545"/>
      <c r="N545"/>
      <c r="O545"/>
      <c r="P545"/>
      <c r="Q545"/>
      <c r="R545"/>
      <c r="S545"/>
      <c r="T545" s="580"/>
      <c r="U545" s="580"/>
    </row>
    <row r="546" spans="1:19" s="583" customFormat="1" ht="12.75">
      <c r="A546"/>
      <c r="B546"/>
      <c r="C546"/>
      <c r="D546"/>
      <c r="E546"/>
      <c r="F546"/>
      <c r="G546"/>
      <c r="H546"/>
      <c r="I546"/>
      <c r="J546"/>
      <c r="K546"/>
      <c r="L546"/>
      <c r="M546"/>
      <c r="N546"/>
      <c r="O546"/>
      <c r="P546"/>
      <c r="Q546"/>
      <c r="R546"/>
      <c r="S546"/>
    </row>
    <row r="547" spans="1:19" ht="12.75">
      <c r="A547"/>
      <c r="B547"/>
      <c r="C547"/>
      <c r="D547"/>
      <c r="E547"/>
      <c r="F547"/>
      <c r="G547"/>
      <c r="H547"/>
      <c r="I547"/>
      <c r="J547"/>
      <c r="K547"/>
      <c r="L547"/>
      <c r="M547"/>
      <c r="N547"/>
      <c r="O547"/>
      <c r="P547"/>
      <c r="Q547"/>
      <c r="R547"/>
      <c r="S547"/>
    </row>
    <row r="548" spans="1:19" ht="12.75">
      <c r="A548"/>
      <c r="B548"/>
      <c r="C548"/>
      <c r="D548"/>
      <c r="E548"/>
      <c r="F548"/>
      <c r="G548"/>
      <c r="H548"/>
      <c r="I548"/>
      <c r="J548"/>
      <c r="K548"/>
      <c r="L548"/>
      <c r="M548"/>
      <c r="N548"/>
      <c r="O548"/>
      <c r="P548"/>
      <c r="Q548"/>
      <c r="R548"/>
      <c r="S548"/>
    </row>
    <row r="549" spans="1:19" ht="12.75">
      <c r="A549"/>
      <c r="B549"/>
      <c r="C549"/>
      <c r="D549"/>
      <c r="E549"/>
      <c r="F549"/>
      <c r="G549"/>
      <c r="H549"/>
      <c r="I549"/>
      <c r="J549"/>
      <c r="K549"/>
      <c r="L549"/>
      <c r="M549"/>
      <c r="N549"/>
      <c r="O549"/>
      <c r="P549"/>
      <c r="Q549"/>
      <c r="R549"/>
      <c r="S549"/>
    </row>
    <row r="550" spans="1:19" ht="12.75">
      <c r="A550"/>
      <c r="B550"/>
      <c r="C550"/>
      <c r="D550"/>
      <c r="E550"/>
      <c r="F550"/>
      <c r="G550"/>
      <c r="H550"/>
      <c r="I550"/>
      <c r="J550"/>
      <c r="K550"/>
      <c r="L550"/>
      <c r="M550"/>
      <c r="N550"/>
      <c r="O550"/>
      <c r="P550"/>
      <c r="Q550"/>
      <c r="R550"/>
      <c r="S550"/>
    </row>
    <row r="551" spans="1:19" ht="12.75">
      <c r="A551"/>
      <c r="B551"/>
      <c r="C551"/>
      <c r="D551"/>
      <c r="E551"/>
      <c r="F551"/>
      <c r="G551"/>
      <c r="H551"/>
      <c r="I551"/>
      <c r="J551"/>
      <c r="K551"/>
      <c r="L551"/>
      <c r="M551"/>
      <c r="N551"/>
      <c r="O551"/>
      <c r="P551"/>
      <c r="Q551"/>
      <c r="R551"/>
      <c r="S551"/>
    </row>
    <row r="552" spans="1:19" ht="12.75">
      <c r="A552"/>
      <c r="B552"/>
      <c r="C552"/>
      <c r="D552"/>
      <c r="E552"/>
      <c r="F552"/>
      <c r="G552"/>
      <c r="H552"/>
      <c r="I552"/>
      <c r="J552"/>
      <c r="K552"/>
      <c r="L552"/>
      <c r="M552"/>
      <c r="N552"/>
      <c r="O552"/>
      <c r="P552"/>
      <c r="Q552"/>
      <c r="R552"/>
      <c r="S552"/>
    </row>
    <row r="553" spans="1:19" ht="12.75">
      <c r="A553"/>
      <c r="B553"/>
      <c r="C553"/>
      <c r="D553"/>
      <c r="E553"/>
      <c r="F553"/>
      <c r="G553"/>
      <c r="H553"/>
      <c r="I553"/>
      <c r="J553"/>
      <c r="K553"/>
      <c r="L553"/>
      <c r="M553"/>
      <c r="N553"/>
      <c r="O553"/>
      <c r="P553"/>
      <c r="Q553"/>
      <c r="R553"/>
      <c r="S553"/>
    </row>
    <row r="554" spans="1:19" ht="12.75">
      <c r="A554"/>
      <c r="B554"/>
      <c r="C554"/>
      <c r="D554"/>
      <c r="E554"/>
      <c r="F554"/>
      <c r="G554"/>
      <c r="H554"/>
      <c r="I554"/>
      <c r="J554"/>
      <c r="K554"/>
      <c r="L554"/>
      <c r="M554"/>
      <c r="N554"/>
      <c r="O554"/>
      <c r="P554"/>
      <c r="Q554"/>
      <c r="R554"/>
      <c r="S554"/>
    </row>
    <row r="555" spans="1:19" ht="12.75">
      <c r="A555"/>
      <c r="B555"/>
      <c r="C555"/>
      <c r="D555"/>
      <c r="E555"/>
      <c r="F555"/>
      <c r="G555"/>
      <c r="H555"/>
      <c r="I555"/>
      <c r="J555"/>
      <c r="K555"/>
      <c r="L555"/>
      <c r="M555"/>
      <c r="N555"/>
      <c r="O555"/>
      <c r="P555"/>
      <c r="Q555"/>
      <c r="R555"/>
      <c r="S555"/>
    </row>
    <row r="556" spans="1:19" ht="12.75">
      <c r="A556"/>
      <c r="B556"/>
      <c r="C556"/>
      <c r="D556"/>
      <c r="E556"/>
      <c r="F556"/>
      <c r="G556"/>
      <c r="H556"/>
      <c r="I556"/>
      <c r="J556"/>
      <c r="K556"/>
      <c r="L556"/>
      <c r="M556"/>
      <c r="N556"/>
      <c r="O556"/>
      <c r="P556"/>
      <c r="Q556"/>
      <c r="R556"/>
      <c r="S556"/>
    </row>
    <row r="557" spans="1:19" ht="12.75">
      <c r="A557"/>
      <c r="B557"/>
      <c r="C557"/>
      <c r="D557"/>
      <c r="E557"/>
      <c r="F557"/>
      <c r="G557"/>
      <c r="H557"/>
      <c r="I557"/>
      <c r="J557"/>
      <c r="K557"/>
      <c r="L557"/>
      <c r="M557"/>
      <c r="N557"/>
      <c r="O557"/>
      <c r="P557"/>
      <c r="Q557"/>
      <c r="R557"/>
      <c r="S557"/>
    </row>
    <row r="558" spans="1:19" ht="12.75">
      <c r="A558"/>
      <c r="B558"/>
      <c r="C558"/>
      <c r="D558"/>
      <c r="E558"/>
      <c r="F558"/>
      <c r="G558"/>
      <c r="H558"/>
      <c r="I558"/>
      <c r="J558"/>
      <c r="K558"/>
      <c r="L558"/>
      <c r="M558"/>
      <c r="N558"/>
      <c r="O558"/>
      <c r="P558"/>
      <c r="Q558"/>
      <c r="R558"/>
      <c r="S558"/>
    </row>
    <row r="559" spans="1:19" ht="12.75">
      <c r="A559"/>
      <c r="B559"/>
      <c r="C559"/>
      <c r="D559"/>
      <c r="E559"/>
      <c r="F559"/>
      <c r="G559"/>
      <c r="H559"/>
      <c r="I559"/>
      <c r="J559"/>
      <c r="K559"/>
      <c r="L559"/>
      <c r="M559"/>
      <c r="N559"/>
      <c r="O559"/>
      <c r="P559"/>
      <c r="Q559"/>
      <c r="R559"/>
      <c r="S559"/>
    </row>
    <row r="560" spans="1:19" ht="12.75">
      <c r="A560"/>
      <c r="B560"/>
      <c r="C560"/>
      <c r="D560"/>
      <c r="E560"/>
      <c r="F560"/>
      <c r="G560"/>
      <c r="H560"/>
      <c r="I560"/>
      <c r="J560"/>
      <c r="K560"/>
      <c r="L560"/>
      <c r="M560"/>
      <c r="N560"/>
      <c r="O560"/>
      <c r="P560"/>
      <c r="Q560"/>
      <c r="R560"/>
      <c r="S560"/>
    </row>
    <row r="561" spans="1:19" ht="12.75">
      <c r="A561"/>
      <c r="B561"/>
      <c r="C561"/>
      <c r="D561"/>
      <c r="E561"/>
      <c r="F561"/>
      <c r="G561"/>
      <c r="H561"/>
      <c r="I561"/>
      <c r="J561"/>
      <c r="K561"/>
      <c r="L561"/>
      <c r="M561"/>
      <c r="N561"/>
      <c r="O561"/>
      <c r="P561"/>
      <c r="Q561"/>
      <c r="R561"/>
      <c r="S561"/>
    </row>
    <row r="562" spans="1:19" ht="12.75">
      <c r="A562"/>
      <c r="B562"/>
      <c r="C562"/>
      <c r="D562"/>
      <c r="E562"/>
      <c r="F562"/>
      <c r="G562"/>
      <c r="H562"/>
      <c r="I562"/>
      <c r="J562"/>
      <c r="K562"/>
      <c r="L562"/>
      <c r="M562"/>
      <c r="N562"/>
      <c r="O562"/>
      <c r="P562"/>
      <c r="Q562"/>
      <c r="R562"/>
      <c r="S562"/>
    </row>
    <row r="563" spans="1:19" ht="12.75">
      <c r="A563"/>
      <c r="B563"/>
      <c r="C563"/>
      <c r="D563"/>
      <c r="E563"/>
      <c r="F563"/>
      <c r="G563"/>
      <c r="H563"/>
      <c r="I563"/>
      <c r="J563"/>
      <c r="K563"/>
      <c r="L563"/>
      <c r="M563"/>
      <c r="N563"/>
      <c r="O563"/>
      <c r="P563"/>
      <c r="Q563"/>
      <c r="R563"/>
      <c r="S563"/>
    </row>
    <row r="564" spans="1:19" ht="12.75">
      <c r="A564"/>
      <c r="B564"/>
      <c r="C564"/>
      <c r="D564"/>
      <c r="E564"/>
      <c r="F564"/>
      <c r="G564"/>
      <c r="H564"/>
      <c r="I564"/>
      <c r="J564"/>
      <c r="K564"/>
      <c r="L564"/>
      <c r="M564"/>
      <c r="N564"/>
      <c r="O564"/>
      <c r="P564"/>
      <c r="Q564"/>
      <c r="R564"/>
      <c r="S564"/>
    </row>
    <row r="565" spans="1:19" ht="12.75">
      <c r="A565"/>
      <c r="B565"/>
      <c r="C565"/>
      <c r="D565"/>
      <c r="E565"/>
      <c r="F565"/>
      <c r="G565"/>
      <c r="H565"/>
      <c r="I565"/>
      <c r="J565"/>
      <c r="K565"/>
      <c r="L565"/>
      <c r="M565"/>
      <c r="N565"/>
      <c r="O565"/>
      <c r="P565"/>
      <c r="Q565"/>
      <c r="R565"/>
      <c r="S565"/>
    </row>
    <row r="566" spans="1:19" ht="12.75">
      <c r="A566"/>
      <c r="B566"/>
      <c r="C566"/>
      <c r="D566"/>
      <c r="E566"/>
      <c r="F566"/>
      <c r="G566"/>
      <c r="H566"/>
      <c r="I566"/>
      <c r="J566"/>
      <c r="K566"/>
      <c r="L566"/>
      <c r="M566"/>
      <c r="N566"/>
      <c r="O566"/>
      <c r="P566"/>
      <c r="Q566"/>
      <c r="R566"/>
      <c r="S566"/>
    </row>
    <row r="567" spans="1:19" ht="12.75">
      <c r="A567"/>
      <c r="B567"/>
      <c r="C567"/>
      <c r="D567"/>
      <c r="E567"/>
      <c r="F567"/>
      <c r="G567"/>
      <c r="H567"/>
      <c r="I567"/>
      <c r="J567"/>
      <c r="K567"/>
      <c r="L567"/>
      <c r="M567"/>
      <c r="N567"/>
      <c r="O567"/>
      <c r="P567"/>
      <c r="Q567"/>
      <c r="R567"/>
      <c r="S567"/>
    </row>
    <row r="568" spans="1:19" ht="12.75">
      <c r="A568"/>
      <c r="B568"/>
      <c r="C568"/>
      <c r="D568"/>
      <c r="E568"/>
      <c r="F568"/>
      <c r="G568"/>
      <c r="H568"/>
      <c r="I568"/>
      <c r="J568"/>
      <c r="K568"/>
      <c r="L568"/>
      <c r="M568"/>
      <c r="N568"/>
      <c r="O568"/>
      <c r="P568"/>
      <c r="Q568"/>
      <c r="R568"/>
      <c r="S568"/>
    </row>
    <row r="569" spans="1:19" ht="12.75">
      <c r="A569"/>
      <c r="B569"/>
      <c r="C569"/>
      <c r="D569"/>
      <c r="E569"/>
      <c r="F569"/>
      <c r="G569"/>
      <c r="H569"/>
      <c r="I569"/>
      <c r="J569"/>
      <c r="K569"/>
      <c r="L569"/>
      <c r="M569"/>
      <c r="N569"/>
      <c r="O569"/>
      <c r="P569"/>
      <c r="Q569"/>
      <c r="R569"/>
      <c r="S569"/>
    </row>
    <row r="570" spans="1:19" ht="12.75">
      <c r="A570"/>
      <c r="B570"/>
      <c r="C570"/>
      <c r="D570"/>
      <c r="E570"/>
      <c r="F570"/>
      <c r="G570"/>
      <c r="H570"/>
      <c r="I570"/>
      <c r="J570"/>
      <c r="K570"/>
      <c r="L570"/>
      <c r="M570"/>
      <c r="N570"/>
      <c r="O570"/>
      <c r="P570"/>
      <c r="Q570"/>
      <c r="R570"/>
      <c r="S570"/>
    </row>
    <row r="571" spans="1:19" ht="12.75">
      <c r="A571"/>
      <c r="B571"/>
      <c r="C571"/>
      <c r="D571"/>
      <c r="E571"/>
      <c r="F571"/>
      <c r="G571"/>
      <c r="H571"/>
      <c r="I571"/>
      <c r="J571"/>
      <c r="K571"/>
      <c r="L571"/>
      <c r="M571"/>
      <c r="N571"/>
      <c r="O571"/>
      <c r="P571"/>
      <c r="Q571"/>
      <c r="R571"/>
      <c r="S571"/>
    </row>
    <row r="572" spans="1:19" ht="12.75">
      <c r="A572"/>
      <c r="B572"/>
      <c r="C572"/>
      <c r="D572"/>
      <c r="E572"/>
      <c r="F572"/>
      <c r="G572"/>
      <c r="H572"/>
      <c r="I572"/>
      <c r="J572"/>
      <c r="K572"/>
      <c r="L572"/>
      <c r="M572"/>
      <c r="N572"/>
      <c r="O572"/>
      <c r="P572"/>
      <c r="Q572"/>
      <c r="R572"/>
      <c r="S572"/>
    </row>
    <row r="573" spans="1:19" ht="12.75">
      <c r="A573"/>
      <c r="B573"/>
      <c r="C573"/>
      <c r="D573"/>
      <c r="E573"/>
      <c r="F573"/>
      <c r="G573"/>
      <c r="H573"/>
      <c r="I573"/>
      <c r="J573"/>
      <c r="K573"/>
      <c r="L573"/>
      <c r="M573"/>
      <c r="N573"/>
      <c r="O573"/>
      <c r="P573"/>
      <c r="Q573"/>
      <c r="R573"/>
      <c r="S573"/>
    </row>
    <row r="574" spans="1:19" ht="12.75">
      <c r="A574"/>
      <c r="B574"/>
      <c r="C574"/>
      <c r="D574"/>
      <c r="E574"/>
      <c r="F574"/>
      <c r="G574"/>
      <c r="H574"/>
      <c r="I574"/>
      <c r="J574"/>
      <c r="K574"/>
      <c r="L574"/>
      <c r="M574"/>
      <c r="N574"/>
      <c r="O574"/>
      <c r="P574"/>
      <c r="Q574"/>
      <c r="R574"/>
      <c r="S574"/>
    </row>
    <row r="575" spans="1:19" ht="12.75">
      <c r="A575"/>
      <c r="B575"/>
      <c r="C575"/>
      <c r="D575"/>
      <c r="E575"/>
      <c r="F575"/>
      <c r="G575"/>
      <c r="H575"/>
      <c r="I575"/>
      <c r="J575"/>
      <c r="K575"/>
      <c r="L575"/>
      <c r="M575"/>
      <c r="N575"/>
      <c r="O575"/>
      <c r="P575"/>
      <c r="Q575"/>
      <c r="R575"/>
      <c r="S575"/>
    </row>
    <row r="576" spans="1:19" ht="12.75">
      <c r="A576"/>
      <c r="B576"/>
      <c r="C576"/>
      <c r="D576"/>
      <c r="E576"/>
      <c r="F576"/>
      <c r="G576"/>
      <c r="H576"/>
      <c r="I576"/>
      <c r="J576"/>
      <c r="K576"/>
      <c r="L576"/>
      <c r="M576"/>
      <c r="N576"/>
      <c r="O576"/>
      <c r="P576"/>
      <c r="Q576"/>
      <c r="R576"/>
      <c r="S576"/>
    </row>
    <row r="577" spans="1:19" ht="12.75">
      <c r="A577"/>
      <c r="B577"/>
      <c r="C577"/>
      <c r="D577"/>
      <c r="E577"/>
      <c r="F577"/>
      <c r="G577"/>
      <c r="H577"/>
      <c r="I577"/>
      <c r="J577"/>
      <c r="K577"/>
      <c r="L577"/>
      <c r="M577"/>
      <c r="N577"/>
      <c r="O577"/>
      <c r="P577"/>
      <c r="Q577"/>
      <c r="R577"/>
      <c r="S577"/>
    </row>
    <row r="578" spans="1:19" ht="12.75">
      <c r="A578"/>
      <c r="B578"/>
      <c r="C578"/>
      <c r="D578"/>
      <c r="E578"/>
      <c r="F578"/>
      <c r="G578"/>
      <c r="H578"/>
      <c r="I578"/>
      <c r="J578"/>
      <c r="K578"/>
      <c r="L578"/>
      <c r="M578"/>
      <c r="N578"/>
      <c r="O578"/>
      <c r="P578"/>
      <c r="Q578"/>
      <c r="R578"/>
      <c r="S578"/>
    </row>
    <row r="579" spans="1:19" ht="12.75">
      <c r="A579"/>
      <c r="B579"/>
      <c r="C579"/>
      <c r="D579"/>
      <c r="E579"/>
      <c r="F579"/>
      <c r="G579"/>
      <c r="H579"/>
      <c r="I579"/>
      <c r="J579"/>
      <c r="K579"/>
      <c r="L579"/>
      <c r="M579"/>
      <c r="N579"/>
      <c r="O579"/>
      <c r="P579"/>
      <c r="Q579"/>
      <c r="R579"/>
      <c r="S579"/>
    </row>
    <row r="580" spans="1:19" ht="12.75">
      <c r="A580"/>
      <c r="B580"/>
      <c r="C580"/>
      <c r="D580"/>
      <c r="E580"/>
      <c r="F580"/>
      <c r="G580"/>
      <c r="H580"/>
      <c r="I580"/>
      <c r="J580"/>
      <c r="K580"/>
      <c r="L580"/>
      <c r="M580"/>
      <c r="N580"/>
      <c r="O580"/>
      <c r="P580"/>
      <c r="Q580"/>
      <c r="R580"/>
      <c r="S580"/>
    </row>
    <row r="581" spans="1:19" s="607" customFormat="1" ht="12.75">
      <c r="A581"/>
      <c r="B581"/>
      <c r="C581"/>
      <c r="D581"/>
      <c r="E581"/>
      <c r="F581"/>
      <c r="G581"/>
      <c r="H581"/>
      <c r="I581"/>
      <c r="J581"/>
      <c r="K581"/>
      <c r="L581"/>
      <c r="M581"/>
      <c r="N581"/>
      <c r="O581"/>
      <c r="P581"/>
      <c r="Q581"/>
      <c r="R581"/>
      <c r="S581"/>
    </row>
    <row r="582" spans="1:19" ht="12.75">
      <c r="A582"/>
      <c r="B582"/>
      <c r="C582"/>
      <c r="D582"/>
      <c r="E582"/>
      <c r="F582"/>
      <c r="G582"/>
      <c r="H582"/>
      <c r="I582"/>
      <c r="J582"/>
      <c r="K582"/>
      <c r="L582"/>
      <c r="M582"/>
      <c r="N582"/>
      <c r="O582"/>
      <c r="P582"/>
      <c r="Q582"/>
      <c r="R582"/>
      <c r="S582"/>
    </row>
    <row r="583" spans="1:19" ht="12.75">
      <c r="A583"/>
      <c r="B583"/>
      <c r="C583"/>
      <c r="D583"/>
      <c r="E583"/>
      <c r="F583"/>
      <c r="G583"/>
      <c r="H583"/>
      <c r="I583"/>
      <c r="J583"/>
      <c r="K583"/>
      <c r="L583"/>
      <c r="M583"/>
      <c r="N583"/>
      <c r="O583"/>
      <c r="P583"/>
      <c r="Q583"/>
      <c r="R583"/>
      <c r="S583"/>
    </row>
    <row r="584" spans="1:19" ht="12.75">
      <c r="A584"/>
      <c r="B584"/>
      <c r="C584"/>
      <c r="D584"/>
      <c r="E584"/>
      <c r="F584"/>
      <c r="G584"/>
      <c r="H584"/>
      <c r="I584"/>
      <c r="J584"/>
      <c r="K584"/>
      <c r="L584"/>
      <c r="M584"/>
      <c r="N584"/>
      <c r="O584"/>
      <c r="P584"/>
      <c r="Q584"/>
      <c r="R584"/>
      <c r="S584"/>
    </row>
    <row r="585" spans="1:19" ht="12.75">
      <c r="A585"/>
      <c r="B585"/>
      <c r="C585"/>
      <c r="D585"/>
      <c r="E585"/>
      <c r="F585"/>
      <c r="G585"/>
      <c r="H585"/>
      <c r="I585"/>
      <c r="J585"/>
      <c r="K585"/>
      <c r="L585"/>
      <c r="M585"/>
      <c r="N585"/>
      <c r="O585"/>
      <c r="P585"/>
      <c r="Q585"/>
      <c r="R585"/>
      <c r="S585"/>
    </row>
    <row r="586" spans="1:19" ht="12.75">
      <c r="A586"/>
      <c r="B586"/>
      <c r="C586"/>
      <c r="D586"/>
      <c r="E586"/>
      <c r="F586"/>
      <c r="G586"/>
      <c r="H586"/>
      <c r="I586"/>
      <c r="J586"/>
      <c r="K586"/>
      <c r="L586"/>
      <c r="M586"/>
      <c r="N586"/>
      <c r="O586"/>
      <c r="P586"/>
      <c r="Q586"/>
      <c r="R586"/>
      <c r="S586"/>
    </row>
    <row r="587" spans="1:19" ht="12.75">
      <c r="A587"/>
      <c r="B587"/>
      <c r="C587"/>
      <c r="D587"/>
      <c r="E587"/>
      <c r="F587"/>
      <c r="G587"/>
      <c r="H587"/>
      <c r="I587"/>
      <c r="J587"/>
      <c r="K587"/>
      <c r="L587"/>
      <c r="M587"/>
      <c r="N587"/>
      <c r="O587"/>
      <c r="P587"/>
      <c r="Q587"/>
      <c r="R587"/>
      <c r="S587"/>
    </row>
    <row r="588" spans="1:19" ht="12.75">
      <c r="A588"/>
      <c r="B588"/>
      <c r="C588"/>
      <c r="D588"/>
      <c r="E588"/>
      <c r="F588"/>
      <c r="G588"/>
      <c r="H588"/>
      <c r="I588"/>
      <c r="J588"/>
      <c r="K588"/>
      <c r="L588"/>
      <c r="M588"/>
      <c r="N588"/>
      <c r="O588"/>
      <c r="P588"/>
      <c r="Q588"/>
      <c r="R588"/>
      <c r="S588"/>
    </row>
    <row r="589" spans="1:19" ht="12.75">
      <c r="A589"/>
      <c r="B589"/>
      <c r="C589"/>
      <c r="D589"/>
      <c r="E589"/>
      <c r="F589"/>
      <c r="G589"/>
      <c r="H589"/>
      <c r="I589"/>
      <c r="J589"/>
      <c r="K589"/>
      <c r="L589"/>
      <c r="M589"/>
      <c r="N589"/>
      <c r="O589"/>
      <c r="P589"/>
      <c r="Q589"/>
      <c r="R589"/>
      <c r="S589"/>
    </row>
    <row r="590" spans="1:19" ht="12.75">
      <c r="A590"/>
      <c r="B590"/>
      <c r="C590"/>
      <c r="D590"/>
      <c r="E590"/>
      <c r="F590"/>
      <c r="G590"/>
      <c r="H590"/>
      <c r="I590"/>
      <c r="J590"/>
      <c r="K590"/>
      <c r="L590"/>
      <c r="M590"/>
      <c r="N590"/>
      <c r="O590"/>
      <c r="P590"/>
      <c r="Q590"/>
      <c r="R590"/>
      <c r="S590"/>
    </row>
    <row r="591" spans="1:19" ht="12.75">
      <c r="A591"/>
      <c r="B591"/>
      <c r="C591"/>
      <c r="D591"/>
      <c r="E591"/>
      <c r="F591"/>
      <c r="G591"/>
      <c r="H591"/>
      <c r="I591"/>
      <c r="J591"/>
      <c r="K591"/>
      <c r="L591"/>
      <c r="M591"/>
      <c r="N591"/>
      <c r="O591"/>
      <c r="P591"/>
      <c r="Q591"/>
      <c r="R591"/>
      <c r="S591"/>
    </row>
    <row r="592" spans="1:19" ht="12.75">
      <c r="A592"/>
      <c r="B592"/>
      <c r="C592"/>
      <c r="D592"/>
      <c r="E592"/>
      <c r="F592"/>
      <c r="G592"/>
      <c r="H592"/>
      <c r="I592"/>
      <c r="J592"/>
      <c r="K592"/>
      <c r="L592"/>
      <c r="M592"/>
      <c r="N592"/>
      <c r="O592"/>
      <c r="P592"/>
      <c r="Q592"/>
      <c r="R592"/>
      <c r="S592"/>
    </row>
    <row r="593" spans="1:19" ht="12.75">
      <c r="A593"/>
      <c r="B593"/>
      <c r="C593"/>
      <c r="D593"/>
      <c r="E593"/>
      <c r="F593"/>
      <c r="G593"/>
      <c r="H593"/>
      <c r="I593"/>
      <c r="J593"/>
      <c r="K593"/>
      <c r="L593"/>
      <c r="M593"/>
      <c r="N593"/>
      <c r="O593"/>
      <c r="P593"/>
      <c r="Q593"/>
      <c r="R593"/>
      <c r="S593"/>
    </row>
    <row r="594" spans="1:19" ht="12.75">
      <c r="A594"/>
      <c r="B594"/>
      <c r="C594"/>
      <c r="D594"/>
      <c r="E594"/>
      <c r="F594"/>
      <c r="G594"/>
      <c r="H594"/>
      <c r="I594"/>
      <c r="J594"/>
      <c r="K594"/>
      <c r="L594"/>
      <c r="M594"/>
      <c r="N594"/>
      <c r="O594"/>
      <c r="P594"/>
      <c r="Q594"/>
      <c r="R594"/>
      <c r="S594"/>
    </row>
    <row r="595" spans="1:19" ht="12.75">
      <c r="A595"/>
      <c r="B595"/>
      <c r="C595"/>
      <c r="D595"/>
      <c r="E595"/>
      <c r="F595"/>
      <c r="G595"/>
      <c r="H595"/>
      <c r="I595"/>
      <c r="J595"/>
      <c r="K595"/>
      <c r="L595"/>
      <c r="M595"/>
      <c r="N595"/>
      <c r="O595"/>
      <c r="P595"/>
      <c r="Q595"/>
      <c r="R595"/>
      <c r="S595"/>
    </row>
    <row r="596" spans="1:19" ht="12.75">
      <c r="A596"/>
      <c r="B596"/>
      <c r="C596"/>
      <c r="D596"/>
      <c r="E596"/>
      <c r="F596"/>
      <c r="G596"/>
      <c r="H596"/>
      <c r="I596"/>
      <c r="J596"/>
      <c r="K596"/>
      <c r="L596"/>
      <c r="M596"/>
      <c r="N596"/>
      <c r="O596"/>
      <c r="P596"/>
      <c r="Q596"/>
      <c r="R596"/>
      <c r="S596"/>
    </row>
    <row r="597" spans="1:19" ht="12.75">
      <c r="A597"/>
      <c r="B597"/>
      <c r="C597"/>
      <c r="D597"/>
      <c r="E597"/>
      <c r="F597"/>
      <c r="G597"/>
      <c r="H597"/>
      <c r="I597"/>
      <c r="J597"/>
      <c r="K597"/>
      <c r="L597"/>
      <c r="M597"/>
      <c r="N597"/>
      <c r="O597"/>
      <c r="P597"/>
      <c r="Q597"/>
      <c r="R597"/>
      <c r="S597"/>
    </row>
    <row r="598" spans="1:19" ht="12.75">
      <c r="A598"/>
      <c r="B598"/>
      <c r="C598"/>
      <c r="D598"/>
      <c r="E598"/>
      <c r="F598"/>
      <c r="G598"/>
      <c r="H598"/>
      <c r="I598"/>
      <c r="J598"/>
      <c r="K598"/>
      <c r="L598"/>
      <c r="M598"/>
      <c r="N598"/>
      <c r="O598"/>
      <c r="P598"/>
      <c r="Q598"/>
      <c r="R598"/>
      <c r="S598"/>
    </row>
    <row r="599" spans="1:19" ht="12.75">
      <c r="A599"/>
      <c r="B599"/>
      <c r="C599"/>
      <c r="D599"/>
      <c r="E599"/>
      <c r="F599"/>
      <c r="G599"/>
      <c r="H599"/>
      <c r="I599"/>
      <c r="J599"/>
      <c r="K599"/>
      <c r="L599"/>
      <c r="M599"/>
      <c r="N599"/>
      <c r="O599"/>
      <c r="P599"/>
      <c r="Q599"/>
      <c r="R599"/>
      <c r="S599"/>
    </row>
    <row r="600" spans="1:19" ht="12.75">
      <c r="A600"/>
      <c r="B600"/>
      <c r="C600"/>
      <c r="D600"/>
      <c r="E600"/>
      <c r="F600"/>
      <c r="G600"/>
      <c r="H600"/>
      <c r="I600"/>
      <c r="J600"/>
      <c r="K600"/>
      <c r="L600"/>
      <c r="M600"/>
      <c r="N600"/>
      <c r="O600"/>
      <c r="P600"/>
      <c r="Q600"/>
      <c r="R600"/>
      <c r="S600"/>
    </row>
    <row r="601" spans="1:19" ht="12.75">
      <c r="A601"/>
      <c r="B601"/>
      <c r="C601"/>
      <c r="D601"/>
      <c r="E601"/>
      <c r="F601"/>
      <c r="G601"/>
      <c r="H601"/>
      <c r="I601"/>
      <c r="J601"/>
      <c r="K601"/>
      <c r="L601"/>
      <c r="M601"/>
      <c r="N601"/>
      <c r="O601"/>
      <c r="P601"/>
      <c r="Q601"/>
      <c r="R601"/>
      <c r="S601"/>
    </row>
    <row r="602" spans="1:19" ht="12.75">
      <c r="A602"/>
      <c r="B602"/>
      <c r="C602"/>
      <c r="D602"/>
      <c r="E602"/>
      <c r="F602"/>
      <c r="G602"/>
      <c r="H602"/>
      <c r="I602"/>
      <c r="J602"/>
      <c r="K602"/>
      <c r="L602"/>
      <c r="M602"/>
      <c r="N602"/>
      <c r="O602"/>
      <c r="P602"/>
      <c r="Q602"/>
      <c r="R602"/>
      <c r="S602"/>
    </row>
    <row r="603" spans="1:19" ht="12.75">
      <c r="A603"/>
      <c r="B603"/>
      <c r="C603"/>
      <c r="D603"/>
      <c r="E603"/>
      <c r="F603"/>
      <c r="G603"/>
      <c r="H603"/>
      <c r="I603"/>
      <c r="J603"/>
      <c r="K603"/>
      <c r="L603"/>
      <c r="M603"/>
      <c r="N603"/>
      <c r="O603"/>
      <c r="P603"/>
      <c r="Q603"/>
      <c r="R603"/>
      <c r="S603"/>
    </row>
    <row r="604" spans="1:19" ht="12.75">
      <c r="A604"/>
      <c r="B604"/>
      <c r="C604"/>
      <c r="D604"/>
      <c r="E604"/>
      <c r="F604"/>
      <c r="G604"/>
      <c r="H604"/>
      <c r="I604"/>
      <c r="J604"/>
      <c r="K604"/>
      <c r="L604"/>
      <c r="M604"/>
      <c r="N604"/>
      <c r="O604"/>
      <c r="P604"/>
      <c r="Q604"/>
      <c r="R604"/>
      <c r="S604"/>
    </row>
    <row r="605" spans="1:19" ht="12.75">
      <c r="A605"/>
      <c r="B605"/>
      <c r="C605"/>
      <c r="D605"/>
      <c r="E605"/>
      <c r="F605"/>
      <c r="G605"/>
      <c r="H605"/>
      <c r="I605"/>
      <c r="J605"/>
      <c r="K605"/>
      <c r="L605"/>
      <c r="M605"/>
      <c r="N605"/>
      <c r="O605"/>
      <c r="P605"/>
      <c r="Q605"/>
      <c r="R605"/>
      <c r="S605"/>
    </row>
    <row r="606" spans="1:19" ht="12.75">
      <c r="A606"/>
      <c r="B606"/>
      <c r="C606"/>
      <c r="D606"/>
      <c r="E606"/>
      <c r="F606"/>
      <c r="G606"/>
      <c r="H606"/>
      <c r="I606"/>
      <c r="J606"/>
      <c r="K606"/>
      <c r="L606"/>
      <c r="M606"/>
      <c r="N606"/>
      <c r="O606"/>
      <c r="P606"/>
      <c r="Q606"/>
      <c r="R606"/>
      <c r="S606"/>
    </row>
    <row r="607" spans="1:19" ht="12.75">
      <c r="A607"/>
      <c r="B607"/>
      <c r="C607"/>
      <c r="D607"/>
      <c r="E607"/>
      <c r="F607"/>
      <c r="G607"/>
      <c r="H607"/>
      <c r="I607"/>
      <c r="J607"/>
      <c r="K607"/>
      <c r="L607"/>
      <c r="M607"/>
      <c r="N607"/>
      <c r="O607"/>
      <c r="P607"/>
      <c r="Q607"/>
      <c r="R607"/>
      <c r="S607"/>
    </row>
    <row r="608" spans="1:19" ht="12.75">
      <c r="A608"/>
      <c r="B608"/>
      <c r="C608"/>
      <c r="D608"/>
      <c r="E608"/>
      <c r="F608"/>
      <c r="G608"/>
      <c r="H608"/>
      <c r="I608"/>
      <c r="J608"/>
      <c r="K608"/>
      <c r="L608"/>
      <c r="M608"/>
      <c r="N608"/>
      <c r="O608"/>
      <c r="P608"/>
      <c r="Q608"/>
      <c r="R608"/>
      <c r="S608"/>
    </row>
    <row r="609" spans="1:19" ht="12.75">
      <c r="A609"/>
      <c r="B609"/>
      <c r="C609"/>
      <c r="D609"/>
      <c r="E609"/>
      <c r="F609"/>
      <c r="G609"/>
      <c r="H609"/>
      <c r="I609"/>
      <c r="J609"/>
      <c r="K609"/>
      <c r="L609"/>
      <c r="M609"/>
      <c r="N609"/>
      <c r="O609"/>
      <c r="P609"/>
      <c r="Q609"/>
      <c r="R609"/>
      <c r="S609"/>
    </row>
    <row r="610" spans="1:19" ht="12.75">
      <c r="A610"/>
      <c r="B610"/>
      <c r="C610"/>
      <c r="D610"/>
      <c r="E610"/>
      <c r="F610"/>
      <c r="G610"/>
      <c r="H610"/>
      <c r="I610"/>
      <c r="J610"/>
      <c r="K610"/>
      <c r="L610"/>
      <c r="M610"/>
      <c r="N610"/>
      <c r="O610"/>
      <c r="P610"/>
      <c r="Q610"/>
      <c r="R610"/>
      <c r="S610"/>
    </row>
    <row r="611" spans="1:19" ht="12.75">
      <c r="A611"/>
      <c r="B611"/>
      <c r="C611"/>
      <c r="D611"/>
      <c r="E611"/>
      <c r="F611"/>
      <c r="G611"/>
      <c r="H611"/>
      <c r="I611"/>
      <c r="J611"/>
      <c r="K611"/>
      <c r="L611"/>
      <c r="M611"/>
      <c r="N611"/>
      <c r="O611"/>
      <c r="P611"/>
      <c r="Q611"/>
      <c r="R611"/>
      <c r="S611"/>
    </row>
    <row r="612" spans="1:19" ht="12.75">
      <c r="A612"/>
      <c r="B612"/>
      <c r="C612"/>
      <c r="D612"/>
      <c r="E612"/>
      <c r="F612"/>
      <c r="G612"/>
      <c r="H612"/>
      <c r="I612"/>
      <c r="J612"/>
      <c r="K612"/>
      <c r="L612"/>
      <c r="M612"/>
      <c r="N612"/>
      <c r="O612"/>
      <c r="P612"/>
      <c r="Q612"/>
      <c r="R612"/>
      <c r="S612"/>
    </row>
    <row r="613" spans="1:19" ht="12.75">
      <c r="A613"/>
      <c r="B613"/>
      <c r="C613"/>
      <c r="D613"/>
      <c r="E613"/>
      <c r="F613"/>
      <c r="G613"/>
      <c r="H613"/>
      <c r="I613"/>
      <c r="J613"/>
      <c r="K613"/>
      <c r="L613"/>
      <c r="M613"/>
      <c r="N613"/>
      <c r="O613"/>
      <c r="P613"/>
      <c r="Q613"/>
      <c r="R613"/>
      <c r="S613"/>
    </row>
    <row r="614" spans="1:19" ht="12.75">
      <c r="A614"/>
      <c r="B614"/>
      <c r="C614"/>
      <c r="D614"/>
      <c r="E614"/>
      <c r="F614"/>
      <c r="G614"/>
      <c r="H614"/>
      <c r="I614"/>
      <c r="J614"/>
      <c r="K614"/>
      <c r="L614"/>
      <c r="M614"/>
      <c r="N614"/>
      <c r="O614"/>
      <c r="P614"/>
      <c r="Q614"/>
      <c r="R614"/>
      <c r="S614"/>
    </row>
    <row r="615" spans="1:19" ht="12.75">
      <c r="A615"/>
      <c r="B615"/>
      <c r="C615"/>
      <c r="D615"/>
      <c r="E615"/>
      <c r="F615"/>
      <c r="G615"/>
      <c r="H615"/>
      <c r="I615"/>
      <c r="J615"/>
      <c r="K615"/>
      <c r="L615"/>
      <c r="M615"/>
      <c r="N615"/>
      <c r="O615"/>
      <c r="P615"/>
      <c r="Q615"/>
      <c r="R615"/>
      <c r="S615"/>
    </row>
    <row r="616" spans="1:19" ht="12.75">
      <c r="A616"/>
      <c r="B616"/>
      <c r="C616"/>
      <c r="D616"/>
      <c r="E616"/>
      <c r="F616"/>
      <c r="G616"/>
      <c r="H616"/>
      <c r="I616"/>
      <c r="J616"/>
      <c r="K616"/>
      <c r="L616"/>
      <c r="M616"/>
      <c r="N616"/>
      <c r="O616"/>
      <c r="P616"/>
      <c r="Q616"/>
      <c r="R616"/>
      <c r="S616"/>
    </row>
    <row r="617" spans="1:19" ht="12.75">
      <c r="A617"/>
      <c r="B617"/>
      <c r="C617"/>
      <c r="D617"/>
      <c r="E617"/>
      <c r="F617"/>
      <c r="G617"/>
      <c r="H617"/>
      <c r="I617"/>
      <c r="J617"/>
      <c r="K617"/>
      <c r="L617"/>
      <c r="M617"/>
      <c r="N617"/>
      <c r="O617"/>
      <c r="P617"/>
      <c r="Q617"/>
      <c r="R617"/>
      <c r="S617"/>
    </row>
    <row r="618" spans="1:19" ht="12.75">
      <c r="A618"/>
      <c r="B618"/>
      <c r="C618"/>
      <c r="D618"/>
      <c r="E618"/>
      <c r="F618"/>
      <c r="G618"/>
      <c r="H618"/>
      <c r="I618"/>
      <c r="J618"/>
      <c r="K618"/>
      <c r="L618"/>
      <c r="M618"/>
      <c r="N618"/>
      <c r="O618"/>
      <c r="P618"/>
      <c r="Q618"/>
      <c r="R618"/>
      <c r="S618"/>
    </row>
    <row r="619" spans="1:19" ht="12.75">
      <c r="A619"/>
      <c r="B619"/>
      <c r="C619"/>
      <c r="D619"/>
      <c r="E619"/>
      <c r="F619"/>
      <c r="G619"/>
      <c r="H619"/>
      <c r="I619"/>
      <c r="J619"/>
      <c r="K619"/>
      <c r="L619"/>
      <c r="M619"/>
      <c r="N619"/>
      <c r="O619"/>
      <c r="P619"/>
      <c r="Q619"/>
      <c r="R619"/>
      <c r="S619"/>
    </row>
    <row r="620" spans="1:19" ht="12.75">
      <c r="A620"/>
      <c r="B620"/>
      <c r="C620"/>
      <c r="D620"/>
      <c r="E620"/>
      <c r="F620"/>
      <c r="G620"/>
      <c r="H620"/>
      <c r="I620"/>
      <c r="J620"/>
      <c r="K620"/>
      <c r="L620"/>
      <c r="M620"/>
      <c r="N620"/>
      <c r="O620"/>
      <c r="P620"/>
      <c r="Q620"/>
      <c r="R620"/>
      <c r="S620"/>
    </row>
    <row r="621" spans="1:19" ht="12.75">
      <c r="A621"/>
      <c r="B621"/>
      <c r="C621"/>
      <c r="D621"/>
      <c r="E621"/>
      <c r="F621"/>
      <c r="G621"/>
      <c r="H621"/>
      <c r="I621"/>
      <c r="J621"/>
      <c r="K621"/>
      <c r="L621"/>
      <c r="M621"/>
      <c r="N621"/>
      <c r="O621"/>
      <c r="P621"/>
      <c r="Q621"/>
      <c r="R621"/>
      <c r="S62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7"/>
  </sheetPr>
  <dimension ref="A3:AM581"/>
  <sheetViews>
    <sheetView showGridLines="0" showZeros="0" view="pageBreakPreview" zoomScale="75" zoomScaleNormal="60" zoomScaleSheetLayoutView="75" workbookViewId="0" topLeftCell="A1">
      <pane xSplit="2" ySplit="5" topLeftCell="C434" activePane="bottomRight" state="frozen"/>
      <selection pane="topLeft" activeCell="A1" sqref="A1"/>
      <selection pane="topRight" activeCell="C1" sqref="C1"/>
      <selection pane="bottomLeft" activeCell="A6" sqref="A6"/>
      <selection pane="bottomRight" activeCell="G447" sqref="G447"/>
    </sheetView>
  </sheetViews>
  <sheetFormatPr defaultColWidth="9.140625" defaultRowHeight="12.75"/>
  <cols>
    <col min="1" max="1" width="7.8515625" style="0" customWidth="1"/>
    <col min="2" max="2" width="25.28125" style="0" customWidth="1"/>
    <col min="3" max="10" width="9.8515625" style="0" customWidth="1"/>
    <col min="11" max="14" width="9.421875" style="0" customWidth="1"/>
    <col min="19" max="19" width="8.8515625" style="0" customWidth="1"/>
    <col min="20" max="21" width="6.57421875" style="0" customWidth="1"/>
    <col min="22" max="22" width="12.00390625" style="0" bestFit="1" customWidth="1"/>
    <col min="23" max="23" width="11.57421875" style="0" bestFit="1" customWidth="1"/>
  </cols>
  <sheetData>
    <row r="3" spans="1:19" ht="12.75" hidden="1">
      <c r="A3" s="220"/>
      <c r="B3" s="221"/>
      <c r="C3" s="219" t="s">
        <v>125</v>
      </c>
      <c r="D3" s="223" t="s">
        <v>119</v>
      </c>
      <c r="E3" s="224"/>
      <c r="F3" s="224"/>
      <c r="G3" s="224"/>
      <c r="H3" s="224"/>
      <c r="I3" s="224"/>
      <c r="J3" s="224"/>
      <c r="K3" s="224"/>
      <c r="L3" s="224"/>
      <c r="M3" s="224"/>
      <c r="N3" s="224"/>
      <c r="O3" s="224"/>
      <c r="P3" s="224"/>
      <c r="Q3" s="224"/>
      <c r="R3" s="224"/>
      <c r="S3" s="225"/>
    </row>
    <row r="4" spans="1:19" ht="45" customHeight="1">
      <c r="A4" s="220"/>
      <c r="B4" s="221"/>
      <c r="C4" s="3" t="s">
        <v>121</v>
      </c>
      <c r="D4" s="4"/>
      <c r="E4" s="4"/>
      <c r="F4" s="4"/>
      <c r="G4" s="4"/>
      <c r="H4" s="4"/>
      <c r="I4" s="4"/>
      <c r="J4" s="3" t="s">
        <v>121</v>
      </c>
      <c r="K4" s="3" t="s">
        <v>126</v>
      </c>
      <c r="L4" s="4"/>
      <c r="M4" s="4"/>
      <c r="N4" s="4"/>
      <c r="O4" s="3" t="s">
        <v>126</v>
      </c>
      <c r="P4" s="3" t="s">
        <v>420</v>
      </c>
      <c r="Q4" s="4"/>
      <c r="R4" s="4"/>
      <c r="S4" s="176" t="s">
        <v>420</v>
      </c>
    </row>
    <row r="5" spans="1:19" ht="12.75">
      <c r="A5" s="222" t="s">
        <v>15</v>
      </c>
      <c r="B5" s="222" t="s">
        <v>120</v>
      </c>
      <c r="C5" s="3">
        <v>1</v>
      </c>
      <c r="D5" s="48">
        <v>2</v>
      </c>
      <c r="E5" s="48">
        <v>3</v>
      </c>
      <c r="F5" s="48">
        <v>4</v>
      </c>
      <c r="G5" s="48">
        <v>5</v>
      </c>
      <c r="H5" s="48">
        <v>6</v>
      </c>
      <c r="I5" s="48">
        <v>15</v>
      </c>
      <c r="J5" s="52"/>
      <c r="K5" s="3">
        <v>7</v>
      </c>
      <c r="L5" s="48">
        <v>8</v>
      </c>
      <c r="M5" s="48">
        <v>9</v>
      </c>
      <c r="N5" s="48">
        <v>10</v>
      </c>
      <c r="O5" s="52"/>
      <c r="P5" s="3">
        <v>12</v>
      </c>
      <c r="Q5" s="48">
        <v>13</v>
      </c>
      <c r="R5" s="48">
        <v>14</v>
      </c>
      <c r="S5" s="177"/>
    </row>
    <row r="6" spans="1:21" s="48" customFormat="1" ht="12.75">
      <c r="A6" s="50" t="s">
        <v>232</v>
      </c>
      <c r="B6" s="3" t="s">
        <v>593</v>
      </c>
      <c r="C6" s="11">
        <v>0.9876799945789868</v>
      </c>
      <c r="D6" s="12">
        <v>0</v>
      </c>
      <c r="E6" s="12">
        <v>0.9512102690028412</v>
      </c>
      <c r="F6" s="12">
        <v>0.8776962860975782</v>
      </c>
      <c r="G6" s="12">
        <v>0.9991358824800173</v>
      </c>
      <c r="H6" s="12">
        <v>0.7254497986914947</v>
      </c>
      <c r="I6" s="12">
        <v>0</v>
      </c>
      <c r="J6" s="11">
        <v>0.9539138793837969</v>
      </c>
      <c r="K6" s="11">
        <v>0</v>
      </c>
      <c r="L6" s="12">
        <v>0.8723473040749562</v>
      </c>
      <c r="M6" s="12">
        <v>0.9560662435252061</v>
      </c>
      <c r="N6" s="12">
        <v>0.7934805090004102</v>
      </c>
      <c r="O6" s="11">
        <v>0.8651283942924197</v>
      </c>
      <c r="P6" s="11">
        <v>0</v>
      </c>
      <c r="Q6" s="12">
        <v>0</v>
      </c>
      <c r="R6" s="12">
        <v>0</v>
      </c>
      <c r="S6" s="13">
        <v>0</v>
      </c>
      <c r="T6"/>
      <c r="U6"/>
    </row>
    <row r="7" spans="1:19" ht="12.75">
      <c r="A7" s="51"/>
      <c r="B7" s="5" t="s">
        <v>595</v>
      </c>
      <c r="C7" s="14">
        <v>0.9529091972362806</v>
      </c>
      <c r="D7" s="489">
        <v>0</v>
      </c>
      <c r="E7" s="489">
        <v>0.9872359127684204</v>
      </c>
      <c r="F7" s="489">
        <v>0.8586464567065378</v>
      </c>
      <c r="G7" s="489">
        <v>0.9932835634565929</v>
      </c>
      <c r="H7" s="489">
        <v>0.6312448844069001</v>
      </c>
      <c r="I7" s="489">
        <v>0</v>
      </c>
      <c r="J7" s="14">
        <v>0.916743935418735</v>
      </c>
      <c r="K7" s="14">
        <v>0</v>
      </c>
      <c r="L7" s="489">
        <v>0.8739034413351597</v>
      </c>
      <c r="M7" s="489">
        <v>0.9232729779716927</v>
      </c>
      <c r="N7" s="489">
        <v>0.8335186447162345</v>
      </c>
      <c r="O7" s="14">
        <v>0.8899838289585871</v>
      </c>
      <c r="P7" s="14">
        <v>0</v>
      </c>
      <c r="Q7" s="489">
        <v>0</v>
      </c>
      <c r="R7" s="489">
        <v>0</v>
      </c>
      <c r="S7" s="15">
        <v>0</v>
      </c>
    </row>
    <row r="8" spans="1:19" ht="12.75">
      <c r="A8" s="51"/>
      <c r="B8" s="195" t="s">
        <v>641</v>
      </c>
      <c r="C8" s="397">
        <v>-3.477079734270616</v>
      </c>
      <c r="D8" s="399">
        <v>0</v>
      </c>
      <c r="E8" s="399">
        <v>3.602564376557915</v>
      </c>
      <c r="F8" s="399">
        <v>-1.9049829391040385</v>
      </c>
      <c r="G8" s="399">
        <v>-0.5852319023424424</v>
      </c>
      <c r="H8" s="399">
        <v>-9.420491428459465</v>
      </c>
      <c r="I8" s="399">
        <v>0</v>
      </c>
      <c r="J8" s="397">
        <v>-3.7169943965061902</v>
      </c>
      <c r="K8" s="397">
        <v>0</v>
      </c>
      <c r="L8" s="399">
        <v>0.15561372602035384</v>
      </c>
      <c r="M8" s="399">
        <v>-3.279326555351336</v>
      </c>
      <c r="N8" s="534">
        <v>4.003813571582427</v>
      </c>
      <c r="O8" s="397">
        <v>2.4855434666167353</v>
      </c>
      <c r="P8" s="397">
        <v>0</v>
      </c>
      <c r="Q8" s="399">
        <v>0</v>
      </c>
      <c r="R8" s="399">
        <v>0</v>
      </c>
      <c r="S8" s="398">
        <v>0</v>
      </c>
    </row>
    <row r="9" spans="1:19" ht="12.75">
      <c r="A9" s="51"/>
      <c r="B9" s="5" t="s">
        <v>597</v>
      </c>
      <c r="C9" s="14">
        <v>0.0025252886501300666</v>
      </c>
      <c r="D9" s="489">
        <v>0</v>
      </c>
      <c r="E9" s="489">
        <v>0.012178040964314683</v>
      </c>
      <c r="F9" s="489">
        <v>0.022077773070677115</v>
      </c>
      <c r="G9" s="489">
        <v>4.9852933845156785E-05</v>
      </c>
      <c r="H9" s="489">
        <v>0.10722823351786613</v>
      </c>
      <c r="I9" s="489">
        <v>0</v>
      </c>
      <c r="J9" s="14">
        <v>0.010626345673423293</v>
      </c>
      <c r="K9" s="14">
        <v>0</v>
      </c>
      <c r="L9" s="489">
        <v>0.03571926431899679</v>
      </c>
      <c r="M9" s="489">
        <v>0.0008171007514408697</v>
      </c>
      <c r="N9" s="489">
        <v>0.017176899003495734</v>
      </c>
      <c r="O9" s="14">
        <v>0.020624500861294054</v>
      </c>
      <c r="P9" s="14">
        <v>0</v>
      </c>
      <c r="Q9" s="489">
        <v>0</v>
      </c>
      <c r="R9" s="489">
        <v>0</v>
      </c>
      <c r="S9" s="15">
        <v>0</v>
      </c>
    </row>
    <row r="10" spans="1:19" ht="12.75">
      <c r="A10" s="51"/>
      <c r="B10" s="5" t="s">
        <v>599</v>
      </c>
      <c r="C10" s="14">
        <v>0</v>
      </c>
      <c r="D10" s="489">
        <v>0</v>
      </c>
      <c r="E10" s="489">
        <v>0.00018879954440503382</v>
      </c>
      <c r="F10" s="489">
        <v>0.019601881582882837</v>
      </c>
      <c r="G10" s="489">
        <v>0</v>
      </c>
      <c r="H10" s="489">
        <v>0.13003258536284032</v>
      </c>
      <c r="I10" s="489">
        <v>0</v>
      </c>
      <c r="J10" s="14">
        <v>0.013795729721050698</v>
      </c>
      <c r="K10" s="14">
        <v>0</v>
      </c>
      <c r="L10" s="489">
        <v>0.02677587990271449</v>
      </c>
      <c r="M10" s="489">
        <v>0.014632155196153298</v>
      </c>
      <c r="N10" s="489">
        <v>0.0006814676661525771</v>
      </c>
      <c r="O10" s="14">
        <v>0.013221392493366475</v>
      </c>
      <c r="P10" s="14">
        <v>0</v>
      </c>
      <c r="Q10" s="489">
        <v>0</v>
      </c>
      <c r="R10" s="489">
        <v>0</v>
      </c>
      <c r="S10" s="15">
        <v>0</v>
      </c>
    </row>
    <row r="11" spans="1:19" ht="12.75">
      <c r="A11" s="51"/>
      <c r="B11" s="195" t="s">
        <v>649</v>
      </c>
      <c r="C11" s="397">
        <v>-0.25252886501300664</v>
      </c>
      <c r="D11" s="526">
        <v>0</v>
      </c>
      <c r="E11" s="526">
        <v>-1.198924141990965</v>
      </c>
      <c r="F11" s="526">
        <v>-0.2475891487794278</v>
      </c>
      <c r="G11" s="526">
        <v>-0.004985293384515679</v>
      </c>
      <c r="H11" s="526">
        <v>2.280435184497419</v>
      </c>
      <c r="I11" s="526">
        <v>0</v>
      </c>
      <c r="J11" s="455">
        <v>0.31693840476274043</v>
      </c>
      <c r="K11" s="455">
        <v>0</v>
      </c>
      <c r="L11" s="526">
        <v>-0.8943384416282298</v>
      </c>
      <c r="M11" s="526">
        <v>1.381505444471243</v>
      </c>
      <c r="N11" s="535">
        <v>-1.6495431337343158</v>
      </c>
      <c r="O11" s="455">
        <v>-0.7403108367927579</v>
      </c>
      <c r="P11" s="455">
        <v>0</v>
      </c>
      <c r="Q11" s="526">
        <v>0</v>
      </c>
      <c r="R11" s="526">
        <v>0</v>
      </c>
      <c r="S11" s="456">
        <v>0</v>
      </c>
    </row>
    <row r="12" spans="1:19" ht="12.75">
      <c r="A12" s="51"/>
      <c r="B12" s="5" t="s">
        <v>603</v>
      </c>
      <c r="C12" s="502">
        <v>0.004219355275888161</v>
      </c>
      <c r="D12" s="489">
        <v>0</v>
      </c>
      <c r="E12" s="489">
        <v>0.029258325170315277</v>
      </c>
      <c r="F12" s="489">
        <v>0.06772488173409588</v>
      </c>
      <c r="G12" s="489">
        <v>0.0008142645861375609</v>
      </c>
      <c r="H12" s="502">
        <v>0.16732196779063915</v>
      </c>
      <c r="I12" s="489">
        <v>0</v>
      </c>
      <c r="J12" s="14">
        <v>0.024926951373885235</v>
      </c>
      <c r="K12" s="14">
        <v>0</v>
      </c>
      <c r="L12" s="489">
        <v>0.05396892249011588</v>
      </c>
      <c r="M12" s="489">
        <v>0.02103548065465334</v>
      </c>
      <c r="N12" s="502">
        <v>0.08735941627024627</v>
      </c>
      <c r="O12" s="14">
        <v>0.057641641985787154</v>
      </c>
      <c r="P12" s="14">
        <v>0</v>
      </c>
      <c r="Q12" s="489">
        <v>0</v>
      </c>
      <c r="R12" s="489">
        <v>0</v>
      </c>
      <c r="S12" s="15">
        <v>0</v>
      </c>
    </row>
    <row r="13" spans="1:19" ht="12.75">
      <c r="A13" s="51"/>
      <c r="B13" s="5" t="s">
        <v>605</v>
      </c>
      <c r="C13" s="503">
        <v>0.04705831390017977</v>
      </c>
      <c r="D13" s="489">
        <v>0</v>
      </c>
      <c r="E13" s="489">
        <v>0.01257528768717463</v>
      </c>
      <c r="F13" s="489">
        <v>0.08980529127209537</v>
      </c>
      <c r="G13" s="489">
        <v>0.006716436543407156</v>
      </c>
      <c r="H13" s="503">
        <v>0.2387225302302596</v>
      </c>
      <c r="I13" s="489">
        <v>0</v>
      </c>
      <c r="J13" s="14">
        <v>0.05858834823646508</v>
      </c>
      <c r="K13" s="14">
        <v>0</v>
      </c>
      <c r="L13" s="489">
        <v>0.04056358502697716</v>
      </c>
      <c r="M13" s="489">
        <v>0.04840212256090058</v>
      </c>
      <c r="N13" s="503">
        <v>0.16365186965237177</v>
      </c>
      <c r="O13" s="14">
        <v>0.07761993699346044</v>
      </c>
      <c r="P13" s="14">
        <v>0</v>
      </c>
      <c r="Q13" s="489">
        <v>0</v>
      </c>
      <c r="R13" s="489">
        <v>0</v>
      </c>
      <c r="S13" s="15">
        <v>0</v>
      </c>
    </row>
    <row r="14" spans="1:19" ht="12.75">
      <c r="A14" s="51"/>
      <c r="B14" s="195" t="s">
        <v>651</v>
      </c>
      <c r="C14" s="504">
        <v>4.283895862429161</v>
      </c>
      <c r="D14" s="526">
        <v>0</v>
      </c>
      <c r="E14" s="526">
        <v>-1.6683037483140646</v>
      </c>
      <c r="F14" s="526">
        <v>2.208040953799949</v>
      </c>
      <c r="G14" s="526">
        <v>0.5902171957269595</v>
      </c>
      <c r="H14" s="527">
        <v>7.140056243962045</v>
      </c>
      <c r="I14" s="526">
        <v>0</v>
      </c>
      <c r="J14" s="455">
        <v>3.366139686257985</v>
      </c>
      <c r="K14" s="455">
        <v>0</v>
      </c>
      <c r="L14" s="526">
        <v>-1.3405337463138718</v>
      </c>
      <c r="M14" s="526">
        <v>2.736664190624724</v>
      </c>
      <c r="N14" s="536">
        <v>7.6292453382125505</v>
      </c>
      <c r="O14" s="455">
        <v>1.9978295007673286</v>
      </c>
      <c r="P14" s="455">
        <v>0</v>
      </c>
      <c r="Q14" s="526">
        <v>0</v>
      </c>
      <c r="R14" s="526">
        <v>0</v>
      </c>
      <c r="S14" s="456">
        <v>0</v>
      </c>
    </row>
    <row r="15" spans="1:19" ht="12.75">
      <c r="A15" s="51"/>
      <c r="B15" s="5" t="s">
        <v>607</v>
      </c>
      <c r="C15" s="509">
        <v>0.000262015638117252</v>
      </c>
      <c r="D15" s="489">
        <v>0</v>
      </c>
      <c r="E15" s="489">
        <v>0.0005850778552464197</v>
      </c>
      <c r="F15" s="489">
        <v>0.023505348443126458</v>
      </c>
      <c r="G15" s="489">
        <v>0</v>
      </c>
      <c r="H15" s="489">
        <v>0</v>
      </c>
      <c r="I15" s="489">
        <v>0</v>
      </c>
      <c r="J15" s="14">
        <v>0.0046616217146739905</v>
      </c>
      <c r="K15" s="14">
        <v>0</v>
      </c>
      <c r="L15" s="489">
        <v>0.0010647858416108816</v>
      </c>
      <c r="M15" s="489">
        <v>0</v>
      </c>
      <c r="N15" s="489">
        <v>0.004943529164448634</v>
      </c>
      <c r="O15" s="14">
        <v>0.00216905238553981</v>
      </c>
      <c r="P15" s="14">
        <v>0</v>
      </c>
      <c r="Q15" s="489">
        <v>0</v>
      </c>
      <c r="R15" s="489">
        <v>0</v>
      </c>
      <c r="S15" s="15">
        <v>0</v>
      </c>
    </row>
    <row r="16" spans="1:19" ht="12.75">
      <c r="A16" s="51"/>
      <c r="B16" s="5" t="s">
        <v>609</v>
      </c>
      <c r="C16" s="509">
        <v>3.2488863539553386E-05</v>
      </c>
      <c r="D16" s="489">
        <v>0</v>
      </c>
      <c r="E16" s="489">
        <v>0</v>
      </c>
      <c r="F16" s="489">
        <v>0.02373483820414136</v>
      </c>
      <c r="G16" s="489">
        <v>0</v>
      </c>
      <c r="H16" s="489">
        <v>0</v>
      </c>
      <c r="I16" s="489">
        <v>0</v>
      </c>
      <c r="J16" s="14">
        <v>0.008079383239840246</v>
      </c>
      <c r="K16" s="14">
        <v>0</v>
      </c>
      <c r="L16" s="489">
        <v>0.011042464566268765</v>
      </c>
      <c r="M16" s="489">
        <v>0.0015585237381914485</v>
      </c>
      <c r="N16" s="489">
        <v>0</v>
      </c>
      <c r="O16" s="14">
        <v>0.0029443399762371695</v>
      </c>
      <c r="P16" s="14">
        <v>0</v>
      </c>
      <c r="Q16" s="489">
        <v>0</v>
      </c>
      <c r="R16" s="489">
        <v>0</v>
      </c>
      <c r="S16" s="15">
        <v>0</v>
      </c>
    </row>
    <row r="17" spans="1:19" ht="12.75">
      <c r="A17" s="51"/>
      <c r="B17" s="195" t="s">
        <v>657</v>
      </c>
      <c r="C17" s="397">
        <v>-0.02295267745776986</v>
      </c>
      <c r="D17" s="526">
        <v>0</v>
      </c>
      <c r="E17" s="526">
        <v>-0.058507785524641975</v>
      </c>
      <c r="F17" s="526">
        <v>0.022948976101490326</v>
      </c>
      <c r="G17" s="526">
        <v>0</v>
      </c>
      <c r="H17" s="526">
        <v>0</v>
      </c>
      <c r="I17" s="526">
        <v>0</v>
      </c>
      <c r="J17" s="455">
        <v>0.3417761525166255</v>
      </c>
      <c r="K17" s="455">
        <v>0</v>
      </c>
      <c r="L17" s="526">
        <v>0.9977678724657882</v>
      </c>
      <c r="M17" s="526">
        <v>0</v>
      </c>
      <c r="N17" s="526">
        <v>-0.4943529164448634</v>
      </c>
      <c r="O17" s="455">
        <v>0.07752875906973594</v>
      </c>
      <c r="P17" s="455">
        <v>0</v>
      </c>
      <c r="Q17" s="526">
        <v>0</v>
      </c>
      <c r="R17" s="526">
        <v>0</v>
      </c>
      <c r="S17" s="456">
        <v>0</v>
      </c>
    </row>
    <row r="18" spans="1:19" ht="12.75">
      <c r="A18" s="51"/>
      <c r="B18" s="5" t="s">
        <v>611</v>
      </c>
      <c r="C18" s="14">
        <v>0.0012265042370488606</v>
      </c>
      <c r="D18" s="489">
        <v>0</v>
      </c>
      <c r="E18" s="489">
        <v>0.006768287007282446</v>
      </c>
      <c r="F18" s="489">
        <v>0</v>
      </c>
      <c r="G18" s="489">
        <v>0</v>
      </c>
      <c r="H18" s="489">
        <v>0</v>
      </c>
      <c r="I18" s="489">
        <v>0</v>
      </c>
      <c r="J18" s="14">
        <v>0.0019378938739297203</v>
      </c>
      <c r="K18" s="14">
        <v>0</v>
      </c>
      <c r="L18" s="489">
        <v>0.03689972327432027</v>
      </c>
      <c r="M18" s="489">
        <v>0.0123537851705941</v>
      </c>
      <c r="N18" s="489">
        <v>0</v>
      </c>
      <c r="O18" s="14">
        <v>0.017883639949241546</v>
      </c>
      <c r="P18" s="14">
        <v>0</v>
      </c>
      <c r="Q18" s="489">
        <v>0</v>
      </c>
      <c r="R18" s="489">
        <v>0</v>
      </c>
      <c r="S18" s="15">
        <v>0</v>
      </c>
    </row>
    <row r="19" spans="1:19" ht="12.75">
      <c r="A19" s="51"/>
      <c r="B19" s="5" t="s">
        <v>613</v>
      </c>
      <c r="C19" s="14">
        <v>0</v>
      </c>
      <c r="D19" s="489">
        <v>0</v>
      </c>
      <c r="E19" s="489">
        <v>0</v>
      </c>
      <c r="F19" s="489">
        <v>0</v>
      </c>
      <c r="G19" s="489">
        <v>0</v>
      </c>
      <c r="H19" s="489">
        <v>0</v>
      </c>
      <c r="I19" s="489">
        <v>0</v>
      </c>
      <c r="J19" s="14">
        <v>0</v>
      </c>
      <c r="K19" s="14">
        <v>0</v>
      </c>
      <c r="L19" s="489">
        <v>0.04771462916887982</v>
      </c>
      <c r="M19" s="489">
        <v>0.012134220533061991</v>
      </c>
      <c r="N19" s="489">
        <v>0.002148017965241164</v>
      </c>
      <c r="O19" s="14">
        <v>0.016230501578348856</v>
      </c>
      <c r="P19" s="14">
        <v>0</v>
      </c>
      <c r="Q19" s="489">
        <v>0</v>
      </c>
      <c r="R19" s="489">
        <v>0</v>
      </c>
      <c r="S19" s="15">
        <v>0</v>
      </c>
    </row>
    <row r="20" spans="1:19" ht="12.75">
      <c r="A20" s="51"/>
      <c r="B20" s="195" t="s">
        <v>659</v>
      </c>
      <c r="C20" s="397">
        <v>-0.12265042370488606</v>
      </c>
      <c r="D20" s="526">
        <v>0</v>
      </c>
      <c r="E20" s="526">
        <v>-0.6768287007282446</v>
      </c>
      <c r="F20" s="526">
        <v>0</v>
      </c>
      <c r="G20" s="526">
        <v>0</v>
      </c>
      <c r="H20" s="526">
        <v>0</v>
      </c>
      <c r="I20" s="526">
        <v>0</v>
      </c>
      <c r="J20" s="455">
        <v>-0.19378938739297202</v>
      </c>
      <c r="K20" s="455">
        <v>0</v>
      </c>
      <c r="L20" s="526">
        <v>1.0814905894559552</v>
      </c>
      <c r="M20" s="526">
        <v>-0.021956463753210892</v>
      </c>
      <c r="N20" s="526">
        <v>0</v>
      </c>
      <c r="O20" s="455">
        <v>-0.165313837089269</v>
      </c>
      <c r="P20" s="455">
        <v>0</v>
      </c>
      <c r="Q20" s="526">
        <v>0</v>
      </c>
      <c r="R20" s="526">
        <v>0</v>
      </c>
      <c r="S20" s="456">
        <v>0</v>
      </c>
    </row>
    <row r="21" spans="1:19" ht="12.75">
      <c r="A21" s="51"/>
      <c r="B21" s="5" t="s">
        <v>615</v>
      </c>
      <c r="C21" s="14">
        <v>0.004086841619828862</v>
      </c>
      <c r="D21" s="489">
        <v>0</v>
      </c>
      <c r="E21" s="489">
        <v>0</v>
      </c>
      <c r="F21" s="489">
        <v>0.008995710654522347</v>
      </c>
      <c r="G21" s="489">
        <v>0</v>
      </c>
      <c r="H21" s="489">
        <v>0</v>
      </c>
      <c r="I21" s="489">
        <v>0</v>
      </c>
      <c r="J21" s="14">
        <v>0.003933307980290837</v>
      </c>
      <c r="K21" s="14">
        <v>0</v>
      </c>
      <c r="L21" s="489">
        <v>0</v>
      </c>
      <c r="M21" s="489">
        <v>0</v>
      </c>
      <c r="N21" s="489">
        <v>0</v>
      </c>
      <c r="O21" s="14">
        <v>0</v>
      </c>
      <c r="P21" s="14">
        <v>0</v>
      </c>
      <c r="Q21" s="489">
        <v>0</v>
      </c>
      <c r="R21" s="489">
        <v>0</v>
      </c>
      <c r="S21" s="15">
        <v>0</v>
      </c>
    </row>
    <row r="22" spans="1:19" ht="12.75">
      <c r="A22" s="51"/>
      <c r="B22" s="5" t="s">
        <v>617</v>
      </c>
      <c r="C22" s="14">
        <v>0</v>
      </c>
      <c r="D22" s="489">
        <v>0</v>
      </c>
      <c r="E22" s="489">
        <v>0</v>
      </c>
      <c r="F22" s="489">
        <v>0.008211532234342596</v>
      </c>
      <c r="G22" s="489">
        <v>0</v>
      </c>
      <c r="H22" s="489">
        <v>0</v>
      </c>
      <c r="I22" s="489">
        <v>0</v>
      </c>
      <c r="J22" s="14">
        <v>0.002792603383908989</v>
      </c>
      <c r="K22" s="14">
        <v>0</v>
      </c>
      <c r="L22" s="489">
        <v>0</v>
      </c>
      <c r="M22" s="489">
        <v>0</v>
      </c>
      <c r="N22" s="489">
        <v>0</v>
      </c>
      <c r="O22" s="14">
        <v>0</v>
      </c>
      <c r="P22" s="14">
        <v>0</v>
      </c>
      <c r="Q22" s="489">
        <v>0</v>
      </c>
      <c r="R22" s="489">
        <v>0</v>
      </c>
      <c r="S22" s="15">
        <v>0</v>
      </c>
    </row>
    <row r="23" spans="1:19" ht="12.75">
      <c r="A23" s="51"/>
      <c r="B23" s="195" t="s">
        <v>645</v>
      </c>
      <c r="C23" s="397">
        <v>-0.40868416198288615</v>
      </c>
      <c r="D23" s="526">
        <v>0</v>
      </c>
      <c r="E23" s="526">
        <v>0</v>
      </c>
      <c r="F23" s="526">
        <v>-0.07841784201797503</v>
      </c>
      <c r="G23" s="526">
        <v>0</v>
      </c>
      <c r="H23" s="526">
        <v>0</v>
      </c>
      <c r="I23" s="526">
        <v>0</v>
      </c>
      <c r="J23" s="455">
        <v>-0.11407045963818477</v>
      </c>
      <c r="K23" s="455">
        <v>0</v>
      </c>
      <c r="L23" s="526">
        <v>0</v>
      </c>
      <c r="M23" s="526">
        <v>0</v>
      </c>
      <c r="N23" s="526">
        <v>0</v>
      </c>
      <c r="O23" s="455">
        <v>0</v>
      </c>
      <c r="P23" s="455">
        <v>0</v>
      </c>
      <c r="Q23" s="526">
        <v>0</v>
      </c>
      <c r="R23" s="526">
        <v>0</v>
      </c>
      <c r="S23" s="456">
        <v>0</v>
      </c>
    </row>
    <row r="24" spans="1:19" ht="12.75">
      <c r="A24" s="51"/>
      <c r="B24" s="5" t="s">
        <v>601</v>
      </c>
      <c r="C24" s="14">
        <v>0.8795309864012154</v>
      </c>
      <c r="D24" s="489">
        <v>0</v>
      </c>
      <c r="E24" s="489">
        <v>0.8266146683115126</v>
      </c>
      <c r="F24" s="544">
        <v>0.6925628921875296</v>
      </c>
      <c r="G24" s="553">
        <v>0.6811532853581675</v>
      </c>
      <c r="H24" s="489">
        <v>0</v>
      </c>
      <c r="I24" s="489">
        <v>0</v>
      </c>
      <c r="J24" s="14">
        <v>0.8125041994221595</v>
      </c>
      <c r="K24" s="14">
        <v>0</v>
      </c>
      <c r="L24" s="489">
        <v>0</v>
      </c>
      <c r="M24" s="489">
        <v>0</v>
      </c>
      <c r="N24" s="489">
        <v>0</v>
      </c>
      <c r="O24" s="14">
        <v>0</v>
      </c>
      <c r="P24" s="14">
        <v>0</v>
      </c>
      <c r="Q24" s="489">
        <v>0</v>
      </c>
      <c r="R24" s="489">
        <v>0</v>
      </c>
      <c r="S24" s="15">
        <v>0</v>
      </c>
    </row>
    <row r="25" spans="1:19" ht="12.75">
      <c r="A25" s="51"/>
      <c r="B25" s="5" t="s">
        <v>619</v>
      </c>
      <c r="C25" s="14">
        <v>0.8373463374987301</v>
      </c>
      <c r="D25" s="489">
        <v>0</v>
      </c>
      <c r="E25" s="489">
        <v>0.8851168586451084</v>
      </c>
      <c r="F25" s="545">
        <v>0.5465270107897515</v>
      </c>
      <c r="G25" s="554">
        <v>0.5170303895574139</v>
      </c>
      <c r="H25" s="489">
        <v>0</v>
      </c>
      <c r="I25" s="489">
        <v>0</v>
      </c>
      <c r="J25" s="14">
        <v>0.6685678886947981</v>
      </c>
      <c r="K25" s="14">
        <v>0</v>
      </c>
      <c r="L25" s="489">
        <v>0</v>
      </c>
      <c r="M25" s="489">
        <v>0</v>
      </c>
      <c r="N25" s="489">
        <v>0</v>
      </c>
      <c r="O25" s="14">
        <v>0</v>
      </c>
      <c r="P25" s="14">
        <v>0</v>
      </c>
      <c r="Q25" s="489">
        <v>0</v>
      </c>
      <c r="R25" s="489">
        <v>0</v>
      </c>
      <c r="S25" s="15">
        <v>0</v>
      </c>
    </row>
    <row r="26" spans="1:19" ht="12.75">
      <c r="A26" s="51"/>
      <c r="B26" s="195" t="s">
        <v>643</v>
      </c>
      <c r="C26" s="397">
        <v>-4.21846489024853</v>
      </c>
      <c r="D26" s="526">
        <v>0</v>
      </c>
      <c r="E26" s="526">
        <v>5.850219033359572</v>
      </c>
      <c r="F26" s="555">
        <v>-14.603588139777813</v>
      </c>
      <c r="G26" s="556">
        <v>-16.412289580075367</v>
      </c>
      <c r="H26" s="526">
        <v>0</v>
      </c>
      <c r="I26" s="526">
        <v>0</v>
      </c>
      <c r="J26" s="455">
        <v>-14.393631072736135</v>
      </c>
      <c r="K26" s="455">
        <v>0</v>
      </c>
      <c r="L26" s="526">
        <v>0</v>
      </c>
      <c r="M26" s="526">
        <v>0</v>
      </c>
      <c r="N26" s="526">
        <v>0</v>
      </c>
      <c r="O26" s="455">
        <v>0</v>
      </c>
      <c r="P26" s="455">
        <v>0</v>
      </c>
      <c r="Q26" s="526">
        <v>0</v>
      </c>
      <c r="R26" s="526">
        <v>0</v>
      </c>
      <c r="S26" s="456">
        <v>0</v>
      </c>
    </row>
    <row r="27" spans="1:39" ht="12.75">
      <c r="A27" s="51"/>
      <c r="B27" s="5" t="s">
        <v>621</v>
      </c>
      <c r="C27" s="14">
        <v>0.05521069261527277</v>
      </c>
      <c r="D27" s="489">
        <v>0</v>
      </c>
      <c r="E27" s="489">
        <v>0.012893469696366748</v>
      </c>
      <c r="F27" s="489">
        <v>0.045868168116931125</v>
      </c>
      <c r="G27" s="489">
        <v>0.019331169747424864</v>
      </c>
      <c r="H27" s="489">
        <v>0</v>
      </c>
      <c r="I27" s="489">
        <v>0</v>
      </c>
      <c r="J27" s="14">
        <v>0.0433596337144009</v>
      </c>
      <c r="K27" s="14">
        <v>0</v>
      </c>
      <c r="L27" s="489">
        <v>0</v>
      </c>
      <c r="M27" s="489">
        <v>0</v>
      </c>
      <c r="N27" s="489">
        <v>0</v>
      </c>
      <c r="O27" s="14">
        <v>0</v>
      </c>
      <c r="P27" s="14">
        <v>0</v>
      </c>
      <c r="Q27" s="489">
        <v>0</v>
      </c>
      <c r="R27" s="489">
        <v>0</v>
      </c>
      <c r="S27" s="15">
        <v>0</v>
      </c>
      <c r="V27" s="3"/>
      <c r="W27" s="11"/>
      <c r="X27" s="12"/>
      <c r="Y27" s="12"/>
      <c r="Z27" s="12"/>
      <c r="AA27" s="12"/>
      <c r="AB27" s="12"/>
      <c r="AC27" s="12"/>
      <c r="AD27" s="11"/>
      <c r="AE27" s="11"/>
      <c r="AF27" s="12"/>
      <c r="AG27" s="12"/>
      <c r="AH27" s="12"/>
      <c r="AI27" s="11"/>
      <c r="AJ27" s="11"/>
      <c r="AK27" s="12"/>
      <c r="AL27" s="12"/>
      <c r="AM27" s="13"/>
    </row>
    <row r="28" spans="1:39" ht="12.75">
      <c r="A28" s="51"/>
      <c r="B28" s="5" t="s">
        <v>623</v>
      </c>
      <c r="C28" s="14">
        <v>0.024154221274001828</v>
      </c>
      <c r="D28" s="489">
        <v>0</v>
      </c>
      <c r="E28" s="489">
        <v>0.0006382396741938425</v>
      </c>
      <c r="F28" s="489">
        <v>0.04831721141359096</v>
      </c>
      <c r="G28" s="489">
        <v>0.01786661227819702</v>
      </c>
      <c r="H28" s="489">
        <v>0</v>
      </c>
      <c r="I28" s="489">
        <v>0</v>
      </c>
      <c r="J28" s="14">
        <v>0.03008655955085025</v>
      </c>
      <c r="K28" s="14">
        <v>0</v>
      </c>
      <c r="L28" s="489">
        <v>0</v>
      </c>
      <c r="M28" s="489">
        <v>0</v>
      </c>
      <c r="N28" s="489">
        <v>0</v>
      </c>
      <c r="O28" s="14">
        <v>0</v>
      </c>
      <c r="P28" s="14">
        <v>0</v>
      </c>
      <c r="Q28" s="489">
        <v>0</v>
      </c>
      <c r="R28" s="489">
        <v>0</v>
      </c>
      <c r="S28" s="15">
        <v>0</v>
      </c>
      <c r="V28" s="5"/>
      <c r="W28" s="14"/>
      <c r="X28" s="453"/>
      <c r="Y28" s="453"/>
      <c r="Z28" s="453"/>
      <c r="AA28" s="453"/>
      <c r="AB28" s="453"/>
      <c r="AC28" s="453"/>
      <c r="AD28" s="14"/>
      <c r="AE28" s="14"/>
      <c r="AF28" s="453"/>
      <c r="AG28" s="453"/>
      <c r="AH28" s="453"/>
      <c r="AI28" s="14"/>
      <c r="AJ28" s="14"/>
      <c r="AK28" s="453"/>
      <c r="AL28" s="453"/>
      <c r="AM28" s="15"/>
    </row>
    <row r="29" spans="1:39" ht="12.75">
      <c r="A29" s="51"/>
      <c r="B29" s="195" t="s">
        <v>647</v>
      </c>
      <c r="C29" s="397">
        <v>-3.105647134127094</v>
      </c>
      <c r="D29" s="526">
        <v>0</v>
      </c>
      <c r="E29" s="526">
        <v>-1.2255230022172907</v>
      </c>
      <c r="F29" s="526">
        <v>0.24490432966598336</v>
      </c>
      <c r="G29" s="526">
        <v>-0.14645574692278424</v>
      </c>
      <c r="H29" s="526">
        <v>0</v>
      </c>
      <c r="I29" s="526">
        <v>0</v>
      </c>
      <c r="J29" s="455">
        <v>-1.327307416355065</v>
      </c>
      <c r="K29" s="455">
        <v>0</v>
      </c>
      <c r="L29" s="526">
        <v>0</v>
      </c>
      <c r="M29" s="526">
        <v>0</v>
      </c>
      <c r="N29" s="526">
        <v>0</v>
      </c>
      <c r="O29" s="455">
        <v>0</v>
      </c>
      <c r="P29" s="455">
        <v>0</v>
      </c>
      <c r="Q29" s="526">
        <v>0</v>
      </c>
      <c r="R29" s="526">
        <v>0</v>
      </c>
      <c r="S29" s="456">
        <v>0</v>
      </c>
      <c r="V29" s="195"/>
      <c r="W29" s="397"/>
      <c r="X29" s="399"/>
      <c r="Y29" s="399"/>
      <c r="Z29" s="399"/>
      <c r="AA29" s="399"/>
      <c r="AB29" s="399"/>
      <c r="AC29" s="399"/>
      <c r="AD29" s="397"/>
      <c r="AE29" s="397"/>
      <c r="AF29" s="399"/>
      <c r="AG29" s="399"/>
      <c r="AH29" s="399"/>
      <c r="AI29" s="397"/>
      <c r="AJ29" s="397"/>
      <c r="AK29" s="399"/>
      <c r="AL29" s="399"/>
      <c r="AM29" s="398"/>
    </row>
    <row r="30" spans="1:39" ht="12.75">
      <c r="A30" s="51"/>
      <c r="B30" s="5" t="s">
        <v>625</v>
      </c>
      <c r="C30" s="502">
        <v>0.009586257677860732</v>
      </c>
      <c r="D30" s="489">
        <v>0</v>
      </c>
      <c r="E30" s="489">
        <v>0.13689362887500497</v>
      </c>
      <c r="F30" s="544">
        <v>0.20444937344783787</v>
      </c>
      <c r="G30" s="553">
        <v>0.2995155448944076</v>
      </c>
      <c r="H30" s="489">
        <v>0</v>
      </c>
      <c r="I30" s="489">
        <v>0</v>
      </c>
      <c r="J30" s="14">
        <v>0.0967402885362974</v>
      </c>
      <c r="K30" s="14">
        <v>0</v>
      </c>
      <c r="L30" s="489">
        <v>0</v>
      </c>
      <c r="M30" s="489">
        <v>0</v>
      </c>
      <c r="N30" s="489">
        <v>0</v>
      </c>
      <c r="O30" s="14">
        <v>0</v>
      </c>
      <c r="P30" s="14">
        <v>0</v>
      </c>
      <c r="Q30" s="489">
        <v>0</v>
      </c>
      <c r="R30" s="489">
        <v>0</v>
      </c>
      <c r="S30" s="15">
        <v>0</v>
      </c>
      <c r="V30" s="5"/>
      <c r="W30" s="14"/>
      <c r="X30" s="453"/>
      <c r="Y30" s="453"/>
      <c r="Z30" s="453"/>
      <c r="AA30" s="453"/>
      <c r="AB30" s="453"/>
      <c r="AC30" s="453"/>
      <c r="AD30" s="14"/>
      <c r="AE30" s="14"/>
      <c r="AF30" s="453"/>
      <c r="AG30" s="453"/>
      <c r="AH30" s="453"/>
      <c r="AI30" s="14"/>
      <c r="AJ30" s="14"/>
      <c r="AK30" s="453"/>
      <c r="AL30" s="453"/>
      <c r="AM30" s="15"/>
    </row>
    <row r="31" spans="1:39" ht="12.75">
      <c r="A31" s="51"/>
      <c r="B31" s="5" t="s">
        <v>627</v>
      </c>
      <c r="C31" s="503">
        <v>0.13308950523214466</v>
      </c>
      <c r="D31" s="489">
        <v>0</v>
      </c>
      <c r="E31" s="489">
        <v>0.11424490168069781</v>
      </c>
      <c r="F31" s="545">
        <v>0.3386695471702693</v>
      </c>
      <c r="G31" s="554">
        <v>0.46510299816438916</v>
      </c>
      <c r="H31" s="489">
        <v>0</v>
      </c>
      <c r="I31" s="489">
        <v>0</v>
      </c>
      <c r="J31" s="14">
        <v>0.26958472622960883</v>
      </c>
      <c r="K31" s="14">
        <v>0</v>
      </c>
      <c r="L31" s="489">
        <v>0</v>
      </c>
      <c r="M31" s="489">
        <v>0</v>
      </c>
      <c r="N31" s="489">
        <v>0</v>
      </c>
      <c r="O31" s="14">
        <v>0</v>
      </c>
      <c r="P31" s="14">
        <v>0</v>
      </c>
      <c r="Q31" s="489">
        <v>0</v>
      </c>
      <c r="R31" s="489">
        <v>0</v>
      </c>
      <c r="S31" s="15">
        <v>0</v>
      </c>
      <c r="V31" s="5"/>
      <c r="W31" s="14"/>
      <c r="X31" s="453"/>
      <c r="Y31" s="453"/>
      <c r="Z31" s="453"/>
      <c r="AA31" s="453"/>
      <c r="AB31" s="453"/>
      <c r="AC31" s="453"/>
      <c r="AD31" s="14"/>
      <c r="AE31" s="14"/>
      <c r="AF31" s="453"/>
      <c r="AG31" s="453"/>
      <c r="AH31" s="453"/>
      <c r="AI31" s="14"/>
      <c r="AJ31" s="14"/>
      <c r="AK31" s="453"/>
      <c r="AL31" s="453"/>
      <c r="AM31" s="15"/>
    </row>
    <row r="32" spans="1:39" ht="12.75">
      <c r="A32" s="51"/>
      <c r="B32" s="195" t="s">
        <v>653</v>
      </c>
      <c r="C32" s="504">
        <v>12.350324755428394</v>
      </c>
      <c r="D32" s="526">
        <v>0</v>
      </c>
      <c r="E32" s="526">
        <v>-2.2648727194307163</v>
      </c>
      <c r="F32" s="555">
        <v>13.422017372243145</v>
      </c>
      <c r="G32" s="556">
        <v>16.558745326998153</v>
      </c>
      <c r="H32" s="526">
        <v>0</v>
      </c>
      <c r="I32" s="526">
        <v>0</v>
      </c>
      <c r="J32" s="455">
        <v>17.284443769331144</v>
      </c>
      <c r="K32" s="455">
        <v>0</v>
      </c>
      <c r="L32" s="526">
        <v>0</v>
      </c>
      <c r="M32" s="526">
        <v>0</v>
      </c>
      <c r="N32" s="526">
        <v>0</v>
      </c>
      <c r="O32" s="455">
        <v>0</v>
      </c>
      <c r="P32" s="455">
        <v>0</v>
      </c>
      <c r="Q32" s="526">
        <v>0</v>
      </c>
      <c r="R32" s="526">
        <v>0</v>
      </c>
      <c r="S32" s="456">
        <v>0</v>
      </c>
      <c r="V32" s="195"/>
      <c r="W32" s="397"/>
      <c r="X32" s="399"/>
      <c r="Y32" s="399"/>
      <c r="Z32" s="399"/>
      <c r="AA32" s="399"/>
      <c r="AB32" s="399"/>
      <c r="AC32" s="399"/>
      <c r="AD32" s="397"/>
      <c r="AE32" s="397"/>
      <c r="AF32" s="399"/>
      <c r="AG32" s="399"/>
      <c r="AH32" s="399"/>
      <c r="AI32" s="397"/>
      <c r="AJ32" s="397"/>
      <c r="AK32" s="399"/>
      <c r="AL32" s="399"/>
      <c r="AM32" s="398"/>
    </row>
    <row r="33" spans="1:39" ht="12.75">
      <c r="A33" s="51"/>
      <c r="B33" s="5" t="s">
        <v>629</v>
      </c>
      <c r="C33" s="14">
        <v>0.008738081257165227</v>
      </c>
      <c r="D33" s="489">
        <v>0</v>
      </c>
      <c r="E33" s="489">
        <v>0.022086036053961557</v>
      </c>
      <c r="F33" s="489">
        <v>0.05711956624770138</v>
      </c>
      <c r="G33" s="489">
        <v>0</v>
      </c>
      <c r="H33" s="489">
        <v>0</v>
      </c>
      <c r="I33" s="489">
        <v>0</v>
      </c>
      <c r="J33" s="14">
        <v>0.02295524135878903</v>
      </c>
      <c r="K33" s="14">
        <v>0</v>
      </c>
      <c r="L33" s="489">
        <v>0</v>
      </c>
      <c r="M33" s="489">
        <v>0</v>
      </c>
      <c r="N33" s="489">
        <v>0</v>
      </c>
      <c r="O33" s="14">
        <v>0</v>
      </c>
      <c r="P33" s="14">
        <v>0</v>
      </c>
      <c r="Q33" s="489">
        <v>0</v>
      </c>
      <c r="R33" s="489">
        <v>0</v>
      </c>
      <c r="S33" s="15">
        <v>0</v>
      </c>
      <c r="V33" s="5"/>
      <c r="W33" s="14"/>
      <c r="X33" s="453"/>
      <c r="Y33" s="453"/>
      <c r="Z33" s="453"/>
      <c r="AA33" s="453"/>
      <c r="AB33" s="453"/>
      <c r="AC33" s="453"/>
      <c r="AD33" s="14"/>
      <c r="AE33" s="14"/>
      <c r="AF33" s="453"/>
      <c r="AG33" s="453"/>
      <c r="AH33" s="453"/>
      <c r="AI33" s="14"/>
      <c r="AJ33" s="14"/>
      <c r="AK33" s="453"/>
      <c r="AL33" s="453"/>
      <c r="AM33" s="15"/>
    </row>
    <row r="34" spans="1:39" ht="12.75">
      <c r="A34" s="51"/>
      <c r="B34" s="5" t="s">
        <v>631</v>
      </c>
      <c r="C34" s="14">
        <v>0.005409935995123438</v>
      </c>
      <c r="D34" s="489">
        <v>0</v>
      </c>
      <c r="E34" s="489">
        <v>0</v>
      </c>
      <c r="F34" s="489">
        <v>0.06648623062638817</v>
      </c>
      <c r="G34" s="489">
        <v>0</v>
      </c>
      <c r="H34" s="489">
        <v>0</v>
      </c>
      <c r="I34" s="489">
        <v>0</v>
      </c>
      <c r="J34" s="14">
        <v>0.03176082552474286</v>
      </c>
      <c r="K34" s="14">
        <v>0</v>
      </c>
      <c r="L34" s="489">
        <v>0</v>
      </c>
      <c r="M34" s="489">
        <v>0</v>
      </c>
      <c r="N34" s="489">
        <v>0</v>
      </c>
      <c r="O34" s="14">
        <v>0</v>
      </c>
      <c r="P34" s="14">
        <v>0</v>
      </c>
      <c r="Q34" s="489">
        <v>0</v>
      </c>
      <c r="R34" s="489">
        <v>0</v>
      </c>
      <c r="S34" s="15">
        <v>0</v>
      </c>
      <c r="V34" s="5"/>
      <c r="W34" s="14"/>
      <c r="X34" s="453"/>
      <c r="Y34" s="453"/>
      <c r="Z34" s="453"/>
      <c r="AA34" s="453"/>
      <c r="AB34" s="453"/>
      <c r="AC34" s="453"/>
      <c r="AD34" s="14"/>
      <c r="AE34" s="14"/>
      <c r="AF34" s="453"/>
      <c r="AG34" s="453"/>
      <c r="AH34" s="453"/>
      <c r="AI34" s="14"/>
      <c r="AJ34" s="14"/>
      <c r="AK34" s="453"/>
      <c r="AL34" s="453"/>
      <c r="AM34" s="15"/>
    </row>
    <row r="35" spans="1:39" ht="12.75">
      <c r="A35" s="51"/>
      <c r="B35" s="195" t="s">
        <v>655</v>
      </c>
      <c r="C35" s="397">
        <v>-0.33281452620417884</v>
      </c>
      <c r="D35" s="526">
        <v>0</v>
      </c>
      <c r="E35" s="526">
        <v>-2.2086036053961555</v>
      </c>
      <c r="F35" s="526">
        <v>0.9366664378686794</v>
      </c>
      <c r="G35" s="526">
        <v>0</v>
      </c>
      <c r="H35" s="526">
        <v>0</v>
      </c>
      <c r="I35" s="526">
        <v>0</v>
      </c>
      <c r="J35" s="455">
        <v>0.8805584165953829</v>
      </c>
      <c r="K35" s="455">
        <v>0</v>
      </c>
      <c r="L35" s="526">
        <v>0</v>
      </c>
      <c r="M35" s="526">
        <v>0</v>
      </c>
      <c r="N35" s="526">
        <v>0</v>
      </c>
      <c r="O35" s="455">
        <v>0</v>
      </c>
      <c r="P35" s="455">
        <v>0</v>
      </c>
      <c r="Q35" s="526">
        <v>0</v>
      </c>
      <c r="R35" s="526">
        <v>0</v>
      </c>
      <c r="S35" s="456">
        <v>0</v>
      </c>
      <c r="V35" s="195"/>
      <c r="W35" s="397"/>
      <c r="X35" s="399"/>
      <c r="Y35" s="399"/>
      <c r="Z35" s="399"/>
      <c r="AA35" s="399"/>
      <c r="AB35" s="399"/>
      <c r="AC35" s="399"/>
      <c r="AD35" s="397"/>
      <c r="AE35" s="397"/>
      <c r="AF35" s="399"/>
      <c r="AG35" s="399"/>
      <c r="AH35" s="399"/>
      <c r="AI35" s="397"/>
      <c r="AJ35" s="397"/>
      <c r="AK35" s="399"/>
      <c r="AL35" s="399"/>
      <c r="AM35" s="398"/>
    </row>
    <row r="36" spans="1:39" ht="12.75">
      <c r="A36" s="51"/>
      <c r="B36" s="5" t="s">
        <v>633</v>
      </c>
      <c r="C36" s="14">
        <v>0.0469200011184744</v>
      </c>
      <c r="D36" s="489">
        <v>0</v>
      </c>
      <c r="E36" s="489">
        <v>0.0015121970631541248</v>
      </c>
      <c r="F36" s="489">
        <v>0</v>
      </c>
      <c r="G36" s="489">
        <v>0</v>
      </c>
      <c r="H36" s="489">
        <v>0</v>
      </c>
      <c r="I36" s="489">
        <v>0</v>
      </c>
      <c r="J36" s="14">
        <v>0.02443343795893685</v>
      </c>
      <c r="K36" s="14">
        <v>0</v>
      </c>
      <c r="L36" s="489">
        <v>0</v>
      </c>
      <c r="M36" s="489">
        <v>0</v>
      </c>
      <c r="N36" s="489">
        <v>0</v>
      </c>
      <c r="O36" s="14">
        <v>0</v>
      </c>
      <c r="P36" s="14">
        <v>0</v>
      </c>
      <c r="Q36" s="489">
        <v>0</v>
      </c>
      <c r="R36" s="489">
        <v>0</v>
      </c>
      <c r="S36" s="15">
        <v>0</v>
      </c>
      <c r="V36" s="5"/>
      <c r="W36" s="14"/>
      <c r="X36" s="453"/>
      <c r="Y36" s="453"/>
      <c r="Z36" s="453"/>
      <c r="AA36" s="453"/>
      <c r="AB36" s="453"/>
      <c r="AC36" s="453"/>
      <c r="AD36" s="14"/>
      <c r="AE36" s="14"/>
      <c r="AF36" s="453"/>
      <c r="AG36" s="453"/>
      <c r="AH36" s="453"/>
      <c r="AI36" s="14"/>
      <c r="AJ36" s="14"/>
      <c r="AK36" s="453"/>
      <c r="AL36" s="453"/>
      <c r="AM36" s="15"/>
    </row>
    <row r="37" spans="1:39" ht="12.75">
      <c r="A37" s="51"/>
      <c r="B37" s="5" t="s">
        <v>635</v>
      </c>
      <c r="C37" s="14">
        <v>0</v>
      </c>
      <c r="D37" s="489">
        <v>0</v>
      </c>
      <c r="E37" s="489">
        <v>0</v>
      </c>
      <c r="F37" s="489">
        <v>0</v>
      </c>
      <c r="G37" s="489">
        <v>0</v>
      </c>
      <c r="H37" s="489">
        <v>0</v>
      </c>
      <c r="I37" s="489">
        <v>0</v>
      </c>
      <c r="J37" s="14">
        <v>0</v>
      </c>
      <c r="K37" s="14">
        <v>0</v>
      </c>
      <c r="L37" s="489">
        <v>0</v>
      </c>
      <c r="M37" s="489">
        <v>0</v>
      </c>
      <c r="N37" s="489">
        <v>0</v>
      </c>
      <c r="O37" s="14">
        <v>0</v>
      </c>
      <c r="P37" s="14">
        <v>0</v>
      </c>
      <c r="Q37" s="489">
        <v>0</v>
      </c>
      <c r="R37" s="489">
        <v>0</v>
      </c>
      <c r="S37" s="15">
        <v>0</v>
      </c>
      <c r="V37" s="5"/>
      <c r="W37" s="14"/>
      <c r="X37" s="453"/>
      <c r="Y37" s="453"/>
      <c r="Z37" s="453"/>
      <c r="AA37" s="453"/>
      <c r="AB37" s="453"/>
      <c r="AC37" s="453"/>
      <c r="AD37" s="14"/>
      <c r="AE37" s="14"/>
      <c r="AF37" s="453"/>
      <c r="AG37" s="453"/>
      <c r="AH37" s="453"/>
      <c r="AI37" s="14"/>
      <c r="AJ37" s="14"/>
      <c r="AK37" s="453"/>
      <c r="AL37" s="453"/>
      <c r="AM37" s="15"/>
    </row>
    <row r="38" spans="1:39" ht="12.75">
      <c r="A38" s="51"/>
      <c r="B38" s="195" t="s">
        <v>661</v>
      </c>
      <c r="C38" s="397">
        <v>-4.69200011184744</v>
      </c>
      <c r="D38" s="526">
        <v>0</v>
      </c>
      <c r="E38" s="526">
        <v>-0.15121970631541248</v>
      </c>
      <c r="F38" s="526">
        <v>0</v>
      </c>
      <c r="G38" s="526">
        <v>0</v>
      </c>
      <c r="H38" s="526">
        <v>0</v>
      </c>
      <c r="I38" s="526">
        <v>0</v>
      </c>
      <c r="J38" s="455">
        <v>-2.4433437958936848</v>
      </c>
      <c r="K38" s="455">
        <v>0</v>
      </c>
      <c r="L38" s="526">
        <v>0</v>
      </c>
      <c r="M38" s="526">
        <v>0</v>
      </c>
      <c r="N38" s="526">
        <v>0</v>
      </c>
      <c r="O38" s="455">
        <v>0</v>
      </c>
      <c r="P38" s="455">
        <v>0</v>
      </c>
      <c r="Q38" s="526">
        <v>0</v>
      </c>
      <c r="R38" s="526">
        <v>0</v>
      </c>
      <c r="S38" s="456">
        <v>0</v>
      </c>
      <c r="V38" s="195"/>
      <c r="W38" s="397"/>
      <c r="X38" s="399"/>
      <c r="Y38" s="399"/>
      <c r="Z38" s="399"/>
      <c r="AA38" s="399"/>
      <c r="AB38" s="399"/>
      <c r="AC38" s="399"/>
      <c r="AD38" s="397"/>
      <c r="AE38" s="397"/>
      <c r="AF38" s="399"/>
      <c r="AG38" s="399"/>
      <c r="AH38" s="399"/>
      <c r="AI38" s="397"/>
      <c r="AJ38" s="397"/>
      <c r="AK38" s="399"/>
      <c r="AL38" s="399"/>
      <c r="AM38" s="398"/>
    </row>
    <row r="39" spans="1:39" ht="12.75">
      <c r="A39" s="51"/>
      <c r="B39" s="5" t="s">
        <v>637</v>
      </c>
      <c r="C39" s="14">
        <v>1.3980930011464363E-05</v>
      </c>
      <c r="D39" s="489">
        <v>0</v>
      </c>
      <c r="E39" s="489">
        <v>0</v>
      </c>
      <c r="F39" s="489">
        <v>0</v>
      </c>
      <c r="G39" s="489">
        <v>0</v>
      </c>
      <c r="H39" s="489">
        <v>0</v>
      </c>
      <c r="I39" s="489">
        <v>0</v>
      </c>
      <c r="J39" s="14">
        <v>7.199009416304316E-06</v>
      </c>
      <c r="K39" s="14">
        <v>0</v>
      </c>
      <c r="L39" s="489">
        <v>0</v>
      </c>
      <c r="M39" s="489">
        <v>0</v>
      </c>
      <c r="N39" s="489">
        <v>0</v>
      </c>
      <c r="O39" s="14">
        <v>0</v>
      </c>
      <c r="P39" s="14">
        <v>0</v>
      </c>
      <c r="Q39" s="489">
        <v>0</v>
      </c>
      <c r="R39" s="489">
        <v>0</v>
      </c>
      <c r="S39" s="15">
        <v>0</v>
      </c>
      <c r="V39" s="5"/>
      <c r="W39" s="14"/>
      <c r="X39" s="453"/>
      <c r="Y39" s="453"/>
      <c r="Z39" s="453"/>
      <c r="AA39" s="453"/>
      <c r="AB39" s="453"/>
      <c r="AC39" s="453"/>
      <c r="AD39" s="14"/>
      <c r="AE39" s="14"/>
      <c r="AF39" s="453"/>
      <c r="AG39" s="453"/>
      <c r="AH39" s="453"/>
      <c r="AI39" s="14"/>
      <c r="AJ39" s="14"/>
      <c r="AK39" s="453"/>
      <c r="AL39" s="453"/>
      <c r="AM39" s="15"/>
    </row>
    <row r="40" spans="1:39" ht="12.75">
      <c r="A40" s="51"/>
      <c r="B40" s="5" t="s">
        <v>639</v>
      </c>
      <c r="C40" s="478">
        <v>0</v>
      </c>
      <c r="D40" s="489">
        <v>0</v>
      </c>
      <c r="E40" s="489">
        <v>0</v>
      </c>
      <c r="F40" s="489">
        <v>0</v>
      </c>
      <c r="G40" s="489">
        <v>0</v>
      </c>
      <c r="H40" s="489">
        <v>0</v>
      </c>
      <c r="I40" s="489">
        <v>0</v>
      </c>
      <c r="J40" s="478">
        <v>0</v>
      </c>
      <c r="K40" s="14">
        <v>0</v>
      </c>
      <c r="L40" s="489">
        <v>0</v>
      </c>
      <c r="M40" s="489">
        <v>0</v>
      </c>
      <c r="N40" s="489">
        <v>0</v>
      </c>
      <c r="O40" s="14">
        <v>0</v>
      </c>
      <c r="P40" s="14">
        <v>0</v>
      </c>
      <c r="Q40" s="489">
        <v>0</v>
      </c>
      <c r="R40" s="489">
        <v>0</v>
      </c>
      <c r="S40" s="15">
        <v>0</v>
      </c>
      <c r="V40" s="5"/>
      <c r="W40" s="14"/>
      <c r="X40" s="453"/>
      <c r="Y40" s="453"/>
      <c r="Z40" s="453"/>
      <c r="AA40" s="453"/>
      <c r="AB40" s="453"/>
      <c r="AC40" s="453"/>
      <c r="AD40" s="14"/>
      <c r="AE40" s="14"/>
      <c r="AF40" s="453"/>
      <c r="AG40" s="453"/>
      <c r="AH40" s="453"/>
      <c r="AI40" s="14"/>
      <c r="AJ40" s="14"/>
      <c r="AK40" s="453"/>
      <c r="AL40" s="453"/>
      <c r="AM40" s="15"/>
    </row>
    <row r="41" spans="1:39" ht="12.75">
      <c r="A41" s="501"/>
      <c r="B41" s="477" t="s">
        <v>663</v>
      </c>
      <c r="C41" s="500">
        <v>-0.0013980930011464362</v>
      </c>
      <c r="D41" s="529">
        <v>0</v>
      </c>
      <c r="E41" s="529">
        <v>0</v>
      </c>
      <c r="F41" s="529">
        <v>0</v>
      </c>
      <c r="G41" s="529">
        <v>0</v>
      </c>
      <c r="H41" s="529">
        <v>0</v>
      </c>
      <c r="I41" s="529">
        <v>0</v>
      </c>
      <c r="J41" s="470">
        <v>-0.0007199009416304316</v>
      </c>
      <c r="K41" s="470">
        <v>0</v>
      </c>
      <c r="L41" s="529">
        <v>0</v>
      </c>
      <c r="M41" s="529">
        <v>0</v>
      </c>
      <c r="N41" s="529">
        <v>0</v>
      </c>
      <c r="O41" s="470">
        <v>0</v>
      </c>
      <c r="P41" s="470">
        <v>0</v>
      </c>
      <c r="Q41" s="529">
        <v>0</v>
      </c>
      <c r="R41" s="529">
        <v>0</v>
      </c>
      <c r="S41" s="471">
        <v>0</v>
      </c>
      <c r="V41" s="195"/>
      <c r="W41" s="397"/>
      <c r="X41" s="399"/>
      <c r="Y41" s="399"/>
      <c r="Z41" s="399"/>
      <c r="AA41" s="399"/>
      <c r="AB41" s="399"/>
      <c r="AC41" s="399"/>
      <c r="AD41" s="397"/>
      <c r="AE41" s="397"/>
      <c r="AF41" s="399"/>
      <c r="AG41" s="399"/>
      <c r="AH41" s="399"/>
      <c r="AI41" s="397"/>
      <c r="AJ41" s="397"/>
      <c r="AK41" s="399"/>
      <c r="AL41" s="399"/>
      <c r="AM41" s="398"/>
    </row>
    <row r="42" spans="1:39" s="48" customFormat="1" ht="12.75">
      <c r="A42" s="50" t="s">
        <v>233</v>
      </c>
      <c r="B42" s="3" t="s">
        <v>593</v>
      </c>
      <c r="C42" s="11">
        <v>0.9853581020225465</v>
      </c>
      <c r="D42" s="12">
        <v>0</v>
      </c>
      <c r="E42" s="12">
        <v>0.8954943750674367</v>
      </c>
      <c r="F42" s="12">
        <v>0</v>
      </c>
      <c r="G42" s="12">
        <v>0.9598710630742281</v>
      </c>
      <c r="H42" s="502">
        <v>0.9423122468058586</v>
      </c>
      <c r="I42" s="12">
        <v>0</v>
      </c>
      <c r="J42" s="11">
        <v>0.9351290091958553</v>
      </c>
      <c r="K42" s="11">
        <v>0.9172289174183583</v>
      </c>
      <c r="L42" s="12">
        <v>0</v>
      </c>
      <c r="M42" s="502">
        <v>0.871999615841068</v>
      </c>
      <c r="N42" s="506">
        <v>0.8572096982046217</v>
      </c>
      <c r="O42" s="11">
        <v>0.8691046823208478</v>
      </c>
      <c r="P42" s="11">
        <v>0</v>
      </c>
      <c r="Q42" s="12">
        <v>0</v>
      </c>
      <c r="R42" s="12">
        <v>0</v>
      </c>
      <c r="S42" s="13">
        <v>0</v>
      </c>
      <c r="T42"/>
      <c r="U42"/>
      <c r="V42" s="5"/>
      <c r="W42" s="14"/>
      <c r="X42" s="453"/>
      <c r="Y42" s="453"/>
      <c r="Z42" s="453"/>
      <c r="AA42" s="453"/>
      <c r="AB42" s="453"/>
      <c r="AC42" s="453"/>
      <c r="AD42" s="14"/>
      <c r="AE42" s="14"/>
      <c r="AF42" s="453"/>
      <c r="AG42" s="453"/>
      <c r="AH42" s="453"/>
      <c r="AI42" s="14"/>
      <c r="AJ42" s="14"/>
      <c r="AK42" s="453"/>
      <c r="AL42" s="453"/>
      <c r="AM42" s="15"/>
    </row>
    <row r="43" spans="1:39" ht="12.75">
      <c r="A43" s="51"/>
      <c r="B43" s="5" t="s">
        <v>595</v>
      </c>
      <c r="C43" s="14">
        <v>0.9699512912606526</v>
      </c>
      <c r="D43" s="453">
        <v>0</v>
      </c>
      <c r="E43" s="453">
        <v>0.8786968303665419</v>
      </c>
      <c r="F43" s="453">
        <v>0</v>
      </c>
      <c r="G43" s="453">
        <v>0.9331144541338058</v>
      </c>
      <c r="H43" s="503">
        <v>0.8906652010581372</v>
      </c>
      <c r="I43" s="453">
        <v>0</v>
      </c>
      <c r="J43" s="14">
        <v>0.9129928221052709</v>
      </c>
      <c r="K43" s="14">
        <v>0.9021238843603666</v>
      </c>
      <c r="L43" s="453">
        <v>0</v>
      </c>
      <c r="M43" s="503">
        <v>0.7314936907582102</v>
      </c>
      <c r="N43" s="507">
        <v>0.7989706706929335</v>
      </c>
      <c r="O43" s="14">
        <v>0.791589171949436</v>
      </c>
      <c r="P43" s="14">
        <v>0</v>
      </c>
      <c r="Q43" s="453">
        <v>0</v>
      </c>
      <c r="R43" s="453">
        <v>0</v>
      </c>
      <c r="S43" s="15">
        <v>0</v>
      </c>
      <c r="V43" s="5"/>
      <c r="W43" s="14"/>
      <c r="X43" s="453"/>
      <c r="Y43" s="453"/>
      <c r="Z43" s="453"/>
      <c r="AA43" s="453"/>
      <c r="AB43" s="453"/>
      <c r="AC43" s="453"/>
      <c r="AD43" s="14"/>
      <c r="AE43" s="14"/>
      <c r="AF43" s="453"/>
      <c r="AG43" s="453"/>
      <c r="AH43" s="453"/>
      <c r="AI43" s="14"/>
      <c r="AJ43" s="14"/>
      <c r="AK43" s="453"/>
      <c r="AL43" s="453"/>
      <c r="AM43" s="15"/>
    </row>
    <row r="44" spans="1:39" ht="12.75">
      <c r="A44" s="51"/>
      <c r="B44" s="476" t="s">
        <v>641</v>
      </c>
      <c r="C44" s="455">
        <v>-1.5406810761893874</v>
      </c>
      <c r="D44" s="480">
        <v>0</v>
      </c>
      <c r="E44" s="530">
        <v>-1.6797544700894784</v>
      </c>
      <c r="F44" s="530">
        <v>0</v>
      </c>
      <c r="G44" s="530">
        <v>-2.675660894042231</v>
      </c>
      <c r="H44" s="527">
        <v>-5.164704574772139</v>
      </c>
      <c r="I44" s="530">
        <v>0</v>
      </c>
      <c r="J44" s="455">
        <v>-2.2136187090584403</v>
      </c>
      <c r="K44" s="455">
        <v>-1.5105033057991712</v>
      </c>
      <c r="L44" s="530">
        <v>0</v>
      </c>
      <c r="M44" s="527">
        <v>-14.050592508285774</v>
      </c>
      <c r="N44" s="528">
        <v>-5.823902751168819</v>
      </c>
      <c r="O44" s="455">
        <v>-7.75155103714118</v>
      </c>
      <c r="P44" s="455">
        <v>0</v>
      </c>
      <c r="Q44" s="530">
        <v>0</v>
      </c>
      <c r="R44" s="530">
        <v>0</v>
      </c>
      <c r="S44" s="456">
        <v>0</v>
      </c>
      <c r="V44" s="195"/>
      <c r="W44" s="397"/>
      <c r="X44" s="399"/>
      <c r="Y44" s="399"/>
      <c r="Z44" s="399"/>
      <c r="AA44" s="399"/>
      <c r="AB44" s="399"/>
      <c r="AC44" s="399"/>
      <c r="AD44" s="397"/>
      <c r="AE44" s="397"/>
      <c r="AF44" s="399"/>
      <c r="AG44" s="399"/>
      <c r="AH44" s="399"/>
      <c r="AI44" s="397"/>
      <c r="AJ44" s="397"/>
      <c r="AK44" s="399"/>
      <c r="AL44" s="399"/>
      <c r="AM44" s="398"/>
    </row>
    <row r="45" spans="1:39" ht="12.75">
      <c r="A45" s="51"/>
      <c r="B45" s="5" t="s">
        <v>597</v>
      </c>
      <c r="C45" s="14">
        <v>0.008201204330801862</v>
      </c>
      <c r="D45" s="453">
        <v>0</v>
      </c>
      <c r="E45" s="453">
        <v>0.04468854171990618</v>
      </c>
      <c r="F45" s="453">
        <v>0</v>
      </c>
      <c r="G45" s="453">
        <v>0.021458703242489604</v>
      </c>
      <c r="H45" s="453">
        <v>0.03255219694608912</v>
      </c>
      <c r="I45" s="453">
        <v>0</v>
      </c>
      <c r="J45" s="14">
        <v>0.029921766032797423</v>
      </c>
      <c r="K45" s="14">
        <v>0.015942176821182402</v>
      </c>
      <c r="L45" s="453">
        <v>0</v>
      </c>
      <c r="M45" s="503">
        <v>0.0736624752183189</v>
      </c>
      <c r="N45" s="453">
        <v>0.0733720950657837</v>
      </c>
      <c r="O45" s="14">
        <v>0.06598130256461782</v>
      </c>
      <c r="P45" s="14">
        <v>0</v>
      </c>
      <c r="Q45" s="453">
        <v>0</v>
      </c>
      <c r="R45" s="453">
        <v>0</v>
      </c>
      <c r="S45" s="15">
        <v>0</v>
      </c>
      <c r="V45" s="5"/>
      <c r="W45" s="14"/>
      <c r="X45" s="453"/>
      <c r="Y45" s="453"/>
      <c r="Z45" s="453"/>
      <c r="AA45" s="453"/>
      <c r="AB45" s="453"/>
      <c r="AC45" s="453"/>
      <c r="AD45" s="14"/>
      <c r="AE45" s="14"/>
      <c r="AF45" s="453"/>
      <c r="AG45" s="453"/>
      <c r="AH45" s="453"/>
      <c r="AI45" s="14"/>
      <c r="AJ45" s="14"/>
      <c r="AK45" s="453"/>
      <c r="AL45" s="453"/>
      <c r="AM45" s="15"/>
    </row>
    <row r="46" spans="1:39" ht="12.75">
      <c r="A46" s="475"/>
      <c r="B46" s="5" t="s">
        <v>599</v>
      </c>
      <c r="C46" s="14">
        <v>0.02241482444396682</v>
      </c>
      <c r="D46" s="453">
        <v>0</v>
      </c>
      <c r="E46" s="453">
        <v>0.045039085580782526</v>
      </c>
      <c r="F46" s="453">
        <v>0</v>
      </c>
      <c r="G46" s="453">
        <v>0.0374295012102051</v>
      </c>
      <c r="H46" s="453">
        <v>0.05873506709990699</v>
      </c>
      <c r="I46" s="453">
        <v>0</v>
      </c>
      <c r="J46" s="14">
        <v>0.039469237419092564</v>
      </c>
      <c r="K46" s="14">
        <v>0.014354896807502968</v>
      </c>
      <c r="L46" s="453">
        <v>0</v>
      </c>
      <c r="M46" s="503">
        <v>0.144515378512154</v>
      </c>
      <c r="N46" s="453">
        <v>0.09441731378255026</v>
      </c>
      <c r="O46" s="14">
        <v>0.09944151289526681</v>
      </c>
      <c r="P46" s="14">
        <v>0</v>
      </c>
      <c r="Q46" s="453">
        <v>0</v>
      </c>
      <c r="R46" s="453">
        <v>0</v>
      </c>
      <c r="S46" s="15">
        <v>0</v>
      </c>
      <c r="V46" s="5"/>
      <c r="W46" s="14"/>
      <c r="X46" s="453"/>
      <c r="Y46" s="453"/>
      <c r="Z46" s="453"/>
      <c r="AA46" s="453"/>
      <c r="AB46" s="453"/>
      <c r="AC46" s="453"/>
      <c r="AD46" s="14"/>
      <c r="AE46" s="14"/>
      <c r="AF46" s="453"/>
      <c r="AG46" s="453"/>
      <c r="AH46" s="453"/>
      <c r="AI46" s="14"/>
      <c r="AJ46" s="14"/>
      <c r="AK46" s="453"/>
      <c r="AL46" s="453"/>
      <c r="AM46" s="15"/>
    </row>
    <row r="47" spans="1:39" ht="12.75">
      <c r="A47" s="475"/>
      <c r="B47" s="195" t="s">
        <v>649</v>
      </c>
      <c r="C47" s="455">
        <v>1.421362011316496</v>
      </c>
      <c r="D47" s="480">
        <v>0</v>
      </c>
      <c r="E47" s="530">
        <v>0.03505438608763442</v>
      </c>
      <c r="F47" s="530">
        <v>0</v>
      </c>
      <c r="G47" s="530">
        <v>1.5970797967715495</v>
      </c>
      <c r="H47" s="530">
        <v>2.6182870153817865</v>
      </c>
      <c r="I47" s="530">
        <v>0</v>
      </c>
      <c r="J47" s="455">
        <v>0.954747138629514</v>
      </c>
      <c r="K47" s="455">
        <v>-0.15872800136794343</v>
      </c>
      <c r="L47" s="530">
        <v>0</v>
      </c>
      <c r="M47" s="531">
        <v>7.085290329383512</v>
      </c>
      <c r="N47" s="530">
        <v>2.1045218716766567</v>
      </c>
      <c r="O47" s="455">
        <v>3.3460210330648996</v>
      </c>
      <c r="P47" s="455">
        <v>0</v>
      </c>
      <c r="Q47" s="530">
        <v>0</v>
      </c>
      <c r="R47" s="530">
        <v>0</v>
      </c>
      <c r="S47" s="456">
        <v>0</v>
      </c>
      <c r="V47" s="195"/>
      <c r="W47" s="397"/>
      <c r="X47" s="399"/>
      <c r="Y47" s="399"/>
      <c r="Z47" s="399"/>
      <c r="AA47" s="399"/>
      <c r="AB47" s="399"/>
      <c r="AC47" s="399"/>
      <c r="AD47" s="397"/>
      <c r="AE47" s="397"/>
      <c r="AF47" s="399"/>
      <c r="AG47" s="399"/>
      <c r="AH47" s="399"/>
      <c r="AI47" s="397"/>
      <c r="AJ47" s="397"/>
      <c r="AK47" s="399"/>
      <c r="AL47" s="399"/>
      <c r="AM47" s="398"/>
    </row>
    <row r="48" spans="1:39" ht="12.75">
      <c r="A48" s="475"/>
      <c r="B48" s="5" t="s">
        <v>603</v>
      </c>
      <c r="C48" s="14">
        <v>0.0008353582380743769</v>
      </c>
      <c r="D48" s="453">
        <v>0</v>
      </c>
      <c r="E48" s="453">
        <v>0.04185903879244254</v>
      </c>
      <c r="F48" s="453">
        <v>0</v>
      </c>
      <c r="G48" s="453">
        <v>0.01820548875674774</v>
      </c>
      <c r="H48" s="453">
        <v>0.011000311623558742</v>
      </c>
      <c r="I48" s="453">
        <v>0</v>
      </c>
      <c r="J48" s="14">
        <v>0.024022489953692275</v>
      </c>
      <c r="K48" s="14">
        <v>0.06628244174693616</v>
      </c>
      <c r="L48" s="453">
        <v>0</v>
      </c>
      <c r="M48" s="502">
        <v>0.044761375563375935</v>
      </c>
      <c r="N48" s="507">
        <v>0.030960414806960504</v>
      </c>
      <c r="O48" s="14">
        <v>0.039369257761293484</v>
      </c>
      <c r="P48" s="14">
        <v>0</v>
      </c>
      <c r="Q48" s="453">
        <v>0</v>
      </c>
      <c r="R48" s="453">
        <v>0</v>
      </c>
      <c r="S48" s="15">
        <v>0</v>
      </c>
      <c r="V48" s="5"/>
      <c r="W48" s="14"/>
      <c r="X48" s="453"/>
      <c r="Y48" s="453"/>
      <c r="Z48" s="453"/>
      <c r="AA48" s="453"/>
      <c r="AB48" s="453"/>
      <c r="AC48" s="453"/>
      <c r="AD48" s="14"/>
      <c r="AE48" s="14"/>
      <c r="AF48" s="453"/>
      <c r="AG48" s="453"/>
      <c r="AH48" s="453"/>
      <c r="AI48" s="14"/>
      <c r="AJ48" s="14"/>
      <c r="AK48" s="453"/>
      <c r="AL48" s="453"/>
      <c r="AM48" s="15"/>
    </row>
    <row r="49" spans="1:39" ht="12.75">
      <c r="A49" s="475"/>
      <c r="B49" s="5" t="s">
        <v>605</v>
      </c>
      <c r="C49" s="14">
        <v>0.004145810297457357</v>
      </c>
      <c r="D49" s="453">
        <v>0</v>
      </c>
      <c r="E49" s="453">
        <v>0.05694202022534484</v>
      </c>
      <c r="F49" s="453">
        <v>0</v>
      </c>
      <c r="G49" s="453">
        <v>0.0245370531216343</v>
      </c>
      <c r="H49" s="453">
        <v>0.02092719871477406</v>
      </c>
      <c r="I49" s="453">
        <v>0</v>
      </c>
      <c r="J49" s="14">
        <v>0.0339560216193977</v>
      </c>
      <c r="K49" s="14">
        <v>0.08254065664314207</v>
      </c>
      <c r="L49" s="453">
        <v>0</v>
      </c>
      <c r="M49" s="503">
        <v>0.12330198242052388</v>
      </c>
      <c r="N49" s="507">
        <v>0.07206558137058047</v>
      </c>
      <c r="O49" s="14">
        <v>0.08932205214471826</v>
      </c>
      <c r="P49" s="14">
        <v>0</v>
      </c>
      <c r="Q49" s="453">
        <v>0</v>
      </c>
      <c r="R49" s="453">
        <v>0</v>
      </c>
      <c r="S49" s="15">
        <v>0</v>
      </c>
      <c r="V49" s="5"/>
      <c r="W49" s="14"/>
      <c r="X49" s="453"/>
      <c r="Y49" s="453"/>
      <c r="Z49" s="453"/>
      <c r="AA49" s="453"/>
      <c r="AB49" s="453"/>
      <c r="AC49" s="453"/>
      <c r="AD49" s="14"/>
      <c r="AE49" s="14"/>
      <c r="AF49" s="453"/>
      <c r="AG49" s="453"/>
      <c r="AH49" s="453"/>
      <c r="AI49" s="14"/>
      <c r="AJ49" s="14"/>
      <c r="AK49" s="453"/>
      <c r="AL49" s="453"/>
      <c r="AM49" s="15"/>
    </row>
    <row r="50" spans="1:39" ht="12.75">
      <c r="A50" s="475"/>
      <c r="B50" s="195" t="s">
        <v>651</v>
      </c>
      <c r="C50" s="455">
        <v>0.33104520593829806</v>
      </c>
      <c r="D50" s="480">
        <v>0</v>
      </c>
      <c r="E50" s="530">
        <v>1.50829814329023</v>
      </c>
      <c r="F50" s="530">
        <v>0</v>
      </c>
      <c r="G50" s="530">
        <v>0.6331564364886559</v>
      </c>
      <c r="H50" s="530">
        <v>0.9926887091215318</v>
      </c>
      <c r="I50" s="530">
        <v>0</v>
      </c>
      <c r="J50" s="455">
        <v>0.9933531665705427</v>
      </c>
      <c r="K50" s="455">
        <v>1.625821489620591</v>
      </c>
      <c r="L50" s="530">
        <v>0</v>
      </c>
      <c r="M50" s="527">
        <v>7.854060685714795</v>
      </c>
      <c r="N50" s="528">
        <v>4.110516656361997</v>
      </c>
      <c r="O50" s="455">
        <v>4.995279438342478</v>
      </c>
      <c r="P50" s="455">
        <v>0</v>
      </c>
      <c r="Q50" s="530">
        <v>0</v>
      </c>
      <c r="R50" s="530">
        <v>0</v>
      </c>
      <c r="S50" s="456">
        <v>0</v>
      </c>
      <c r="V50" s="195"/>
      <c r="W50" s="397"/>
      <c r="X50" s="399"/>
      <c r="Y50" s="399"/>
      <c r="Z50" s="399"/>
      <c r="AA50" s="399"/>
      <c r="AB50" s="399"/>
      <c r="AC50" s="399"/>
      <c r="AD50" s="397"/>
      <c r="AE50" s="397"/>
      <c r="AF50" s="399"/>
      <c r="AG50" s="399"/>
      <c r="AH50" s="399"/>
      <c r="AI50" s="397"/>
      <c r="AJ50" s="397"/>
      <c r="AK50" s="399"/>
      <c r="AL50" s="399"/>
      <c r="AM50" s="398"/>
    </row>
    <row r="51" spans="1:39" ht="12.75">
      <c r="A51" s="475"/>
      <c r="B51" s="5" t="s">
        <v>607</v>
      </c>
      <c r="C51" s="14">
        <v>0.005605335408577251</v>
      </c>
      <c r="D51" s="453">
        <v>0</v>
      </c>
      <c r="E51" s="453">
        <v>0.005335309584249053</v>
      </c>
      <c r="F51" s="453">
        <v>0</v>
      </c>
      <c r="G51" s="453">
        <v>0.0004379327192344817</v>
      </c>
      <c r="H51" s="453">
        <v>0.014135244624493611</v>
      </c>
      <c r="I51" s="453">
        <v>0</v>
      </c>
      <c r="J51" s="14">
        <v>0.005250674590191641</v>
      </c>
      <c r="K51" s="14">
        <v>0.0005464640135231628</v>
      </c>
      <c r="L51" s="453">
        <v>0</v>
      </c>
      <c r="M51" s="453">
        <v>0.0010598670535695912</v>
      </c>
      <c r="N51" s="453">
        <v>0.014007879032734554</v>
      </c>
      <c r="O51" s="14">
        <v>0.008678582498191962</v>
      </c>
      <c r="P51" s="14">
        <v>0</v>
      </c>
      <c r="Q51" s="453">
        <v>0</v>
      </c>
      <c r="R51" s="453">
        <v>0</v>
      </c>
      <c r="S51" s="15">
        <v>0</v>
      </c>
      <c r="V51" s="5"/>
      <c r="W51" s="14"/>
      <c r="X51" s="453"/>
      <c r="Y51" s="453"/>
      <c r="Z51" s="453"/>
      <c r="AA51" s="453"/>
      <c r="AB51" s="453"/>
      <c r="AC51" s="453"/>
      <c r="AD51" s="14"/>
      <c r="AE51" s="14"/>
      <c r="AF51" s="453"/>
      <c r="AG51" s="453"/>
      <c r="AH51" s="453"/>
      <c r="AI51" s="14"/>
      <c r="AJ51" s="14"/>
      <c r="AK51" s="453"/>
      <c r="AL51" s="453"/>
      <c r="AM51" s="15"/>
    </row>
    <row r="52" spans="1:39" ht="12.75">
      <c r="A52" s="475"/>
      <c r="B52" s="5" t="s">
        <v>609</v>
      </c>
      <c r="C52" s="14">
        <v>0.0034880739979232106</v>
      </c>
      <c r="D52" s="453">
        <v>0</v>
      </c>
      <c r="E52" s="453">
        <v>0.006843202640568863</v>
      </c>
      <c r="F52" s="453">
        <v>0</v>
      </c>
      <c r="G52" s="453">
        <v>0.0023856674657494587</v>
      </c>
      <c r="H52" s="453">
        <v>0.029672533127181804</v>
      </c>
      <c r="I52" s="453">
        <v>0</v>
      </c>
      <c r="J52" s="14">
        <v>0.0074215660104276614</v>
      </c>
      <c r="K52" s="14">
        <v>0.0009805621889883533</v>
      </c>
      <c r="L52" s="453">
        <v>0</v>
      </c>
      <c r="M52" s="453">
        <v>0.0005618881701363496</v>
      </c>
      <c r="N52" s="453">
        <v>0.015474396764786036</v>
      </c>
      <c r="O52" s="14">
        <v>0.008950147520767126</v>
      </c>
      <c r="P52" s="14">
        <v>0</v>
      </c>
      <c r="Q52" s="453">
        <v>0</v>
      </c>
      <c r="R52" s="453">
        <v>0</v>
      </c>
      <c r="S52" s="15">
        <v>0</v>
      </c>
      <c r="V52" s="5"/>
      <c r="W52" s="14"/>
      <c r="X52" s="453"/>
      <c r="Y52" s="453"/>
      <c r="Z52" s="453"/>
      <c r="AA52" s="453"/>
      <c r="AB52" s="453"/>
      <c r="AC52" s="453"/>
      <c r="AD52" s="14"/>
      <c r="AE52" s="14"/>
      <c r="AF52" s="453"/>
      <c r="AG52" s="453"/>
      <c r="AH52" s="453"/>
      <c r="AI52" s="14"/>
      <c r="AJ52" s="14"/>
      <c r="AK52" s="453"/>
      <c r="AL52" s="453"/>
      <c r="AM52" s="15"/>
    </row>
    <row r="53" spans="1:39" ht="12.75">
      <c r="A53" s="475"/>
      <c r="B53" s="195" t="s">
        <v>657</v>
      </c>
      <c r="C53" s="455">
        <v>-0.21172614106540408</v>
      </c>
      <c r="D53" s="480">
        <v>0</v>
      </c>
      <c r="E53" s="530">
        <v>0.15078930563198106</v>
      </c>
      <c r="F53" s="530">
        <v>0</v>
      </c>
      <c r="G53" s="530">
        <v>0.1947734746514977</v>
      </c>
      <c r="H53" s="530">
        <v>1.5537288502688194</v>
      </c>
      <c r="I53" s="530">
        <v>0</v>
      </c>
      <c r="J53" s="455">
        <v>0.21708914202360208</v>
      </c>
      <c r="K53" s="455">
        <v>0.04340981754651905</v>
      </c>
      <c r="L53" s="530">
        <v>0</v>
      </c>
      <c r="M53" s="530">
        <v>-0.04979788834332415</v>
      </c>
      <c r="N53" s="530">
        <v>0.14665177320514824</v>
      </c>
      <c r="O53" s="455">
        <v>0.02715650225751636</v>
      </c>
      <c r="P53" s="455">
        <v>0</v>
      </c>
      <c r="Q53" s="530">
        <v>0</v>
      </c>
      <c r="R53" s="530">
        <v>0</v>
      </c>
      <c r="S53" s="456">
        <v>0</v>
      </c>
      <c r="V53" s="195"/>
      <c r="W53" s="397"/>
      <c r="X53" s="399"/>
      <c r="Y53" s="399"/>
      <c r="Z53" s="399"/>
      <c r="AA53" s="399"/>
      <c r="AB53" s="399"/>
      <c r="AC53" s="399"/>
      <c r="AD53" s="397"/>
      <c r="AE53" s="397"/>
      <c r="AF53" s="399"/>
      <c r="AG53" s="399"/>
      <c r="AH53" s="399"/>
      <c r="AI53" s="397"/>
      <c r="AJ53" s="397"/>
      <c r="AK53" s="399"/>
      <c r="AL53" s="399"/>
      <c r="AM53" s="398"/>
    </row>
    <row r="54" spans="1:39" ht="12.75">
      <c r="A54" s="51"/>
      <c r="B54" s="5" t="s">
        <v>611</v>
      </c>
      <c r="C54" s="14">
        <v>0</v>
      </c>
      <c r="D54" s="453">
        <v>0</v>
      </c>
      <c r="E54" s="453">
        <v>0.012622734835965495</v>
      </c>
      <c r="F54" s="453">
        <v>0</v>
      </c>
      <c r="G54" s="453">
        <v>2.681220730007031E-05</v>
      </c>
      <c r="H54" s="453">
        <v>0</v>
      </c>
      <c r="I54" s="453">
        <v>0</v>
      </c>
      <c r="J54" s="14">
        <v>0.00567606022746333</v>
      </c>
      <c r="K54" s="14">
        <v>0</v>
      </c>
      <c r="L54" s="453">
        <v>0</v>
      </c>
      <c r="M54" s="453">
        <v>0.00851666632366762</v>
      </c>
      <c r="N54" s="453">
        <v>0.02444991288989954</v>
      </c>
      <c r="O54" s="14">
        <v>0.016866174855048904</v>
      </c>
      <c r="P54" s="14">
        <v>0</v>
      </c>
      <c r="Q54" s="453">
        <v>0</v>
      </c>
      <c r="R54" s="453">
        <v>0</v>
      </c>
      <c r="S54" s="15">
        <v>0</v>
      </c>
      <c r="V54" s="5"/>
      <c r="W54" s="14"/>
      <c r="X54" s="453"/>
      <c r="Y54" s="453"/>
      <c r="Z54" s="453"/>
      <c r="AA54" s="453"/>
      <c r="AB54" s="453"/>
      <c r="AC54" s="453"/>
      <c r="AD54" s="14"/>
      <c r="AE54" s="14"/>
      <c r="AF54" s="453"/>
      <c r="AG54" s="453"/>
      <c r="AH54" s="453"/>
      <c r="AI54" s="14"/>
      <c r="AJ54" s="14"/>
      <c r="AK54" s="453"/>
      <c r="AL54" s="453"/>
      <c r="AM54" s="15"/>
    </row>
    <row r="55" spans="1:39" ht="12.75">
      <c r="A55" s="51"/>
      <c r="B55" s="5" t="s">
        <v>613</v>
      </c>
      <c r="C55" s="14">
        <v>0</v>
      </c>
      <c r="D55" s="485">
        <v>0</v>
      </c>
      <c r="E55" s="453">
        <v>0.012242513973689393</v>
      </c>
      <c r="F55" s="453">
        <v>0</v>
      </c>
      <c r="G55" s="453">
        <v>0.002533324068605311</v>
      </c>
      <c r="H55" s="453">
        <v>0</v>
      </c>
      <c r="I55" s="453">
        <v>0</v>
      </c>
      <c r="J55" s="14">
        <v>0.006053823190159109</v>
      </c>
      <c r="K55" s="14">
        <v>0</v>
      </c>
      <c r="L55" s="453">
        <v>0</v>
      </c>
      <c r="M55" s="453">
        <v>0.00012706013897555645</v>
      </c>
      <c r="N55" s="453">
        <v>0.019072037389149754</v>
      </c>
      <c r="O55" s="14">
        <v>0.010697115489811834</v>
      </c>
      <c r="P55" s="14">
        <v>0</v>
      </c>
      <c r="Q55" s="453">
        <v>0</v>
      </c>
      <c r="R55" s="453">
        <v>0</v>
      </c>
      <c r="S55" s="15">
        <v>0</v>
      </c>
      <c r="V55" s="5"/>
      <c r="W55" s="14"/>
      <c r="X55" s="453"/>
      <c r="Y55" s="453"/>
      <c r="Z55" s="453"/>
      <c r="AA55" s="453"/>
      <c r="AB55" s="453"/>
      <c r="AC55" s="453"/>
      <c r="AD55" s="14"/>
      <c r="AE55" s="14"/>
      <c r="AF55" s="453"/>
      <c r="AG55" s="453"/>
      <c r="AH55" s="453"/>
      <c r="AI55" s="14"/>
      <c r="AJ55" s="14"/>
      <c r="AK55" s="453"/>
      <c r="AL55" s="453"/>
      <c r="AM55" s="15"/>
    </row>
    <row r="56" spans="1:39" ht="12.75">
      <c r="A56" s="51"/>
      <c r="B56" s="195" t="s">
        <v>659</v>
      </c>
      <c r="C56" s="455">
        <v>0</v>
      </c>
      <c r="D56" s="480">
        <v>0</v>
      </c>
      <c r="E56" s="530">
        <v>-0.03802208622761018</v>
      </c>
      <c r="F56" s="530">
        <v>0</v>
      </c>
      <c r="G56" s="530">
        <v>0.2506511861305241</v>
      </c>
      <c r="H56" s="530">
        <v>0</v>
      </c>
      <c r="I56" s="530">
        <v>0</v>
      </c>
      <c r="J56" s="455">
        <v>0.03777629626957783</v>
      </c>
      <c r="K56" s="455">
        <v>0</v>
      </c>
      <c r="L56" s="530">
        <v>0</v>
      </c>
      <c r="M56" s="530">
        <v>-0.8389606184692063</v>
      </c>
      <c r="N56" s="530">
        <v>-0.5377875500749786</v>
      </c>
      <c r="O56" s="455">
        <v>-0.6169059365237071</v>
      </c>
      <c r="P56" s="455">
        <v>0</v>
      </c>
      <c r="Q56" s="530">
        <v>0</v>
      </c>
      <c r="R56" s="530">
        <v>0</v>
      </c>
      <c r="S56" s="456">
        <v>0</v>
      </c>
      <c r="V56" s="195"/>
      <c r="W56" s="397"/>
      <c r="X56" s="399"/>
      <c r="Y56" s="399"/>
      <c r="Z56" s="399"/>
      <c r="AA56" s="399"/>
      <c r="AB56" s="399"/>
      <c r="AC56" s="399"/>
      <c r="AD56" s="397"/>
      <c r="AE56" s="397"/>
      <c r="AF56" s="399"/>
      <c r="AG56" s="399"/>
      <c r="AH56" s="399"/>
      <c r="AI56" s="397"/>
      <c r="AJ56" s="397"/>
      <c r="AK56" s="399"/>
      <c r="AL56" s="399"/>
      <c r="AM56" s="398"/>
    </row>
    <row r="57" spans="1:39" ht="12.75">
      <c r="A57" s="51"/>
      <c r="B57" s="5" t="s">
        <v>615</v>
      </c>
      <c r="C57" s="14">
        <v>0</v>
      </c>
      <c r="D57" s="453">
        <v>0</v>
      </c>
      <c r="E57" s="453">
        <v>0</v>
      </c>
      <c r="F57" s="453">
        <v>0</v>
      </c>
      <c r="G57" s="453">
        <v>0</v>
      </c>
      <c r="H57" s="453">
        <v>0</v>
      </c>
      <c r="I57" s="453">
        <v>0</v>
      </c>
      <c r="J57" s="14">
        <v>0</v>
      </c>
      <c r="K57" s="14">
        <v>0</v>
      </c>
      <c r="L57" s="453">
        <v>0</v>
      </c>
      <c r="M57" s="453">
        <v>0</v>
      </c>
      <c r="N57" s="453">
        <v>0</v>
      </c>
      <c r="O57" s="14">
        <v>0</v>
      </c>
      <c r="P57" s="14">
        <v>0</v>
      </c>
      <c r="Q57" s="453">
        <v>0</v>
      </c>
      <c r="R57" s="453">
        <v>0</v>
      </c>
      <c r="S57" s="15">
        <v>0</v>
      </c>
      <c r="V57" s="5"/>
      <c r="W57" s="14"/>
      <c r="X57" s="453"/>
      <c r="Y57" s="453"/>
      <c r="Z57" s="453"/>
      <c r="AA57" s="453"/>
      <c r="AB57" s="453"/>
      <c r="AC57" s="453"/>
      <c r="AD57" s="14"/>
      <c r="AE57" s="14"/>
      <c r="AF57" s="453"/>
      <c r="AG57" s="453"/>
      <c r="AH57" s="453"/>
      <c r="AI57" s="14"/>
      <c r="AJ57" s="14"/>
      <c r="AK57" s="453"/>
      <c r="AL57" s="453"/>
      <c r="AM57" s="15"/>
    </row>
    <row r="58" spans="1:39" ht="12.75">
      <c r="A58" s="51"/>
      <c r="B58" s="5" t="s">
        <v>617</v>
      </c>
      <c r="C58" s="14">
        <v>0</v>
      </c>
      <c r="D58" s="453">
        <v>0</v>
      </c>
      <c r="E58" s="453">
        <v>0.00023634721307244584</v>
      </c>
      <c r="F58" s="453">
        <v>0</v>
      </c>
      <c r="G58" s="453">
        <v>0</v>
      </c>
      <c r="H58" s="453">
        <v>0</v>
      </c>
      <c r="I58" s="453">
        <v>0</v>
      </c>
      <c r="J58" s="14">
        <v>0.0001065296556520717</v>
      </c>
      <c r="K58" s="14">
        <v>0</v>
      </c>
      <c r="L58" s="453">
        <v>0</v>
      </c>
      <c r="M58" s="453">
        <v>0</v>
      </c>
      <c r="N58" s="453">
        <v>0</v>
      </c>
      <c r="O58" s="14">
        <v>0</v>
      </c>
      <c r="P58" s="14">
        <v>0</v>
      </c>
      <c r="Q58" s="453">
        <v>0</v>
      </c>
      <c r="R58" s="453">
        <v>0</v>
      </c>
      <c r="S58" s="15">
        <v>0</v>
      </c>
      <c r="V58" s="5"/>
      <c r="W58" s="14"/>
      <c r="X58" s="453"/>
      <c r="Y58" s="453"/>
      <c r="Z58" s="453"/>
      <c r="AA58" s="453"/>
      <c r="AB58" s="453"/>
      <c r="AC58" s="453"/>
      <c r="AD58" s="14"/>
      <c r="AE58" s="14"/>
      <c r="AF58" s="453"/>
      <c r="AG58" s="453"/>
      <c r="AH58" s="453"/>
      <c r="AI58" s="14"/>
      <c r="AJ58" s="14"/>
      <c r="AK58" s="453"/>
      <c r="AL58" s="453"/>
      <c r="AM58" s="15"/>
    </row>
    <row r="59" spans="1:39" ht="12.75">
      <c r="A59" s="51"/>
      <c r="B59" s="195" t="s">
        <v>645</v>
      </c>
      <c r="C59" s="455">
        <v>0</v>
      </c>
      <c r="D59" s="480">
        <v>0</v>
      </c>
      <c r="E59" s="530">
        <v>0</v>
      </c>
      <c r="F59" s="530">
        <v>0</v>
      </c>
      <c r="G59" s="530">
        <v>0</v>
      </c>
      <c r="H59" s="530">
        <v>0</v>
      </c>
      <c r="I59" s="530">
        <v>0</v>
      </c>
      <c r="J59" s="455">
        <v>0</v>
      </c>
      <c r="K59" s="455">
        <v>0</v>
      </c>
      <c r="L59" s="530">
        <v>0</v>
      </c>
      <c r="M59" s="530">
        <v>0</v>
      </c>
      <c r="N59" s="530">
        <v>0</v>
      </c>
      <c r="O59" s="455">
        <v>0</v>
      </c>
      <c r="P59" s="455">
        <v>0</v>
      </c>
      <c r="Q59" s="530">
        <v>0</v>
      </c>
      <c r="R59" s="530">
        <v>0</v>
      </c>
      <c r="S59" s="456">
        <v>0</v>
      </c>
      <c r="V59" s="195"/>
      <c r="W59" s="397"/>
      <c r="X59" s="399"/>
      <c r="Y59" s="399"/>
      <c r="Z59" s="399"/>
      <c r="AA59" s="399"/>
      <c r="AB59" s="399"/>
      <c r="AC59" s="399"/>
      <c r="AD59" s="397"/>
      <c r="AE59" s="397"/>
      <c r="AF59" s="399"/>
      <c r="AG59" s="399"/>
      <c r="AH59" s="399"/>
      <c r="AI59" s="397"/>
      <c r="AJ59" s="397"/>
      <c r="AK59" s="399"/>
      <c r="AL59" s="399"/>
      <c r="AM59" s="398"/>
    </row>
    <row r="60" spans="1:39" ht="12.75">
      <c r="A60" s="51"/>
      <c r="B60" s="5" t="s">
        <v>601</v>
      </c>
      <c r="C60" s="502">
        <v>0.8797612980650676</v>
      </c>
      <c r="D60" s="453">
        <v>0</v>
      </c>
      <c r="E60" s="502">
        <v>0.7315575862773126</v>
      </c>
      <c r="F60" s="453">
        <v>0</v>
      </c>
      <c r="G60" s="522">
        <v>0.7780592462389495</v>
      </c>
      <c r="H60" s="502">
        <v>0.7179540277490164</v>
      </c>
      <c r="I60" s="453">
        <v>0</v>
      </c>
      <c r="J60" s="14">
        <v>0.7918495528089475</v>
      </c>
      <c r="K60" s="14">
        <v>0</v>
      </c>
      <c r="L60" s="453">
        <v>0</v>
      </c>
      <c r="M60" s="453">
        <v>0</v>
      </c>
      <c r="N60" s="453">
        <v>0</v>
      </c>
      <c r="O60" s="14">
        <v>0</v>
      </c>
      <c r="P60" s="14">
        <v>0</v>
      </c>
      <c r="Q60" s="453">
        <v>0</v>
      </c>
      <c r="R60" s="453">
        <v>0</v>
      </c>
      <c r="S60" s="15">
        <v>0</v>
      </c>
      <c r="V60" s="5"/>
      <c r="W60" s="14"/>
      <c r="X60" s="453"/>
      <c r="Y60" s="453"/>
      <c r="Z60" s="453"/>
      <c r="AA60" s="453"/>
      <c r="AB60" s="453"/>
      <c r="AC60" s="453"/>
      <c r="AD60" s="14"/>
      <c r="AE60" s="14"/>
      <c r="AF60" s="453"/>
      <c r="AG60" s="453"/>
      <c r="AH60" s="453"/>
      <c r="AI60" s="14"/>
      <c r="AJ60" s="14"/>
      <c r="AK60" s="453"/>
      <c r="AL60" s="453"/>
      <c r="AM60" s="15"/>
    </row>
    <row r="61" spans="1:39" ht="12.75">
      <c r="A61" s="51"/>
      <c r="B61" s="5" t="s">
        <v>619</v>
      </c>
      <c r="C61" s="503">
        <v>0.8492750164090936</v>
      </c>
      <c r="D61" s="453">
        <v>0</v>
      </c>
      <c r="E61" s="503">
        <v>0.6876788908765653</v>
      </c>
      <c r="F61" s="453">
        <v>0</v>
      </c>
      <c r="G61" s="522">
        <v>0.7247336474383462</v>
      </c>
      <c r="H61" s="503">
        <v>0.572594752186589</v>
      </c>
      <c r="I61" s="453">
        <v>0</v>
      </c>
      <c r="J61" s="14">
        <v>0.7476941354357922</v>
      </c>
      <c r="K61" s="14">
        <v>0</v>
      </c>
      <c r="L61" s="453">
        <v>0</v>
      </c>
      <c r="M61" s="453">
        <v>0</v>
      </c>
      <c r="N61" s="453">
        <v>0</v>
      </c>
      <c r="O61" s="14">
        <v>0</v>
      </c>
      <c r="P61" s="14">
        <v>0</v>
      </c>
      <c r="Q61" s="453">
        <v>0</v>
      </c>
      <c r="R61" s="453">
        <v>0</v>
      </c>
      <c r="S61" s="15">
        <v>0</v>
      </c>
      <c r="V61" s="5"/>
      <c r="W61" s="14"/>
      <c r="X61" s="453"/>
      <c r="Y61" s="453"/>
      <c r="Z61" s="453"/>
      <c r="AA61" s="453"/>
      <c r="AB61" s="453"/>
      <c r="AC61" s="453"/>
      <c r="AD61" s="14"/>
      <c r="AE61" s="14"/>
      <c r="AF61" s="453"/>
      <c r="AG61" s="453"/>
      <c r="AH61" s="453"/>
      <c r="AI61" s="14"/>
      <c r="AJ61" s="14"/>
      <c r="AK61" s="453"/>
      <c r="AL61" s="453"/>
      <c r="AM61" s="15"/>
    </row>
    <row r="62" spans="1:39" ht="12.75">
      <c r="A62" s="51"/>
      <c r="B62" s="195" t="s">
        <v>643</v>
      </c>
      <c r="C62" s="527">
        <v>-3.0486281655974</v>
      </c>
      <c r="D62" s="480">
        <v>0</v>
      </c>
      <c r="E62" s="527">
        <v>-4.387869540074729</v>
      </c>
      <c r="F62" s="530">
        <v>0</v>
      </c>
      <c r="G62" s="532">
        <v>-5.332559880060328</v>
      </c>
      <c r="H62" s="527">
        <v>-14.535927556242745</v>
      </c>
      <c r="I62" s="530">
        <v>0</v>
      </c>
      <c r="J62" s="455">
        <v>-4.4155417373155315</v>
      </c>
      <c r="K62" s="455">
        <v>0</v>
      </c>
      <c r="L62" s="530">
        <v>0</v>
      </c>
      <c r="M62" s="530">
        <v>0</v>
      </c>
      <c r="N62" s="530">
        <v>0</v>
      </c>
      <c r="O62" s="455">
        <v>0</v>
      </c>
      <c r="P62" s="455">
        <v>0</v>
      </c>
      <c r="Q62" s="530">
        <v>0</v>
      </c>
      <c r="R62" s="530">
        <v>0</v>
      </c>
      <c r="S62" s="456">
        <v>0</v>
      </c>
      <c r="V62" s="195"/>
      <c r="W62" s="397"/>
      <c r="X62" s="399"/>
      <c r="Y62" s="399"/>
      <c r="Z62" s="399"/>
      <c r="AA62" s="399"/>
      <c r="AB62" s="399"/>
      <c r="AC62" s="399"/>
      <c r="AD62" s="397"/>
      <c r="AE62" s="397"/>
      <c r="AF62" s="399"/>
      <c r="AG62" s="399"/>
      <c r="AH62" s="399"/>
      <c r="AI62" s="397"/>
      <c r="AJ62" s="397"/>
      <c r="AK62" s="399"/>
      <c r="AL62" s="399"/>
      <c r="AM62" s="398"/>
    </row>
    <row r="63" spans="1:19" ht="12.75">
      <c r="A63" s="51"/>
      <c r="B63" s="5" t="s">
        <v>621</v>
      </c>
      <c r="C63" s="503">
        <v>0.024823686070788605</v>
      </c>
      <c r="D63" s="453">
        <v>0</v>
      </c>
      <c r="E63" s="453">
        <v>0.17379262813967736</v>
      </c>
      <c r="F63" s="453">
        <v>0</v>
      </c>
      <c r="G63" s="453">
        <v>0.17603267331851316</v>
      </c>
      <c r="H63" s="453">
        <v>0.018637399047421826</v>
      </c>
      <c r="I63" s="453">
        <v>0</v>
      </c>
      <c r="J63" s="14">
        <v>0.11399851854572612</v>
      </c>
      <c r="K63" s="14">
        <v>0</v>
      </c>
      <c r="L63" s="453">
        <v>0</v>
      </c>
      <c r="M63" s="453">
        <v>0</v>
      </c>
      <c r="N63" s="453">
        <v>0</v>
      </c>
      <c r="O63" s="14">
        <v>0</v>
      </c>
      <c r="P63" s="14">
        <v>0</v>
      </c>
      <c r="Q63" s="453">
        <v>0</v>
      </c>
      <c r="R63" s="453">
        <v>0</v>
      </c>
      <c r="S63" s="15">
        <v>0</v>
      </c>
    </row>
    <row r="64" spans="1:24" ht="12.75">
      <c r="A64" s="51"/>
      <c r="B64" s="5" t="s">
        <v>623</v>
      </c>
      <c r="C64" s="503">
        <v>0.057372158243331944</v>
      </c>
      <c r="D64" s="453">
        <v>0</v>
      </c>
      <c r="E64" s="453">
        <v>0.17472048300536672</v>
      </c>
      <c r="F64" s="453">
        <v>0</v>
      </c>
      <c r="G64" s="453">
        <v>0.1971645655588098</v>
      </c>
      <c r="H64" s="453">
        <v>0.022157434402332362</v>
      </c>
      <c r="I64" s="453">
        <v>0</v>
      </c>
      <c r="J64" s="14">
        <v>0.13085646398099146</v>
      </c>
      <c r="K64" s="14">
        <v>0</v>
      </c>
      <c r="L64" s="453">
        <v>0</v>
      </c>
      <c r="M64" s="453">
        <v>0</v>
      </c>
      <c r="N64" s="453">
        <v>0</v>
      </c>
      <c r="O64" s="14">
        <v>0</v>
      </c>
      <c r="P64" s="14">
        <v>0</v>
      </c>
      <c r="Q64" s="453">
        <v>0</v>
      </c>
      <c r="R64" s="453">
        <v>0</v>
      </c>
      <c r="S64" s="15">
        <v>0</v>
      </c>
      <c r="X64" s="50"/>
    </row>
    <row r="65" spans="1:24" ht="12.75">
      <c r="A65" s="51"/>
      <c r="B65" s="195" t="s">
        <v>647</v>
      </c>
      <c r="C65" s="531">
        <v>3.2548472172543335</v>
      </c>
      <c r="D65" s="480">
        <v>0</v>
      </c>
      <c r="E65" s="530">
        <v>0.09278548656893593</v>
      </c>
      <c r="F65" s="530">
        <v>0</v>
      </c>
      <c r="G65" s="530">
        <v>2.113189224029663</v>
      </c>
      <c r="H65" s="530">
        <v>0.3520035354910536</v>
      </c>
      <c r="I65" s="530">
        <v>0</v>
      </c>
      <c r="J65" s="455">
        <v>1.6857945435265336</v>
      </c>
      <c r="K65" s="455">
        <v>0</v>
      </c>
      <c r="L65" s="530">
        <v>0</v>
      </c>
      <c r="M65" s="530">
        <v>0</v>
      </c>
      <c r="N65" s="530">
        <v>0</v>
      </c>
      <c r="O65" s="455">
        <v>0</v>
      </c>
      <c r="P65" s="455">
        <v>0</v>
      </c>
      <c r="Q65" s="530">
        <v>0</v>
      </c>
      <c r="R65" s="530">
        <v>0</v>
      </c>
      <c r="S65" s="456">
        <v>0</v>
      </c>
      <c r="X65" s="51"/>
    </row>
    <row r="66" spans="1:24" ht="12.75">
      <c r="A66" s="51"/>
      <c r="B66" s="5" t="s">
        <v>625</v>
      </c>
      <c r="C66" s="503">
        <v>0.017064229232767264</v>
      </c>
      <c r="D66" s="453">
        <v>0</v>
      </c>
      <c r="E66" s="453">
        <v>0.07227639371043496</v>
      </c>
      <c r="F66" s="453">
        <v>0</v>
      </c>
      <c r="G66" s="453">
        <v>0.03381068086646332</v>
      </c>
      <c r="H66" s="502">
        <v>0.2634085732035618</v>
      </c>
      <c r="I66" s="453">
        <v>0</v>
      </c>
      <c r="J66" s="14">
        <v>0.052812008350015</v>
      </c>
      <c r="K66" s="14">
        <v>0</v>
      </c>
      <c r="L66" s="453">
        <v>0</v>
      </c>
      <c r="M66" s="453">
        <v>0</v>
      </c>
      <c r="N66" s="453">
        <v>0</v>
      </c>
      <c r="O66" s="14">
        <v>0</v>
      </c>
      <c r="P66" s="14">
        <v>0</v>
      </c>
      <c r="Q66" s="453">
        <v>0</v>
      </c>
      <c r="R66" s="453">
        <v>0</v>
      </c>
      <c r="S66" s="15">
        <v>0</v>
      </c>
      <c r="X66" s="51"/>
    </row>
    <row r="67" spans="1:24" ht="12.75">
      <c r="A67" s="51"/>
      <c r="B67" s="5" t="s">
        <v>627</v>
      </c>
      <c r="C67" s="503">
        <v>0.0602064562324721</v>
      </c>
      <c r="D67" s="453">
        <v>0</v>
      </c>
      <c r="E67" s="453">
        <v>0.08879695885509839</v>
      </c>
      <c r="F67" s="453">
        <v>0</v>
      </c>
      <c r="G67" s="453">
        <v>0.050596375058364104</v>
      </c>
      <c r="H67" s="503">
        <v>0.3650145772594752</v>
      </c>
      <c r="I67" s="453">
        <v>0</v>
      </c>
      <c r="J67" s="14">
        <v>0.08126147532130899</v>
      </c>
      <c r="K67" s="14">
        <v>0</v>
      </c>
      <c r="L67" s="453">
        <v>0</v>
      </c>
      <c r="M67" s="453">
        <v>0</v>
      </c>
      <c r="N67" s="453">
        <v>0</v>
      </c>
      <c r="O67" s="14">
        <v>0</v>
      </c>
      <c r="P67" s="14">
        <v>0</v>
      </c>
      <c r="Q67" s="453">
        <v>0</v>
      </c>
      <c r="R67" s="453">
        <v>0</v>
      </c>
      <c r="S67" s="15">
        <v>0</v>
      </c>
      <c r="X67" s="51"/>
    </row>
    <row r="68" spans="1:24" ht="12.75">
      <c r="A68" s="51"/>
      <c r="B68" s="195" t="s">
        <v>653</v>
      </c>
      <c r="C68" s="527">
        <v>4.314222699970484</v>
      </c>
      <c r="D68" s="480">
        <v>0</v>
      </c>
      <c r="E68" s="530">
        <v>1.6520565144663435</v>
      </c>
      <c r="F68" s="530">
        <v>0</v>
      </c>
      <c r="G68" s="530">
        <v>1.6785694191900784</v>
      </c>
      <c r="H68" s="527">
        <v>10.16060040559134</v>
      </c>
      <c r="I68" s="530">
        <v>0</v>
      </c>
      <c r="J68" s="455">
        <v>2.8449466971293997</v>
      </c>
      <c r="K68" s="455">
        <v>0</v>
      </c>
      <c r="L68" s="530">
        <v>0</v>
      </c>
      <c r="M68" s="530">
        <v>0</v>
      </c>
      <c r="N68" s="530">
        <v>0</v>
      </c>
      <c r="O68" s="455">
        <v>0</v>
      </c>
      <c r="P68" s="455">
        <v>0</v>
      </c>
      <c r="Q68" s="530">
        <v>0</v>
      </c>
      <c r="R68" s="530">
        <v>0</v>
      </c>
      <c r="S68" s="456">
        <v>0</v>
      </c>
      <c r="X68" s="51"/>
    </row>
    <row r="69" spans="1:24" ht="12.75">
      <c r="A69" s="51"/>
      <c r="B69" s="5" t="s">
        <v>629</v>
      </c>
      <c r="C69" s="503">
        <v>0.07835078663137648</v>
      </c>
      <c r="D69" s="453">
        <v>0</v>
      </c>
      <c r="E69" s="453">
        <v>0.019182662854809067</v>
      </c>
      <c r="F69" s="453">
        <v>0</v>
      </c>
      <c r="G69" s="453">
        <v>0.012097399576074032</v>
      </c>
      <c r="H69" s="453">
        <v>0</v>
      </c>
      <c r="I69" s="453">
        <v>0</v>
      </c>
      <c r="J69" s="14">
        <v>0.039809492326434166</v>
      </c>
      <c r="K69" s="14">
        <v>0</v>
      </c>
      <c r="L69" s="453">
        <v>0</v>
      </c>
      <c r="M69" s="453">
        <v>0</v>
      </c>
      <c r="N69" s="453">
        <v>0</v>
      </c>
      <c r="O69" s="14">
        <v>0</v>
      </c>
      <c r="P69" s="14">
        <v>0</v>
      </c>
      <c r="Q69" s="453">
        <v>0</v>
      </c>
      <c r="R69" s="453">
        <v>0</v>
      </c>
      <c r="S69" s="15">
        <v>0</v>
      </c>
      <c r="X69" s="51"/>
    </row>
    <row r="70" spans="1:24" ht="12.75">
      <c r="A70" s="51"/>
      <c r="B70" s="5" t="s">
        <v>631</v>
      </c>
      <c r="C70" s="503">
        <v>0.01843785428724864</v>
      </c>
      <c r="D70" s="453">
        <v>0</v>
      </c>
      <c r="E70" s="453">
        <v>0.029796511627906978</v>
      </c>
      <c r="F70" s="453">
        <v>0</v>
      </c>
      <c r="G70" s="453">
        <v>0.02343053610085318</v>
      </c>
      <c r="H70" s="453">
        <v>0.0402332361516035</v>
      </c>
      <c r="I70" s="453">
        <v>0</v>
      </c>
      <c r="J70" s="14">
        <v>0.02516470461172913</v>
      </c>
      <c r="K70" s="14">
        <v>0</v>
      </c>
      <c r="L70" s="453">
        <v>0</v>
      </c>
      <c r="M70" s="453">
        <v>0</v>
      </c>
      <c r="N70" s="453">
        <v>0</v>
      </c>
      <c r="O70" s="14">
        <v>0</v>
      </c>
      <c r="P70" s="14">
        <v>0</v>
      </c>
      <c r="Q70" s="453">
        <v>0</v>
      </c>
      <c r="R70" s="453">
        <v>0</v>
      </c>
      <c r="S70" s="15">
        <v>0</v>
      </c>
      <c r="X70" s="51"/>
    </row>
    <row r="71" spans="1:24" ht="12.75">
      <c r="A71" s="51"/>
      <c r="B71" s="195" t="s">
        <v>655</v>
      </c>
      <c r="C71" s="527">
        <v>-5.991293234412784</v>
      </c>
      <c r="D71" s="480">
        <v>0</v>
      </c>
      <c r="E71" s="530">
        <v>1.0613848773097911</v>
      </c>
      <c r="F71" s="530">
        <v>0</v>
      </c>
      <c r="G71" s="530">
        <v>1.1333136524779146</v>
      </c>
      <c r="H71" s="530">
        <v>0</v>
      </c>
      <c r="I71" s="530">
        <v>0</v>
      </c>
      <c r="J71" s="455">
        <v>-1.4644787714705036</v>
      </c>
      <c r="K71" s="455">
        <v>0</v>
      </c>
      <c r="L71" s="530">
        <v>0</v>
      </c>
      <c r="M71" s="530">
        <v>0</v>
      </c>
      <c r="N71" s="530">
        <v>0</v>
      </c>
      <c r="O71" s="455">
        <v>0</v>
      </c>
      <c r="P71" s="455">
        <v>0</v>
      </c>
      <c r="Q71" s="530">
        <v>0</v>
      </c>
      <c r="R71" s="530">
        <v>0</v>
      </c>
      <c r="S71" s="456">
        <v>0</v>
      </c>
      <c r="X71" s="51"/>
    </row>
    <row r="72" spans="1:24" ht="12.75">
      <c r="A72" s="51"/>
      <c r="B72" s="5" t="s">
        <v>633</v>
      </c>
      <c r="C72" s="14">
        <v>0</v>
      </c>
      <c r="D72" s="453">
        <v>0</v>
      </c>
      <c r="E72" s="453">
        <v>0.003190729017765979</v>
      </c>
      <c r="F72" s="453">
        <v>0</v>
      </c>
      <c r="G72" s="453">
        <v>0</v>
      </c>
      <c r="H72" s="453">
        <v>0</v>
      </c>
      <c r="I72" s="453">
        <v>0</v>
      </c>
      <c r="J72" s="14">
        <v>0.0015304279688772167</v>
      </c>
      <c r="K72" s="14">
        <v>0</v>
      </c>
      <c r="L72" s="453">
        <v>0</v>
      </c>
      <c r="M72" s="453">
        <v>0</v>
      </c>
      <c r="N72" s="453">
        <v>0</v>
      </c>
      <c r="O72" s="14">
        <v>0</v>
      </c>
      <c r="P72" s="14">
        <v>0</v>
      </c>
      <c r="Q72" s="453">
        <v>0</v>
      </c>
      <c r="R72" s="453">
        <v>0</v>
      </c>
      <c r="S72" s="15">
        <v>0</v>
      </c>
      <c r="X72" s="51"/>
    </row>
    <row r="73" spans="1:24" ht="12.75">
      <c r="A73" s="51"/>
      <c r="B73" s="5" t="s">
        <v>635</v>
      </c>
      <c r="C73" s="14">
        <v>0.01470851482785369</v>
      </c>
      <c r="D73" s="453">
        <v>0</v>
      </c>
      <c r="E73" s="453">
        <v>0.01900715563506261</v>
      </c>
      <c r="F73" s="453">
        <v>0</v>
      </c>
      <c r="G73" s="453">
        <v>0.004074875843626639</v>
      </c>
      <c r="H73" s="453">
        <v>0</v>
      </c>
      <c r="I73" s="453">
        <v>0</v>
      </c>
      <c r="J73" s="14">
        <v>0.015023220650178205</v>
      </c>
      <c r="K73" s="14">
        <v>0</v>
      </c>
      <c r="L73" s="453">
        <v>0</v>
      </c>
      <c r="M73" s="453">
        <v>0</v>
      </c>
      <c r="N73" s="453">
        <v>0</v>
      </c>
      <c r="O73" s="14">
        <v>0</v>
      </c>
      <c r="P73" s="14">
        <v>0</v>
      </c>
      <c r="Q73" s="453">
        <v>0</v>
      </c>
      <c r="R73" s="453">
        <v>0</v>
      </c>
      <c r="S73" s="15">
        <v>0</v>
      </c>
      <c r="X73" s="51"/>
    </row>
    <row r="74" spans="1:24" ht="12.75">
      <c r="A74" s="51"/>
      <c r="B74" s="195" t="s">
        <v>661</v>
      </c>
      <c r="C74" s="455">
        <v>0</v>
      </c>
      <c r="D74" s="480">
        <v>0</v>
      </c>
      <c r="E74" s="530">
        <v>1.5816426617296633</v>
      </c>
      <c r="F74" s="530">
        <v>0</v>
      </c>
      <c r="G74" s="530">
        <v>0</v>
      </c>
      <c r="H74" s="530">
        <v>0</v>
      </c>
      <c r="I74" s="530">
        <v>0</v>
      </c>
      <c r="J74" s="455">
        <v>1.3492792681300987</v>
      </c>
      <c r="K74" s="455">
        <v>0</v>
      </c>
      <c r="L74" s="530">
        <v>0</v>
      </c>
      <c r="M74" s="530">
        <v>0</v>
      </c>
      <c r="N74" s="530">
        <v>0</v>
      </c>
      <c r="O74" s="455">
        <v>0</v>
      </c>
      <c r="P74" s="455">
        <v>0</v>
      </c>
      <c r="Q74" s="530">
        <v>0</v>
      </c>
      <c r="R74" s="530">
        <v>0</v>
      </c>
      <c r="S74" s="456">
        <v>0</v>
      </c>
      <c r="X74" s="51"/>
    </row>
    <row r="75" spans="1:19" ht="12.75">
      <c r="A75" s="51"/>
      <c r="B75" s="5" t="s">
        <v>637</v>
      </c>
      <c r="C75" s="14">
        <v>0</v>
      </c>
      <c r="D75" s="453">
        <v>0</v>
      </c>
      <c r="E75" s="453">
        <v>0</v>
      </c>
      <c r="F75" s="453">
        <v>0</v>
      </c>
      <c r="G75" s="453">
        <v>0</v>
      </c>
      <c r="H75" s="453">
        <v>0</v>
      </c>
      <c r="I75" s="453">
        <v>0</v>
      </c>
      <c r="J75" s="14">
        <v>0</v>
      </c>
      <c r="K75" s="14">
        <v>0</v>
      </c>
      <c r="L75" s="453">
        <v>0</v>
      </c>
      <c r="M75" s="453">
        <v>0</v>
      </c>
      <c r="N75" s="453">
        <v>0</v>
      </c>
      <c r="O75" s="14">
        <v>0</v>
      </c>
      <c r="P75" s="14">
        <v>0</v>
      </c>
      <c r="Q75" s="453">
        <v>0</v>
      </c>
      <c r="R75" s="453">
        <v>0</v>
      </c>
      <c r="S75" s="15">
        <v>0</v>
      </c>
    </row>
    <row r="76" spans="1:19" ht="12.75">
      <c r="A76" s="51"/>
      <c r="B76" s="5" t="s">
        <v>639</v>
      </c>
      <c r="C76" s="14">
        <v>0</v>
      </c>
      <c r="D76" s="453">
        <v>0</v>
      </c>
      <c r="E76" s="453">
        <v>0</v>
      </c>
      <c r="F76" s="453">
        <v>0</v>
      </c>
      <c r="G76" s="453">
        <v>0</v>
      </c>
      <c r="H76" s="453">
        <v>0</v>
      </c>
      <c r="I76" s="453">
        <v>0</v>
      </c>
      <c r="J76" s="14">
        <v>0</v>
      </c>
      <c r="K76" s="14">
        <v>0</v>
      </c>
      <c r="L76" s="453">
        <v>0</v>
      </c>
      <c r="M76" s="453">
        <v>0</v>
      </c>
      <c r="N76" s="453">
        <v>0</v>
      </c>
      <c r="O76" s="14">
        <v>0</v>
      </c>
      <c r="P76" s="14">
        <v>0</v>
      </c>
      <c r="Q76" s="453">
        <v>0</v>
      </c>
      <c r="R76" s="453">
        <v>0</v>
      </c>
      <c r="S76" s="15">
        <v>0</v>
      </c>
    </row>
    <row r="77" spans="1:19" ht="12.75">
      <c r="A77" s="454"/>
      <c r="B77" s="477" t="s">
        <v>663</v>
      </c>
      <c r="C77" s="470">
        <v>0</v>
      </c>
      <c r="D77" s="481">
        <v>0</v>
      </c>
      <c r="E77" s="529">
        <v>0</v>
      </c>
      <c r="F77" s="529">
        <v>0</v>
      </c>
      <c r="G77" s="529">
        <v>0</v>
      </c>
      <c r="H77" s="529">
        <v>0</v>
      </c>
      <c r="I77" s="529">
        <v>0</v>
      </c>
      <c r="J77" s="470">
        <v>0</v>
      </c>
      <c r="K77" s="470">
        <v>0</v>
      </c>
      <c r="L77" s="529">
        <v>0</v>
      </c>
      <c r="M77" s="529">
        <v>0</v>
      </c>
      <c r="N77" s="529">
        <v>0</v>
      </c>
      <c r="O77" s="470">
        <v>0</v>
      </c>
      <c r="P77" s="470">
        <v>0</v>
      </c>
      <c r="Q77" s="529">
        <v>0</v>
      </c>
      <c r="R77" s="529">
        <v>0</v>
      </c>
      <c r="S77" s="471">
        <v>0</v>
      </c>
    </row>
    <row r="78" spans="1:21" s="48" customFormat="1" ht="12.75">
      <c r="A78" s="50" t="s">
        <v>234</v>
      </c>
      <c r="B78" s="3" t="s">
        <v>593</v>
      </c>
      <c r="C78" s="11">
        <v>0.9797513764080497</v>
      </c>
      <c r="D78" s="12">
        <v>0</v>
      </c>
      <c r="E78" s="12">
        <v>0</v>
      </c>
      <c r="F78" s="12">
        <v>0</v>
      </c>
      <c r="G78" s="12">
        <v>0</v>
      </c>
      <c r="H78" s="12">
        <v>0</v>
      </c>
      <c r="I78" s="12">
        <v>0</v>
      </c>
      <c r="J78" s="11">
        <v>0.9797513764080497</v>
      </c>
      <c r="K78" s="11">
        <v>0</v>
      </c>
      <c r="L78" s="12">
        <v>0</v>
      </c>
      <c r="M78" s="12">
        <v>0.9112451677400255</v>
      </c>
      <c r="N78" s="12">
        <v>0.8823552334190632</v>
      </c>
      <c r="O78" s="11">
        <v>0.9060314424054038</v>
      </c>
      <c r="P78" s="11">
        <v>0</v>
      </c>
      <c r="Q78" s="12">
        <v>0</v>
      </c>
      <c r="R78" s="12">
        <v>0</v>
      </c>
      <c r="S78" s="13">
        <v>0</v>
      </c>
      <c r="T78"/>
      <c r="U78"/>
    </row>
    <row r="79" spans="1:19" ht="12.75">
      <c r="A79" s="51"/>
      <c r="B79" s="5" t="s">
        <v>595</v>
      </c>
      <c r="C79" s="14">
        <v>0.9720246928236481</v>
      </c>
      <c r="D79" s="453">
        <v>0</v>
      </c>
      <c r="E79" s="453">
        <v>0</v>
      </c>
      <c r="F79" s="453">
        <v>0</v>
      </c>
      <c r="G79" s="453">
        <v>0</v>
      </c>
      <c r="H79" s="453">
        <v>0</v>
      </c>
      <c r="I79" s="453">
        <v>0</v>
      </c>
      <c r="J79" s="14">
        <v>0.9720246928236481</v>
      </c>
      <c r="K79" s="14">
        <v>0</v>
      </c>
      <c r="L79" s="453">
        <v>0</v>
      </c>
      <c r="M79" s="453">
        <v>0.9125708863635351</v>
      </c>
      <c r="N79" s="453">
        <v>0.8792746113989637</v>
      </c>
      <c r="O79" s="14">
        <v>0.9064876810881857</v>
      </c>
      <c r="P79" s="14">
        <v>0</v>
      </c>
      <c r="Q79" s="453">
        <v>0</v>
      </c>
      <c r="R79" s="453">
        <v>0</v>
      </c>
      <c r="S79" s="15">
        <v>0</v>
      </c>
    </row>
    <row r="80" spans="1:19" ht="12.75">
      <c r="A80" s="51"/>
      <c r="B80" s="476" t="s">
        <v>641</v>
      </c>
      <c r="C80" s="472">
        <v>-0.7726683584401539</v>
      </c>
      <c r="D80" s="533">
        <v>0</v>
      </c>
      <c r="E80" s="533">
        <v>0</v>
      </c>
      <c r="F80" s="533">
        <v>0</v>
      </c>
      <c r="G80" s="533">
        <v>0</v>
      </c>
      <c r="H80" s="533">
        <v>0</v>
      </c>
      <c r="I80" s="533">
        <v>0</v>
      </c>
      <c r="J80" s="472">
        <v>-0.7726683584401539</v>
      </c>
      <c r="K80" s="472">
        <v>0</v>
      </c>
      <c r="L80" s="533">
        <v>0</v>
      </c>
      <c r="M80" s="533">
        <v>0.13257186235096086</v>
      </c>
      <c r="N80" s="533">
        <v>-0.30806220200995105</v>
      </c>
      <c r="O80" s="472">
        <v>0.04562386827818843</v>
      </c>
      <c r="P80" s="472">
        <v>0</v>
      </c>
      <c r="Q80" s="533">
        <v>0</v>
      </c>
      <c r="R80" s="533">
        <v>0</v>
      </c>
      <c r="S80" s="473">
        <v>0</v>
      </c>
    </row>
    <row r="81" spans="1:19" ht="12.75">
      <c r="A81" s="51"/>
      <c r="B81" s="5" t="s">
        <v>597</v>
      </c>
      <c r="C81" s="14">
        <v>0</v>
      </c>
      <c r="D81" s="453">
        <v>0</v>
      </c>
      <c r="E81" s="453">
        <v>0</v>
      </c>
      <c r="F81" s="453">
        <v>0</v>
      </c>
      <c r="G81" s="453">
        <v>0</v>
      </c>
      <c r="H81" s="453">
        <v>0</v>
      </c>
      <c r="I81" s="453">
        <v>0</v>
      </c>
      <c r="J81" s="14">
        <v>0</v>
      </c>
      <c r="K81" s="14">
        <v>0</v>
      </c>
      <c r="L81" s="453">
        <v>0</v>
      </c>
      <c r="M81" s="453">
        <v>0</v>
      </c>
      <c r="N81" s="453">
        <v>0</v>
      </c>
      <c r="O81" s="14">
        <v>0</v>
      </c>
      <c r="P81" s="14">
        <v>0</v>
      </c>
      <c r="Q81" s="453">
        <v>0</v>
      </c>
      <c r="R81" s="453">
        <v>0</v>
      </c>
      <c r="S81" s="15">
        <v>0</v>
      </c>
    </row>
    <row r="82" spans="1:19" ht="12.75">
      <c r="A82" s="51"/>
      <c r="B82" s="5" t="s">
        <v>599</v>
      </c>
      <c r="C82" s="14">
        <v>0</v>
      </c>
      <c r="D82" s="453">
        <v>0</v>
      </c>
      <c r="E82" s="453">
        <v>0</v>
      </c>
      <c r="F82" s="453">
        <v>0</v>
      </c>
      <c r="G82" s="453">
        <v>0</v>
      </c>
      <c r="H82" s="453">
        <v>0</v>
      </c>
      <c r="I82" s="453">
        <v>0</v>
      </c>
      <c r="J82" s="14">
        <v>0</v>
      </c>
      <c r="K82" s="14">
        <v>0</v>
      </c>
      <c r="L82" s="453">
        <v>0</v>
      </c>
      <c r="M82" s="453">
        <v>0</v>
      </c>
      <c r="N82" s="453">
        <v>0</v>
      </c>
      <c r="O82" s="14">
        <v>0</v>
      </c>
      <c r="P82" s="14">
        <v>0</v>
      </c>
      <c r="Q82" s="453">
        <v>0</v>
      </c>
      <c r="R82" s="453">
        <v>0</v>
      </c>
      <c r="S82" s="15">
        <v>0</v>
      </c>
    </row>
    <row r="83" spans="1:19" ht="12.75">
      <c r="A83" s="51"/>
      <c r="B83" s="476" t="s">
        <v>649</v>
      </c>
      <c r="C83" s="455">
        <v>0</v>
      </c>
      <c r="D83" s="530">
        <v>0</v>
      </c>
      <c r="E83" s="530">
        <v>0</v>
      </c>
      <c r="F83" s="530">
        <v>0</v>
      </c>
      <c r="G83" s="530">
        <v>0</v>
      </c>
      <c r="H83" s="530">
        <v>0</v>
      </c>
      <c r="I83" s="530">
        <v>0</v>
      </c>
      <c r="J83" s="455">
        <v>0</v>
      </c>
      <c r="K83" s="455">
        <v>0</v>
      </c>
      <c r="L83" s="530">
        <v>0</v>
      </c>
      <c r="M83" s="530">
        <v>0</v>
      </c>
      <c r="N83" s="530">
        <v>0</v>
      </c>
      <c r="O83" s="455">
        <v>0</v>
      </c>
      <c r="P83" s="455">
        <v>0</v>
      </c>
      <c r="Q83" s="530">
        <v>0</v>
      </c>
      <c r="R83" s="530">
        <v>0</v>
      </c>
      <c r="S83" s="456">
        <v>0</v>
      </c>
    </row>
    <row r="84" spans="1:19" ht="12.75">
      <c r="A84" s="51"/>
      <c r="B84" s="5" t="s">
        <v>603</v>
      </c>
      <c r="C84" s="14">
        <v>0.015239368434375395</v>
      </c>
      <c r="D84" s="453">
        <v>0</v>
      </c>
      <c r="E84" s="453">
        <v>0</v>
      </c>
      <c r="F84" s="453">
        <v>0</v>
      </c>
      <c r="G84" s="453">
        <v>0</v>
      </c>
      <c r="H84" s="453">
        <v>0</v>
      </c>
      <c r="I84" s="453">
        <v>0</v>
      </c>
      <c r="J84" s="14">
        <v>0.015239368434375395</v>
      </c>
      <c r="K84" s="14">
        <v>0</v>
      </c>
      <c r="L84" s="453">
        <v>0</v>
      </c>
      <c r="M84" s="453">
        <v>0.03596788933749233</v>
      </c>
      <c r="N84" s="453">
        <v>0.07840386563790819</v>
      </c>
      <c r="O84" s="14">
        <v>0.043626249591234664</v>
      </c>
      <c r="P84" s="14">
        <v>0</v>
      </c>
      <c r="Q84" s="453">
        <v>0</v>
      </c>
      <c r="R84" s="453">
        <v>0</v>
      </c>
      <c r="S84" s="15">
        <v>0</v>
      </c>
    </row>
    <row r="85" spans="1:19" ht="12.75">
      <c r="A85" s="51"/>
      <c r="B85" s="5" t="s">
        <v>605</v>
      </c>
      <c r="C85" s="14">
        <v>0</v>
      </c>
      <c r="D85" s="453">
        <v>0</v>
      </c>
      <c r="E85" s="453">
        <v>0</v>
      </c>
      <c r="F85" s="453">
        <v>0</v>
      </c>
      <c r="G85" s="453">
        <v>0</v>
      </c>
      <c r="H85" s="453">
        <v>0</v>
      </c>
      <c r="I85" s="453">
        <v>0</v>
      </c>
      <c r="J85" s="14">
        <v>0</v>
      </c>
      <c r="K85" s="14">
        <v>0</v>
      </c>
      <c r="L85" s="453">
        <v>0</v>
      </c>
      <c r="M85" s="453">
        <v>0.037553624169744164</v>
      </c>
      <c r="N85" s="453">
        <v>0.08447588680749303</v>
      </c>
      <c r="O85" s="14">
        <v>0.04612628750559785</v>
      </c>
      <c r="P85" s="14">
        <v>0</v>
      </c>
      <c r="Q85" s="453">
        <v>0</v>
      </c>
      <c r="R85" s="453">
        <v>0</v>
      </c>
      <c r="S85" s="15">
        <v>0</v>
      </c>
    </row>
    <row r="86" spans="1:19" ht="12.75">
      <c r="A86" s="51"/>
      <c r="B86" s="476" t="s">
        <v>651</v>
      </c>
      <c r="C86" s="455">
        <v>-1.5239368434375395</v>
      </c>
      <c r="D86" s="530">
        <v>0</v>
      </c>
      <c r="E86" s="530">
        <v>0</v>
      </c>
      <c r="F86" s="530">
        <v>0</v>
      </c>
      <c r="G86" s="530">
        <v>0</v>
      </c>
      <c r="H86" s="530">
        <v>0</v>
      </c>
      <c r="I86" s="530">
        <v>0</v>
      </c>
      <c r="J86" s="455">
        <v>-1.5239368434375395</v>
      </c>
      <c r="K86" s="455">
        <v>0</v>
      </c>
      <c r="L86" s="530">
        <v>0</v>
      </c>
      <c r="M86" s="530">
        <v>0.15857348322518353</v>
      </c>
      <c r="N86" s="530">
        <v>0.6072021169584843</v>
      </c>
      <c r="O86" s="455">
        <v>0.25000379143631857</v>
      </c>
      <c r="P86" s="455">
        <v>0</v>
      </c>
      <c r="Q86" s="530">
        <v>0</v>
      </c>
      <c r="R86" s="530">
        <v>0</v>
      </c>
      <c r="S86" s="456">
        <v>0</v>
      </c>
    </row>
    <row r="87" spans="1:19" ht="12.75">
      <c r="A87" s="51"/>
      <c r="B87" s="5" t="s">
        <v>607</v>
      </c>
      <c r="C87" s="14">
        <v>0.001934090621440324</v>
      </c>
      <c r="D87" s="453">
        <v>0</v>
      </c>
      <c r="E87" s="453">
        <v>0</v>
      </c>
      <c r="F87" s="453">
        <v>0</v>
      </c>
      <c r="G87" s="453">
        <v>0</v>
      </c>
      <c r="H87" s="453">
        <v>0</v>
      </c>
      <c r="I87" s="453">
        <v>0</v>
      </c>
      <c r="J87" s="14">
        <v>0.001934090621440324</v>
      </c>
      <c r="K87" s="14">
        <v>0</v>
      </c>
      <c r="L87" s="453">
        <v>0</v>
      </c>
      <c r="M87" s="453">
        <v>0.0019736644512998295</v>
      </c>
      <c r="N87" s="453">
        <v>0.002513444002805705</v>
      </c>
      <c r="O87" s="14">
        <v>0.002071077698818185</v>
      </c>
      <c r="P87" s="14">
        <v>0</v>
      </c>
      <c r="Q87" s="453">
        <v>0</v>
      </c>
      <c r="R87" s="453">
        <v>0</v>
      </c>
      <c r="S87" s="15">
        <v>0</v>
      </c>
    </row>
    <row r="88" spans="1:19" ht="12.75">
      <c r="A88" s="51"/>
      <c r="B88" s="5" t="s">
        <v>609</v>
      </c>
      <c r="C88" s="14">
        <v>0.0035772936823568985</v>
      </c>
      <c r="D88" s="453">
        <v>0</v>
      </c>
      <c r="E88" s="453">
        <v>0</v>
      </c>
      <c r="F88" s="453">
        <v>0</v>
      </c>
      <c r="G88" s="453">
        <v>0</v>
      </c>
      <c r="H88" s="453">
        <v>0</v>
      </c>
      <c r="I88" s="453">
        <v>0</v>
      </c>
      <c r="J88" s="14">
        <v>0.0035772936823568985</v>
      </c>
      <c r="K88" s="14">
        <v>0</v>
      </c>
      <c r="L88" s="453">
        <v>0</v>
      </c>
      <c r="M88" s="453">
        <v>0.002499120184961622</v>
      </c>
      <c r="N88" s="453">
        <v>0.00296931048226385</v>
      </c>
      <c r="O88" s="14">
        <v>0.002585023611095941</v>
      </c>
      <c r="P88" s="14">
        <v>0</v>
      </c>
      <c r="Q88" s="453">
        <v>0</v>
      </c>
      <c r="R88" s="453">
        <v>0</v>
      </c>
      <c r="S88" s="15">
        <v>0</v>
      </c>
    </row>
    <row r="89" spans="1:19" ht="12.75">
      <c r="A89" s="51"/>
      <c r="B89" s="476" t="s">
        <v>657</v>
      </c>
      <c r="C89" s="455">
        <v>0.16432030609165746</v>
      </c>
      <c r="D89" s="530">
        <v>0</v>
      </c>
      <c r="E89" s="530">
        <v>0</v>
      </c>
      <c r="F89" s="530">
        <v>0</v>
      </c>
      <c r="G89" s="530">
        <v>0</v>
      </c>
      <c r="H89" s="530">
        <v>0</v>
      </c>
      <c r="I89" s="530">
        <v>0</v>
      </c>
      <c r="J89" s="455">
        <v>0.16432030609165746</v>
      </c>
      <c r="K89" s="455">
        <v>0</v>
      </c>
      <c r="L89" s="530">
        <v>0</v>
      </c>
      <c r="M89" s="530">
        <v>0.05254557336617925</v>
      </c>
      <c r="N89" s="530">
        <v>0.04558664794581452</v>
      </c>
      <c r="O89" s="455">
        <v>0.05139459122777559</v>
      </c>
      <c r="P89" s="455">
        <v>0</v>
      </c>
      <c r="Q89" s="530">
        <v>0</v>
      </c>
      <c r="R89" s="530">
        <v>0</v>
      </c>
      <c r="S89" s="456">
        <v>0</v>
      </c>
    </row>
    <row r="90" spans="1:19" ht="12.75">
      <c r="A90" s="51"/>
      <c r="B90" s="5" t="s">
        <v>611</v>
      </c>
      <c r="C90" s="14">
        <v>0.0030751645361346666</v>
      </c>
      <c r="D90" s="453">
        <v>0</v>
      </c>
      <c r="E90" s="453">
        <v>0</v>
      </c>
      <c r="F90" s="453">
        <v>0</v>
      </c>
      <c r="G90" s="453">
        <v>0</v>
      </c>
      <c r="H90" s="453">
        <v>0</v>
      </c>
      <c r="I90" s="453">
        <v>0</v>
      </c>
      <c r="J90" s="14">
        <v>0.0030751645361346666</v>
      </c>
      <c r="K90" s="14">
        <v>0</v>
      </c>
      <c r="L90" s="453">
        <v>0</v>
      </c>
      <c r="M90" s="453">
        <v>0.05081327847118235</v>
      </c>
      <c r="N90" s="453">
        <v>0.0367274569402229</v>
      </c>
      <c r="O90" s="14">
        <v>0.04827123030454336</v>
      </c>
      <c r="P90" s="14">
        <v>0</v>
      </c>
      <c r="Q90" s="453">
        <v>0</v>
      </c>
      <c r="R90" s="453">
        <v>0</v>
      </c>
      <c r="S90" s="15">
        <v>0</v>
      </c>
    </row>
    <row r="91" spans="1:19" ht="12.75">
      <c r="A91" s="51"/>
      <c r="B91" s="5" t="s">
        <v>613</v>
      </c>
      <c r="C91" s="14">
        <v>0</v>
      </c>
      <c r="D91" s="453">
        <v>0</v>
      </c>
      <c r="E91" s="453">
        <v>0</v>
      </c>
      <c r="F91" s="453">
        <v>0</v>
      </c>
      <c r="G91" s="453">
        <v>0</v>
      </c>
      <c r="H91" s="453">
        <v>0</v>
      </c>
      <c r="I91" s="453">
        <v>0</v>
      </c>
      <c r="J91" s="14">
        <v>0</v>
      </c>
      <c r="K91" s="14">
        <v>0</v>
      </c>
      <c r="L91" s="453">
        <v>0</v>
      </c>
      <c r="M91" s="453">
        <v>0.0473763692817591</v>
      </c>
      <c r="N91" s="453">
        <v>0.03328019131127939</v>
      </c>
      <c r="O91" s="14">
        <v>0.044801007795120494</v>
      </c>
      <c r="P91" s="14">
        <v>0</v>
      </c>
      <c r="Q91" s="453">
        <v>0</v>
      </c>
      <c r="R91" s="453">
        <v>0</v>
      </c>
      <c r="S91" s="15">
        <v>0</v>
      </c>
    </row>
    <row r="92" spans="1:19" ht="12.75">
      <c r="A92" s="51"/>
      <c r="B92" s="476" t="s">
        <v>659</v>
      </c>
      <c r="C92" s="455">
        <v>-0.3075164536134667</v>
      </c>
      <c r="D92" s="530">
        <v>0</v>
      </c>
      <c r="E92" s="530">
        <v>0</v>
      </c>
      <c r="F92" s="530">
        <v>0</v>
      </c>
      <c r="G92" s="530">
        <v>0</v>
      </c>
      <c r="H92" s="530">
        <v>0</v>
      </c>
      <c r="I92" s="530">
        <v>0</v>
      </c>
      <c r="J92" s="455">
        <v>-0.3075164536134667</v>
      </c>
      <c r="K92" s="455">
        <v>0</v>
      </c>
      <c r="L92" s="530">
        <v>0</v>
      </c>
      <c r="M92" s="530">
        <v>-0.3436909189423257</v>
      </c>
      <c r="N92" s="530">
        <v>-0.34472656289435066</v>
      </c>
      <c r="O92" s="455">
        <v>-0.34702225094228667</v>
      </c>
      <c r="P92" s="455">
        <v>0</v>
      </c>
      <c r="Q92" s="530">
        <v>0</v>
      </c>
      <c r="R92" s="530">
        <v>0</v>
      </c>
      <c r="S92" s="456">
        <v>0</v>
      </c>
    </row>
    <row r="93" spans="1:19" ht="12.75">
      <c r="A93" s="51"/>
      <c r="B93" s="5" t="s">
        <v>615</v>
      </c>
      <c r="C93" s="14">
        <v>0</v>
      </c>
      <c r="D93" s="453">
        <v>0</v>
      </c>
      <c r="E93" s="453">
        <v>0</v>
      </c>
      <c r="F93" s="453">
        <v>0</v>
      </c>
      <c r="G93" s="453">
        <v>0</v>
      </c>
      <c r="H93" s="453">
        <v>0</v>
      </c>
      <c r="I93" s="453">
        <v>0</v>
      </c>
      <c r="J93" s="14">
        <v>0</v>
      </c>
      <c r="K93" s="14">
        <v>0</v>
      </c>
      <c r="L93" s="453">
        <v>0</v>
      </c>
      <c r="M93" s="453">
        <v>0</v>
      </c>
      <c r="N93" s="453">
        <v>0</v>
      </c>
      <c r="O93" s="14">
        <v>0</v>
      </c>
      <c r="P93" s="14">
        <v>0</v>
      </c>
      <c r="Q93" s="453">
        <v>0</v>
      </c>
      <c r="R93" s="453">
        <v>0</v>
      </c>
      <c r="S93" s="15">
        <v>0</v>
      </c>
    </row>
    <row r="94" spans="1:19" ht="12.75">
      <c r="A94" s="51"/>
      <c r="B94" s="5" t="s">
        <v>617</v>
      </c>
      <c r="C94" s="14">
        <v>0.024398013493994973</v>
      </c>
      <c r="D94" s="453">
        <v>0</v>
      </c>
      <c r="E94" s="453">
        <v>0</v>
      </c>
      <c r="F94" s="453">
        <v>0</v>
      </c>
      <c r="G94" s="453">
        <v>0</v>
      </c>
      <c r="H94" s="453">
        <v>0</v>
      </c>
      <c r="I94" s="453">
        <v>0</v>
      </c>
      <c r="J94" s="14">
        <v>0.024398013493994973</v>
      </c>
      <c r="K94" s="14">
        <v>0</v>
      </c>
      <c r="L94" s="453">
        <v>0</v>
      </c>
      <c r="M94" s="453">
        <v>0</v>
      </c>
      <c r="N94" s="453">
        <v>0</v>
      </c>
      <c r="O94" s="14">
        <v>0</v>
      </c>
      <c r="P94" s="14">
        <v>0</v>
      </c>
      <c r="Q94" s="453">
        <v>0</v>
      </c>
      <c r="R94" s="453">
        <v>0</v>
      </c>
      <c r="S94" s="15">
        <v>0</v>
      </c>
    </row>
    <row r="95" spans="1:19" ht="12.75">
      <c r="A95" s="51"/>
      <c r="B95" s="476" t="s">
        <v>645</v>
      </c>
      <c r="C95" s="455">
        <v>0</v>
      </c>
      <c r="D95" s="530">
        <v>0</v>
      </c>
      <c r="E95" s="530">
        <v>0</v>
      </c>
      <c r="F95" s="530">
        <v>0</v>
      </c>
      <c r="G95" s="530">
        <v>0</v>
      </c>
      <c r="H95" s="530">
        <v>0</v>
      </c>
      <c r="I95" s="530">
        <v>0</v>
      </c>
      <c r="J95" s="455">
        <v>0</v>
      </c>
      <c r="K95" s="455">
        <v>0</v>
      </c>
      <c r="L95" s="530">
        <v>0</v>
      </c>
      <c r="M95" s="530">
        <v>0</v>
      </c>
      <c r="N95" s="530">
        <v>0</v>
      </c>
      <c r="O95" s="455">
        <v>0</v>
      </c>
      <c r="P95" s="455">
        <v>0</v>
      </c>
      <c r="Q95" s="530">
        <v>0</v>
      </c>
      <c r="R95" s="530">
        <v>0</v>
      </c>
      <c r="S95" s="456">
        <v>0</v>
      </c>
    </row>
    <row r="96" spans="1:19" ht="12.75">
      <c r="A96" s="51"/>
      <c r="B96" s="5" t="s">
        <v>601</v>
      </c>
      <c r="C96" s="14">
        <v>0.965020366598778</v>
      </c>
      <c r="D96" s="453">
        <v>0</v>
      </c>
      <c r="E96" s="453">
        <v>0</v>
      </c>
      <c r="F96" s="453">
        <v>0</v>
      </c>
      <c r="G96" s="453">
        <v>0</v>
      </c>
      <c r="H96" s="453">
        <v>0</v>
      </c>
      <c r="I96" s="453">
        <v>0</v>
      </c>
      <c r="J96" s="14">
        <v>0.965020366598778</v>
      </c>
      <c r="K96" s="14">
        <v>0</v>
      </c>
      <c r="L96" s="453">
        <v>0</v>
      </c>
      <c r="M96" s="453">
        <v>0</v>
      </c>
      <c r="N96" s="453">
        <v>0</v>
      </c>
      <c r="O96" s="14">
        <v>0</v>
      </c>
      <c r="P96" s="14">
        <v>0</v>
      </c>
      <c r="Q96" s="453">
        <v>0</v>
      </c>
      <c r="R96" s="453">
        <v>0</v>
      </c>
      <c r="S96" s="15">
        <v>0</v>
      </c>
    </row>
    <row r="97" spans="1:19" ht="12.75">
      <c r="A97" s="51"/>
      <c r="B97" s="5" t="s">
        <v>619</v>
      </c>
      <c r="C97" s="14">
        <v>0.9566453203657409</v>
      </c>
      <c r="D97" s="453">
        <v>0</v>
      </c>
      <c r="E97" s="453">
        <v>0</v>
      </c>
      <c r="F97" s="453">
        <v>0</v>
      </c>
      <c r="G97" s="453">
        <v>0</v>
      </c>
      <c r="H97" s="453">
        <v>0</v>
      </c>
      <c r="I97" s="453">
        <v>0</v>
      </c>
      <c r="J97" s="14">
        <v>0.9566453203657409</v>
      </c>
      <c r="K97" s="14">
        <v>0</v>
      </c>
      <c r="L97" s="453">
        <v>0</v>
      </c>
      <c r="M97" s="453">
        <v>0</v>
      </c>
      <c r="N97" s="453">
        <v>0</v>
      </c>
      <c r="O97" s="14">
        <v>0</v>
      </c>
      <c r="P97" s="14">
        <v>0</v>
      </c>
      <c r="Q97" s="453">
        <v>0</v>
      </c>
      <c r="R97" s="453">
        <v>0</v>
      </c>
      <c r="S97" s="15">
        <v>0</v>
      </c>
    </row>
    <row r="98" spans="1:19" ht="12.75">
      <c r="A98" s="51"/>
      <c r="B98" s="476" t="s">
        <v>643</v>
      </c>
      <c r="C98" s="455">
        <v>-0.8375046233037087</v>
      </c>
      <c r="D98" s="530">
        <v>0</v>
      </c>
      <c r="E98" s="530">
        <v>0</v>
      </c>
      <c r="F98" s="530">
        <v>0</v>
      </c>
      <c r="G98" s="530">
        <v>0</v>
      </c>
      <c r="H98" s="530">
        <v>0</v>
      </c>
      <c r="I98" s="530">
        <v>0</v>
      </c>
      <c r="J98" s="455">
        <v>-0.8375046233037087</v>
      </c>
      <c r="K98" s="455">
        <v>0</v>
      </c>
      <c r="L98" s="530">
        <v>0</v>
      </c>
      <c r="M98" s="530">
        <v>0</v>
      </c>
      <c r="N98" s="530">
        <v>0</v>
      </c>
      <c r="O98" s="455">
        <v>0</v>
      </c>
      <c r="P98" s="455">
        <v>0</v>
      </c>
      <c r="Q98" s="530">
        <v>0</v>
      </c>
      <c r="R98" s="530">
        <v>0</v>
      </c>
      <c r="S98" s="456">
        <v>0</v>
      </c>
    </row>
    <row r="99" spans="1:19" ht="12.75">
      <c r="A99" s="51"/>
      <c r="B99" s="5" t="s">
        <v>621</v>
      </c>
      <c r="C99" s="14">
        <v>0</v>
      </c>
      <c r="D99" s="453">
        <v>0</v>
      </c>
      <c r="E99" s="453">
        <v>0</v>
      </c>
      <c r="F99" s="453">
        <v>0</v>
      </c>
      <c r="G99" s="453">
        <v>0</v>
      </c>
      <c r="H99" s="453">
        <v>0</v>
      </c>
      <c r="I99" s="453">
        <v>0</v>
      </c>
      <c r="J99" s="14">
        <v>0</v>
      </c>
      <c r="K99" s="14">
        <v>0</v>
      </c>
      <c r="L99" s="453">
        <v>0</v>
      </c>
      <c r="M99" s="453">
        <v>0</v>
      </c>
      <c r="N99" s="453">
        <v>0</v>
      </c>
      <c r="O99" s="14">
        <v>0</v>
      </c>
      <c r="P99" s="14">
        <v>0</v>
      </c>
      <c r="Q99" s="453">
        <v>0</v>
      </c>
      <c r="R99" s="453">
        <v>0</v>
      </c>
      <c r="S99" s="15">
        <v>0</v>
      </c>
    </row>
    <row r="100" spans="1:19" ht="12.75">
      <c r="A100" s="51"/>
      <c r="B100" s="5" t="s">
        <v>623</v>
      </c>
      <c r="C100" s="14">
        <v>0</v>
      </c>
      <c r="D100" s="453">
        <v>0</v>
      </c>
      <c r="E100" s="453">
        <v>0</v>
      </c>
      <c r="F100" s="453">
        <v>0</v>
      </c>
      <c r="G100" s="453">
        <v>0</v>
      </c>
      <c r="H100" s="453">
        <v>0</v>
      </c>
      <c r="I100" s="453">
        <v>0</v>
      </c>
      <c r="J100" s="14">
        <v>0</v>
      </c>
      <c r="K100" s="14">
        <v>0</v>
      </c>
      <c r="L100" s="453">
        <v>0</v>
      </c>
      <c r="M100" s="453">
        <v>0</v>
      </c>
      <c r="N100" s="453">
        <v>0</v>
      </c>
      <c r="O100" s="14">
        <v>0</v>
      </c>
      <c r="P100" s="14">
        <v>0</v>
      </c>
      <c r="Q100" s="453">
        <v>0</v>
      </c>
      <c r="R100" s="453">
        <v>0</v>
      </c>
      <c r="S100" s="15">
        <v>0</v>
      </c>
    </row>
    <row r="101" spans="1:19" ht="12.75">
      <c r="A101" s="51"/>
      <c r="B101" s="476" t="s">
        <v>647</v>
      </c>
      <c r="C101" s="455">
        <v>0</v>
      </c>
      <c r="D101" s="530">
        <v>0</v>
      </c>
      <c r="E101" s="530">
        <v>0</v>
      </c>
      <c r="F101" s="530">
        <v>0</v>
      </c>
      <c r="G101" s="530">
        <v>0</v>
      </c>
      <c r="H101" s="530">
        <v>0</v>
      </c>
      <c r="I101" s="530">
        <v>0</v>
      </c>
      <c r="J101" s="455">
        <v>0</v>
      </c>
      <c r="K101" s="455">
        <v>0</v>
      </c>
      <c r="L101" s="530">
        <v>0</v>
      </c>
      <c r="M101" s="530">
        <v>0</v>
      </c>
      <c r="N101" s="530">
        <v>0</v>
      </c>
      <c r="O101" s="455">
        <v>0</v>
      </c>
      <c r="P101" s="455">
        <v>0</v>
      </c>
      <c r="Q101" s="530">
        <v>0</v>
      </c>
      <c r="R101" s="530">
        <v>0</v>
      </c>
      <c r="S101" s="456">
        <v>0</v>
      </c>
    </row>
    <row r="102" spans="1:19" ht="12.75">
      <c r="A102" s="51"/>
      <c r="B102" s="5" t="s">
        <v>625</v>
      </c>
      <c r="C102" s="14">
        <v>0.016479972844534962</v>
      </c>
      <c r="D102" s="453">
        <v>0</v>
      </c>
      <c r="E102" s="453">
        <v>0</v>
      </c>
      <c r="F102" s="453">
        <v>0</v>
      </c>
      <c r="G102" s="453">
        <v>0</v>
      </c>
      <c r="H102" s="453">
        <v>0</v>
      </c>
      <c r="I102" s="453">
        <v>0</v>
      </c>
      <c r="J102" s="14">
        <v>0.016479972844534962</v>
      </c>
      <c r="K102" s="14">
        <v>0</v>
      </c>
      <c r="L102" s="453">
        <v>0</v>
      </c>
      <c r="M102" s="453">
        <v>0</v>
      </c>
      <c r="N102" s="453">
        <v>0</v>
      </c>
      <c r="O102" s="14">
        <v>0</v>
      </c>
      <c r="P102" s="14">
        <v>0</v>
      </c>
      <c r="Q102" s="453">
        <v>0</v>
      </c>
      <c r="R102" s="453">
        <v>0</v>
      </c>
      <c r="S102" s="15">
        <v>0</v>
      </c>
    </row>
    <row r="103" spans="1:19" ht="12.75">
      <c r="A103" s="51"/>
      <c r="B103" s="5" t="s">
        <v>627</v>
      </c>
      <c r="C103" s="14">
        <v>0.013355706996335742</v>
      </c>
      <c r="D103" s="453">
        <v>0</v>
      </c>
      <c r="E103" s="453">
        <v>0</v>
      </c>
      <c r="F103" s="453">
        <v>0</v>
      </c>
      <c r="G103" s="453">
        <v>0</v>
      </c>
      <c r="H103" s="453">
        <v>0</v>
      </c>
      <c r="I103" s="453">
        <v>0</v>
      </c>
      <c r="J103" s="14">
        <v>0.013355706996335742</v>
      </c>
      <c r="K103" s="14">
        <v>0</v>
      </c>
      <c r="L103" s="453">
        <v>0</v>
      </c>
      <c r="M103" s="453">
        <v>0</v>
      </c>
      <c r="N103" s="453">
        <v>0</v>
      </c>
      <c r="O103" s="14">
        <v>0</v>
      </c>
      <c r="P103" s="14">
        <v>0</v>
      </c>
      <c r="Q103" s="453">
        <v>0</v>
      </c>
      <c r="R103" s="453">
        <v>0</v>
      </c>
      <c r="S103" s="15">
        <v>0</v>
      </c>
    </row>
    <row r="104" spans="1:19" ht="12.75">
      <c r="A104" s="51"/>
      <c r="B104" s="476" t="s">
        <v>653</v>
      </c>
      <c r="C104" s="455">
        <v>-0.312426584819922</v>
      </c>
      <c r="D104" s="530">
        <v>0</v>
      </c>
      <c r="E104" s="530">
        <v>0</v>
      </c>
      <c r="F104" s="530">
        <v>0</v>
      </c>
      <c r="G104" s="530">
        <v>0</v>
      </c>
      <c r="H104" s="530">
        <v>0</v>
      </c>
      <c r="I104" s="530">
        <v>0</v>
      </c>
      <c r="J104" s="455">
        <v>-0.312426584819922</v>
      </c>
      <c r="K104" s="455">
        <v>0</v>
      </c>
      <c r="L104" s="530">
        <v>0</v>
      </c>
      <c r="M104" s="530">
        <v>0</v>
      </c>
      <c r="N104" s="530">
        <v>0</v>
      </c>
      <c r="O104" s="455">
        <v>0</v>
      </c>
      <c r="P104" s="455">
        <v>0</v>
      </c>
      <c r="Q104" s="530">
        <v>0</v>
      </c>
      <c r="R104" s="530">
        <v>0</v>
      </c>
      <c r="S104" s="456">
        <v>0</v>
      </c>
    </row>
    <row r="105" spans="1:19" ht="12.75">
      <c r="A105" s="51"/>
      <c r="B105" s="5" t="s">
        <v>629</v>
      </c>
      <c r="C105" s="14">
        <v>0.003190767141887305</v>
      </c>
      <c r="D105" s="453">
        <v>0</v>
      </c>
      <c r="E105" s="453">
        <v>0</v>
      </c>
      <c r="F105" s="453">
        <v>0</v>
      </c>
      <c r="G105" s="453">
        <v>0</v>
      </c>
      <c r="H105" s="453">
        <v>0</v>
      </c>
      <c r="I105" s="453">
        <v>0</v>
      </c>
      <c r="J105" s="14">
        <v>0.003190767141887305</v>
      </c>
      <c r="K105" s="14">
        <v>0</v>
      </c>
      <c r="L105" s="453">
        <v>0</v>
      </c>
      <c r="M105" s="453">
        <v>0</v>
      </c>
      <c r="N105" s="453">
        <v>0</v>
      </c>
      <c r="O105" s="14">
        <v>0</v>
      </c>
      <c r="P105" s="14">
        <v>0</v>
      </c>
      <c r="Q105" s="453">
        <v>0</v>
      </c>
      <c r="R105" s="453">
        <v>0</v>
      </c>
      <c r="S105" s="15">
        <v>0</v>
      </c>
    </row>
    <row r="106" spans="1:19" ht="12.75">
      <c r="A106" s="51"/>
      <c r="B106" s="5" t="s">
        <v>631</v>
      </c>
      <c r="C106" s="14">
        <v>0.00837300092462587</v>
      </c>
      <c r="D106" s="453">
        <v>0</v>
      </c>
      <c r="E106" s="453">
        <v>0</v>
      </c>
      <c r="F106" s="453">
        <v>0</v>
      </c>
      <c r="G106" s="453">
        <v>0</v>
      </c>
      <c r="H106" s="453">
        <v>0</v>
      </c>
      <c r="I106" s="453">
        <v>0</v>
      </c>
      <c r="J106" s="14">
        <v>0.00837300092462587</v>
      </c>
      <c r="K106" s="14">
        <v>0</v>
      </c>
      <c r="L106" s="453">
        <v>0</v>
      </c>
      <c r="M106" s="453">
        <v>0</v>
      </c>
      <c r="N106" s="453">
        <v>0</v>
      </c>
      <c r="O106" s="14">
        <v>0</v>
      </c>
      <c r="P106" s="14">
        <v>0</v>
      </c>
      <c r="Q106" s="453">
        <v>0</v>
      </c>
      <c r="R106" s="453">
        <v>0</v>
      </c>
      <c r="S106" s="15">
        <v>0</v>
      </c>
    </row>
    <row r="107" spans="1:19" ht="12.75">
      <c r="A107" s="51"/>
      <c r="B107" s="476" t="s">
        <v>655</v>
      </c>
      <c r="C107" s="455">
        <v>0.5182233782738564</v>
      </c>
      <c r="D107" s="530">
        <v>0</v>
      </c>
      <c r="E107" s="530">
        <v>0</v>
      </c>
      <c r="F107" s="530">
        <v>0</v>
      </c>
      <c r="G107" s="530">
        <v>0</v>
      </c>
      <c r="H107" s="530">
        <v>0</v>
      </c>
      <c r="I107" s="530">
        <v>0</v>
      </c>
      <c r="J107" s="455">
        <v>0.5182233782738564</v>
      </c>
      <c r="K107" s="455">
        <v>0</v>
      </c>
      <c r="L107" s="530">
        <v>0</v>
      </c>
      <c r="M107" s="530">
        <v>0</v>
      </c>
      <c r="N107" s="530">
        <v>0</v>
      </c>
      <c r="O107" s="455">
        <v>0</v>
      </c>
      <c r="P107" s="455">
        <v>0</v>
      </c>
      <c r="Q107" s="530">
        <v>0</v>
      </c>
      <c r="R107" s="530">
        <v>0</v>
      </c>
      <c r="S107" s="456">
        <v>0</v>
      </c>
    </row>
    <row r="108" spans="1:19" ht="12.75">
      <c r="A108" s="51"/>
      <c r="B108" s="5" t="s">
        <v>633</v>
      </c>
      <c r="C108" s="14">
        <v>0.007773251866938221</v>
      </c>
      <c r="D108" s="453">
        <v>0</v>
      </c>
      <c r="E108" s="453">
        <v>0</v>
      </c>
      <c r="F108" s="453">
        <v>0</v>
      </c>
      <c r="G108" s="453">
        <v>0</v>
      </c>
      <c r="H108" s="453">
        <v>0</v>
      </c>
      <c r="I108" s="453">
        <v>0</v>
      </c>
      <c r="J108" s="14">
        <v>0.007773251866938221</v>
      </c>
      <c r="K108" s="14">
        <v>0</v>
      </c>
      <c r="L108" s="453">
        <v>0</v>
      </c>
      <c r="M108" s="453">
        <v>0</v>
      </c>
      <c r="N108" s="453">
        <v>0</v>
      </c>
      <c r="O108" s="14">
        <v>0</v>
      </c>
      <c r="P108" s="14">
        <v>0</v>
      </c>
      <c r="Q108" s="453">
        <v>0</v>
      </c>
      <c r="R108" s="453">
        <v>0</v>
      </c>
      <c r="S108" s="15">
        <v>0</v>
      </c>
    </row>
    <row r="109" spans="1:19" ht="12.75">
      <c r="A109" s="51"/>
      <c r="B109" s="5" t="s">
        <v>635</v>
      </c>
      <c r="C109" s="14">
        <v>0</v>
      </c>
      <c r="D109" s="453">
        <v>0</v>
      </c>
      <c r="E109" s="453">
        <v>0</v>
      </c>
      <c r="F109" s="453">
        <v>0</v>
      </c>
      <c r="G109" s="453">
        <v>0</v>
      </c>
      <c r="H109" s="453">
        <v>0</v>
      </c>
      <c r="I109" s="453">
        <v>0</v>
      </c>
      <c r="J109" s="14">
        <v>0</v>
      </c>
      <c r="K109" s="14">
        <v>0</v>
      </c>
      <c r="L109" s="453">
        <v>0</v>
      </c>
      <c r="M109" s="453">
        <v>0</v>
      </c>
      <c r="N109" s="453">
        <v>0</v>
      </c>
      <c r="O109" s="14">
        <v>0</v>
      </c>
      <c r="P109" s="14">
        <v>0</v>
      </c>
      <c r="Q109" s="453">
        <v>0</v>
      </c>
      <c r="R109" s="453">
        <v>0</v>
      </c>
      <c r="S109" s="15">
        <v>0</v>
      </c>
    </row>
    <row r="110" spans="1:19" ht="12.75">
      <c r="A110" s="51"/>
      <c r="B110" s="476" t="s">
        <v>661</v>
      </c>
      <c r="C110" s="455">
        <v>-0.7773251866938221</v>
      </c>
      <c r="D110" s="530">
        <v>0</v>
      </c>
      <c r="E110" s="530">
        <v>0</v>
      </c>
      <c r="F110" s="530">
        <v>0</v>
      </c>
      <c r="G110" s="530">
        <v>0</v>
      </c>
      <c r="H110" s="530">
        <v>0</v>
      </c>
      <c r="I110" s="530">
        <v>0</v>
      </c>
      <c r="J110" s="455">
        <v>-0.7773251866938221</v>
      </c>
      <c r="K110" s="455">
        <v>0</v>
      </c>
      <c r="L110" s="530">
        <v>0</v>
      </c>
      <c r="M110" s="530">
        <v>0</v>
      </c>
      <c r="N110" s="530">
        <v>0</v>
      </c>
      <c r="O110" s="455">
        <v>0</v>
      </c>
      <c r="P110" s="455">
        <v>0</v>
      </c>
      <c r="Q110" s="530">
        <v>0</v>
      </c>
      <c r="R110" s="530">
        <v>0</v>
      </c>
      <c r="S110" s="456">
        <v>0</v>
      </c>
    </row>
    <row r="111" spans="1:19" ht="12.75">
      <c r="A111" s="51"/>
      <c r="B111" s="5" t="s">
        <v>637</v>
      </c>
      <c r="C111" s="14">
        <v>0.007535641547861507</v>
      </c>
      <c r="D111" s="453">
        <v>0</v>
      </c>
      <c r="E111" s="453">
        <v>0</v>
      </c>
      <c r="F111" s="453">
        <v>0</v>
      </c>
      <c r="G111" s="453">
        <v>0</v>
      </c>
      <c r="H111" s="453">
        <v>0</v>
      </c>
      <c r="I111" s="453">
        <v>0</v>
      </c>
      <c r="J111" s="14">
        <v>0.007535641547861507</v>
      </c>
      <c r="K111" s="14">
        <v>0</v>
      </c>
      <c r="L111" s="453">
        <v>0</v>
      </c>
      <c r="M111" s="453">
        <v>0</v>
      </c>
      <c r="N111" s="453">
        <v>0</v>
      </c>
      <c r="O111" s="14">
        <v>0</v>
      </c>
      <c r="P111" s="14">
        <v>0</v>
      </c>
      <c r="Q111" s="453">
        <v>0</v>
      </c>
      <c r="R111" s="453">
        <v>0</v>
      </c>
      <c r="S111" s="15">
        <v>0</v>
      </c>
    </row>
    <row r="112" spans="1:19" ht="12.75">
      <c r="A112" s="51"/>
      <c r="B112" s="5" t="s">
        <v>639</v>
      </c>
      <c r="C112" s="14">
        <v>0.02162597171329749</v>
      </c>
      <c r="D112" s="453">
        <v>0</v>
      </c>
      <c r="E112" s="453">
        <v>0</v>
      </c>
      <c r="F112" s="453">
        <v>0</v>
      </c>
      <c r="G112" s="453">
        <v>0</v>
      </c>
      <c r="H112" s="453">
        <v>0</v>
      </c>
      <c r="I112" s="453">
        <v>0</v>
      </c>
      <c r="J112" s="14">
        <v>0.02162597171329749</v>
      </c>
      <c r="K112" s="14">
        <v>0</v>
      </c>
      <c r="L112" s="453">
        <v>0</v>
      </c>
      <c r="M112" s="453">
        <v>0</v>
      </c>
      <c r="N112" s="453">
        <v>0</v>
      </c>
      <c r="O112" s="14">
        <v>0</v>
      </c>
      <c r="P112" s="14">
        <v>0</v>
      </c>
      <c r="Q112" s="453">
        <v>0</v>
      </c>
      <c r="R112" s="453">
        <v>0</v>
      </c>
      <c r="S112" s="15">
        <v>0</v>
      </c>
    </row>
    <row r="113" spans="1:19" ht="12.75">
      <c r="A113" s="454"/>
      <c r="B113" s="476" t="s">
        <v>663</v>
      </c>
      <c r="C113" s="455">
        <v>1.4090330165435985</v>
      </c>
      <c r="D113" s="530">
        <v>0</v>
      </c>
      <c r="E113" s="530">
        <v>0</v>
      </c>
      <c r="F113" s="530">
        <v>0</v>
      </c>
      <c r="G113" s="530">
        <v>0</v>
      </c>
      <c r="H113" s="530">
        <v>0</v>
      </c>
      <c r="I113" s="530">
        <v>0</v>
      </c>
      <c r="J113" s="455">
        <v>1.4090330165435985</v>
      </c>
      <c r="K113" s="455">
        <v>0</v>
      </c>
      <c r="L113" s="530">
        <v>0</v>
      </c>
      <c r="M113" s="530">
        <v>0</v>
      </c>
      <c r="N113" s="530">
        <v>0</v>
      </c>
      <c r="O113" s="455">
        <v>0</v>
      </c>
      <c r="P113" s="455">
        <v>0</v>
      </c>
      <c r="Q113" s="530">
        <v>0</v>
      </c>
      <c r="R113" s="530">
        <v>0</v>
      </c>
      <c r="S113" s="456">
        <v>0</v>
      </c>
    </row>
    <row r="114" spans="1:21" s="48" customFormat="1" ht="12.75">
      <c r="A114" s="50" t="s">
        <v>235</v>
      </c>
      <c r="B114" s="3" t="s">
        <v>593</v>
      </c>
      <c r="C114" s="11">
        <v>0.8027456203412348</v>
      </c>
      <c r="D114" s="12">
        <v>0.7446763374232004</v>
      </c>
      <c r="E114" s="12">
        <v>0.9493133964175577</v>
      </c>
      <c r="F114" s="12">
        <v>0</v>
      </c>
      <c r="G114" s="12">
        <v>0.8459792344442715</v>
      </c>
      <c r="H114" s="494">
        <v>1</v>
      </c>
      <c r="I114" s="12">
        <v>0</v>
      </c>
      <c r="J114" s="11">
        <v>0.8038322245829667</v>
      </c>
      <c r="K114" s="11">
        <v>0.902571154328352</v>
      </c>
      <c r="L114" s="495">
        <v>0.8681336731303059</v>
      </c>
      <c r="M114" s="12">
        <v>0.8243434779561859</v>
      </c>
      <c r="N114" s="496">
        <v>0.7754294411828658</v>
      </c>
      <c r="O114" s="494">
        <v>0.8710024248917981</v>
      </c>
      <c r="P114" s="11">
        <v>0</v>
      </c>
      <c r="Q114" s="12">
        <v>0</v>
      </c>
      <c r="R114" s="12">
        <v>0</v>
      </c>
      <c r="S114" s="13">
        <v>0</v>
      </c>
      <c r="T114"/>
      <c r="U114"/>
    </row>
    <row r="115" spans="1:19" ht="12.75">
      <c r="A115" s="51"/>
      <c r="B115" s="5" t="s">
        <v>595</v>
      </c>
      <c r="C115" s="14">
        <v>0.7972030674388125</v>
      </c>
      <c r="D115" s="453">
        <v>0.7231768970318292</v>
      </c>
      <c r="E115" s="453">
        <v>0.9415091466473704</v>
      </c>
      <c r="F115" s="453">
        <v>0</v>
      </c>
      <c r="G115" s="453">
        <v>0.8251949837279766</v>
      </c>
      <c r="H115" s="479">
        <v>1</v>
      </c>
      <c r="I115" s="453">
        <v>0</v>
      </c>
      <c r="J115" s="14">
        <v>0.7912293822556838</v>
      </c>
      <c r="K115" s="14">
        <v>0.8850830616977963</v>
      </c>
      <c r="L115" s="488">
        <v>0.8682924268321494</v>
      </c>
      <c r="M115" s="489">
        <v>0.8123138273698647</v>
      </c>
      <c r="N115" s="490">
        <v>0.7766227513459097</v>
      </c>
      <c r="O115" s="479">
        <v>0.865290683227805</v>
      </c>
      <c r="P115" s="14">
        <v>0</v>
      </c>
      <c r="Q115" s="453">
        <v>0</v>
      </c>
      <c r="R115" s="453">
        <v>0</v>
      </c>
      <c r="S115" s="15">
        <v>0</v>
      </c>
    </row>
    <row r="116" spans="1:19" ht="13.5" thickBot="1">
      <c r="A116" s="51"/>
      <c r="B116" s="476" t="s">
        <v>641</v>
      </c>
      <c r="C116" s="455">
        <v>-0.5542552902422226</v>
      </c>
      <c r="D116" s="530">
        <v>-2.1499440391371194</v>
      </c>
      <c r="E116" s="530">
        <v>-0.7804249770187344</v>
      </c>
      <c r="F116" s="530">
        <v>0</v>
      </c>
      <c r="G116" s="530">
        <v>-2.078425071629486</v>
      </c>
      <c r="H116" s="537">
        <v>0</v>
      </c>
      <c r="I116" s="530">
        <v>0</v>
      </c>
      <c r="J116" s="455">
        <v>-1.2602842327282815</v>
      </c>
      <c r="K116" s="455">
        <v>-1.748809263055573</v>
      </c>
      <c r="L116" s="538">
        <v>0.01587537018434837</v>
      </c>
      <c r="M116" s="526">
        <v>-1.2029650586321217</v>
      </c>
      <c r="N116" s="539">
        <v>0.11933101630439147</v>
      </c>
      <c r="O116" s="540">
        <v>-0.5711741663993131</v>
      </c>
      <c r="P116" s="455">
        <v>0</v>
      </c>
      <c r="Q116" s="530">
        <v>0</v>
      </c>
      <c r="R116" s="530">
        <v>0</v>
      </c>
      <c r="S116" s="456">
        <v>0</v>
      </c>
    </row>
    <row r="117" spans="1:19" ht="12.75">
      <c r="A117" s="51"/>
      <c r="B117" s="5" t="s">
        <v>597</v>
      </c>
      <c r="C117" s="14">
        <v>0.06410883260243205</v>
      </c>
      <c r="D117" s="453">
        <v>0.15657220816845396</v>
      </c>
      <c r="E117" s="453">
        <v>0.031745648654698644</v>
      </c>
      <c r="F117" s="453">
        <v>0</v>
      </c>
      <c r="G117" s="453">
        <v>0.024895721508821675</v>
      </c>
      <c r="H117" s="479">
        <v>0</v>
      </c>
      <c r="I117" s="453">
        <v>0</v>
      </c>
      <c r="J117" s="14">
        <v>0.09283578149819421</v>
      </c>
      <c r="K117" s="14">
        <v>0.021793350464779652</v>
      </c>
      <c r="L117" s="488">
        <v>0.03497933547538515</v>
      </c>
      <c r="M117" s="489">
        <v>0.06153347092585602</v>
      </c>
      <c r="N117" s="490">
        <v>0.11793868232224397</v>
      </c>
      <c r="O117" s="479">
        <v>0.03531540595536066</v>
      </c>
      <c r="P117" s="14">
        <v>0</v>
      </c>
      <c r="Q117" s="453">
        <v>0</v>
      </c>
      <c r="R117" s="453">
        <v>0</v>
      </c>
      <c r="S117" s="15">
        <v>0</v>
      </c>
    </row>
    <row r="118" spans="1:19" ht="12.75">
      <c r="A118" s="51"/>
      <c r="B118" s="5" t="s">
        <v>599</v>
      </c>
      <c r="C118" s="14">
        <v>0.06435095816449478</v>
      </c>
      <c r="D118" s="453">
        <v>0.15443433803142176</v>
      </c>
      <c r="E118" s="453">
        <v>0.0306867451817348</v>
      </c>
      <c r="F118" s="453">
        <v>0</v>
      </c>
      <c r="G118" s="453">
        <v>0.04035742340926944</v>
      </c>
      <c r="H118" s="479">
        <v>0</v>
      </c>
      <c r="I118" s="453">
        <v>0</v>
      </c>
      <c r="J118" s="14">
        <v>0.09260590077030072</v>
      </c>
      <c r="K118" s="14">
        <v>0.01871456241135453</v>
      </c>
      <c r="L118" s="488">
        <v>0.03355267131293554</v>
      </c>
      <c r="M118" s="489">
        <v>0.05996412599392742</v>
      </c>
      <c r="N118" s="490">
        <v>0.13154899986869173</v>
      </c>
      <c r="O118" s="479">
        <v>0.03360944812795139</v>
      </c>
      <c r="P118" s="14">
        <v>0</v>
      </c>
      <c r="Q118" s="453">
        <v>0</v>
      </c>
      <c r="R118" s="453">
        <v>0</v>
      </c>
      <c r="S118" s="15">
        <v>0</v>
      </c>
    </row>
    <row r="119" spans="1:19" ht="13.5" thickBot="1">
      <c r="A119" s="51"/>
      <c r="B119" s="5" t="s">
        <v>649</v>
      </c>
      <c r="C119" s="455">
        <v>0.02421255620627255</v>
      </c>
      <c r="D119" s="453">
        <v>-0.2137870137032205</v>
      </c>
      <c r="E119" s="453">
        <v>-0.10589034729638451</v>
      </c>
      <c r="F119" s="453">
        <v>0</v>
      </c>
      <c r="G119" s="453">
        <v>1.5461701900447766</v>
      </c>
      <c r="H119" s="484">
        <v>0</v>
      </c>
      <c r="I119" s="453">
        <v>0</v>
      </c>
      <c r="J119" s="14">
        <v>-0.022988072789349723</v>
      </c>
      <c r="K119" s="14">
        <v>-0.3078788053425121</v>
      </c>
      <c r="L119" s="491">
        <v>-0.14266641624496104</v>
      </c>
      <c r="M119" s="492">
        <v>-0.1569344931928597</v>
      </c>
      <c r="N119" s="493">
        <v>1.3610317546447759</v>
      </c>
      <c r="O119" s="484">
        <v>-0.1705957827409267</v>
      </c>
      <c r="P119" s="14">
        <v>0</v>
      </c>
      <c r="Q119" s="453">
        <v>0</v>
      </c>
      <c r="R119" s="453">
        <v>0</v>
      </c>
      <c r="S119" s="15">
        <v>0</v>
      </c>
    </row>
    <row r="120" spans="1:19" ht="12.75">
      <c r="A120" s="51"/>
      <c r="B120" s="5" t="s">
        <v>603</v>
      </c>
      <c r="C120" s="14">
        <v>0.04121107069467225</v>
      </c>
      <c r="D120" s="453">
        <v>0.08692864933190637</v>
      </c>
      <c r="E120" s="453">
        <v>0.013692852673617879</v>
      </c>
      <c r="F120" s="453">
        <v>0</v>
      </c>
      <c r="G120" s="453">
        <v>0.12890378516582124</v>
      </c>
      <c r="H120" s="453">
        <v>0</v>
      </c>
      <c r="I120" s="453">
        <v>0</v>
      </c>
      <c r="J120" s="14">
        <v>0.055985565459227456</v>
      </c>
      <c r="K120" s="14">
        <v>0.06047166310781898</v>
      </c>
      <c r="L120" s="453">
        <v>0.06085031791738318</v>
      </c>
      <c r="M120" s="453">
        <v>0.05350962657871596</v>
      </c>
      <c r="N120" s="453">
        <v>0.03944335725157643</v>
      </c>
      <c r="O120" s="14">
        <v>0.05976662979998447</v>
      </c>
      <c r="P120" s="14">
        <v>0</v>
      </c>
      <c r="Q120" s="453">
        <v>0</v>
      </c>
      <c r="R120" s="453">
        <v>0</v>
      </c>
      <c r="S120" s="15">
        <v>0</v>
      </c>
    </row>
    <row r="121" spans="1:19" ht="12.75">
      <c r="A121" s="51"/>
      <c r="B121" s="5" t="s">
        <v>605</v>
      </c>
      <c r="C121" s="14">
        <v>0.04581253041828214</v>
      </c>
      <c r="D121" s="453">
        <v>0.11851491031424854</v>
      </c>
      <c r="E121" s="453">
        <v>0.026289602321219255</v>
      </c>
      <c r="F121" s="453">
        <v>0</v>
      </c>
      <c r="G121" s="453">
        <v>0.1313124228481652</v>
      </c>
      <c r="H121" s="453">
        <v>0</v>
      </c>
      <c r="I121" s="453">
        <v>0</v>
      </c>
      <c r="J121" s="14">
        <v>0.07220212887395591</v>
      </c>
      <c r="K121" s="14">
        <v>0.07863368148824414</v>
      </c>
      <c r="L121" s="453">
        <v>0.07429605441329029</v>
      </c>
      <c r="M121" s="453">
        <v>0.07094953362641561</v>
      </c>
      <c r="N121" s="453">
        <v>0.03300214470171139</v>
      </c>
      <c r="O121" s="14">
        <v>0.07471390910311022</v>
      </c>
      <c r="P121" s="14">
        <v>0</v>
      </c>
      <c r="Q121" s="453">
        <v>0</v>
      </c>
      <c r="R121" s="453">
        <v>0</v>
      </c>
      <c r="S121" s="15">
        <v>0</v>
      </c>
    </row>
    <row r="122" spans="1:19" ht="12.75">
      <c r="A122" s="51"/>
      <c r="B122" s="5" t="s">
        <v>651</v>
      </c>
      <c r="C122" s="455">
        <v>0.460145972360989</v>
      </c>
      <c r="D122" s="453">
        <v>3.158626098234217</v>
      </c>
      <c r="E122" s="453">
        <v>1.2596749647601375</v>
      </c>
      <c r="F122" s="453">
        <v>0</v>
      </c>
      <c r="G122" s="453">
        <v>0.24086376823439504</v>
      </c>
      <c r="H122" s="453">
        <v>0</v>
      </c>
      <c r="I122" s="453">
        <v>0</v>
      </c>
      <c r="J122" s="14">
        <v>1.6216563414728455</v>
      </c>
      <c r="K122" s="14">
        <v>1.8162018380425158</v>
      </c>
      <c r="L122" s="453">
        <v>1.3445736495907115</v>
      </c>
      <c r="M122" s="453">
        <v>1.7439907047699648</v>
      </c>
      <c r="N122" s="453">
        <v>-0.6441212549865044</v>
      </c>
      <c r="O122" s="14">
        <v>1.4947279303125756</v>
      </c>
      <c r="P122" s="14">
        <v>0</v>
      </c>
      <c r="Q122" s="453">
        <v>0</v>
      </c>
      <c r="R122" s="453">
        <v>0</v>
      </c>
      <c r="S122" s="15">
        <v>0</v>
      </c>
    </row>
    <row r="123" spans="1:19" ht="12.75">
      <c r="A123" s="51"/>
      <c r="B123" s="5" t="s">
        <v>607</v>
      </c>
      <c r="C123" s="14">
        <v>0.00036491658753229307</v>
      </c>
      <c r="D123" s="453">
        <v>0.0028311786156191097</v>
      </c>
      <c r="E123" s="485">
        <v>0</v>
      </c>
      <c r="F123" s="453">
        <v>0</v>
      </c>
      <c r="G123" s="453">
        <v>0.00022125888108564357</v>
      </c>
      <c r="H123" s="453">
        <v>0</v>
      </c>
      <c r="I123" s="453">
        <v>0</v>
      </c>
      <c r="J123" s="14">
        <v>0.001227095104021997</v>
      </c>
      <c r="K123" s="14">
        <v>0</v>
      </c>
      <c r="L123" s="453">
        <v>0.0029527969443542447</v>
      </c>
      <c r="M123" s="453">
        <v>0.005935090388340955</v>
      </c>
      <c r="N123" s="453">
        <v>0.028897586431833006</v>
      </c>
      <c r="O123" s="14">
        <v>0.0027259028114164016</v>
      </c>
      <c r="P123" s="14">
        <v>0</v>
      </c>
      <c r="Q123" s="453">
        <v>0</v>
      </c>
      <c r="R123" s="453">
        <v>0</v>
      </c>
      <c r="S123" s="15">
        <v>0</v>
      </c>
    </row>
    <row r="124" spans="1:19" ht="12.75">
      <c r="A124" s="51"/>
      <c r="B124" s="5" t="s">
        <v>609</v>
      </c>
      <c r="C124" s="14">
        <v>0.00025264263098317356</v>
      </c>
      <c r="D124" s="453">
        <v>0.0031425296235291097</v>
      </c>
      <c r="E124" s="453">
        <v>0</v>
      </c>
      <c r="F124" s="453">
        <v>0</v>
      </c>
      <c r="G124" s="485">
        <v>0.0002314555044327236</v>
      </c>
      <c r="H124" s="453">
        <v>0</v>
      </c>
      <c r="I124" s="453">
        <v>0</v>
      </c>
      <c r="J124" s="14">
        <v>0.0013008659091214977</v>
      </c>
      <c r="K124" s="14">
        <v>0.0001252434832190212</v>
      </c>
      <c r="L124" s="453">
        <v>0.002763048184000613</v>
      </c>
      <c r="M124" s="453">
        <v>0.004932388198625558</v>
      </c>
      <c r="N124" s="453">
        <v>0.02685254081498665</v>
      </c>
      <c r="O124" s="14">
        <v>0.0025183706711756314</v>
      </c>
      <c r="P124" s="14">
        <v>0</v>
      </c>
      <c r="Q124" s="453">
        <v>0</v>
      </c>
      <c r="R124" s="453">
        <v>0</v>
      </c>
      <c r="S124" s="15">
        <v>0</v>
      </c>
    </row>
    <row r="125" spans="1:19" ht="12.75">
      <c r="A125" s="51"/>
      <c r="B125" s="5" t="s">
        <v>657</v>
      </c>
      <c r="C125" s="455">
        <v>-0.01122739565491195</v>
      </c>
      <c r="D125" s="453">
        <v>0.031135100791</v>
      </c>
      <c r="E125" s="453">
        <v>0</v>
      </c>
      <c r="F125" s="453">
        <v>0</v>
      </c>
      <c r="G125" s="453">
        <v>0.001019662334708003</v>
      </c>
      <c r="H125" s="453">
        <v>0</v>
      </c>
      <c r="I125" s="453">
        <v>0</v>
      </c>
      <c r="J125" s="14">
        <v>0.007377080509950065</v>
      </c>
      <c r="K125" s="14">
        <v>0</v>
      </c>
      <c r="L125" s="453">
        <v>-0.018974876035363162</v>
      </c>
      <c r="M125" s="453">
        <v>-0.10027021897153973</v>
      </c>
      <c r="N125" s="453">
        <v>-0.20450456168463577</v>
      </c>
      <c r="O125" s="14">
        <v>-0.020753214024077024</v>
      </c>
      <c r="P125" s="14">
        <v>0</v>
      </c>
      <c r="Q125" s="453">
        <v>0</v>
      </c>
      <c r="R125" s="453">
        <v>0</v>
      </c>
      <c r="S125" s="15">
        <v>0</v>
      </c>
    </row>
    <row r="126" spans="1:19" ht="12.75">
      <c r="A126" s="51"/>
      <c r="B126" s="5" t="s">
        <v>611</v>
      </c>
      <c r="C126" s="14">
        <v>0.08922323659148304</v>
      </c>
      <c r="D126" s="453">
        <v>0.00899162646082016</v>
      </c>
      <c r="E126" s="453">
        <v>0.005248102254125685</v>
      </c>
      <c r="F126" s="453">
        <v>0</v>
      </c>
      <c r="G126" s="453">
        <v>0</v>
      </c>
      <c r="H126" s="453">
        <v>0</v>
      </c>
      <c r="I126" s="453">
        <v>0</v>
      </c>
      <c r="J126" s="14">
        <v>0.045042727783636875</v>
      </c>
      <c r="K126" s="14">
        <v>0.005242712347684247</v>
      </c>
      <c r="L126" s="453">
        <v>0.03144848778133383</v>
      </c>
      <c r="M126" s="453">
        <v>0.041120648146682974</v>
      </c>
      <c r="N126" s="453">
        <v>0.028245270711024135</v>
      </c>
      <c r="O126" s="14">
        <v>0.02604810380923814</v>
      </c>
      <c r="P126" s="14">
        <v>0</v>
      </c>
      <c r="Q126" s="453">
        <v>0</v>
      </c>
      <c r="R126" s="453">
        <v>0</v>
      </c>
      <c r="S126" s="15">
        <v>0</v>
      </c>
    </row>
    <row r="127" spans="1:19" ht="12.75">
      <c r="A127" s="51"/>
      <c r="B127" s="5" t="s">
        <v>613</v>
      </c>
      <c r="C127" s="14">
        <v>0.08940340976410907</v>
      </c>
      <c r="D127" s="453">
        <v>0.0007313249989713669</v>
      </c>
      <c r="E127" s="453">
        <v>0.0015145058496755558</v>
      </c>
      <c r="F127" s="453">
        <v>0</v>
      </c>
      <c r="G127" s="453">
        <v>0.002903714510155987</v>
      </c>
      <c r="H127" s="453">
        <v>0</v>
      </c>
      <c r="I127" s="453">
        <v>0</v>
      </c>
      <c r="J127" s="14">
        <v>0.04130469423337059</v>
      </c>
      <c r="K127" s="14">
        <v>0.00737673129889577</v>
      </c>
      <c r="L127" s="453">
        <v>0.01951441460917711</v>
      </c>
      <c r="M127" s="453">
        <v>0.03960637540225944</v>
      </c>
      <c r="N127" s="453">
        <v>0.02836258589749201</v>
      </c>
      <c r="O127" s="14">
        <v>0.01894457778853394</v>
      </c>
      <c r="P127" s="14">
        <v>0</v>
      </c>
      <c r="Q127" s="453">
        <v>0</v>
      </c>
      <c r="R127" s="453">
        <v>0</v>
      </c>
      <c r="S127" s="15">
        <v>0</v>
      </c>
    </row>
    <row r="128" spans="1:19" ht="12.75">
      <c r="A128" s="51"/>
      <c r="B128" s="5" t="s">
        <v>659</v>
      </c>
      <c r="C128" s="455">
        <v>0.018017317262603028</v>
      </c>
      <c r="D128" s="453">
        <v>-0.8260301461848794</v>
      </c>
      <c r="E128" s="453">
        <v>-0.3733596404450129</v>
      </c>
      <c r="F128" s="453">
        <v>0</v>
      </c>
      <c r="G128" s="453">
        <v>0</v>
      </c>
      <c r="H128" s="453">
        <v>0</v>
      </c>
      <c r="I128" s="453">
        <v>0</v>
      </c>
      <c r="J128" s="14">
        <v>-0.37380335502662854</v>
      </c>
      <c r="K128" s="14">
        <v>0.21340189512115232</v>
      </c>
      <c r="L128" s="453">
        <v>-1.1934073172156718</v>
      </c>
      <c r="M128" s="453">
        <v>-0.15142727444235338</v>
      </c>
      <c r="N128" s="453">
        <v>0.011731518646787564</v>
      </c>
      <c r="O128" s="14">
        <v>-0.7103526020704201</v>
      </c>
      <c r="P128" s="14">
        <v>0</v>
      </c>
      <c r="Q128" s="453">
        <v>0</v>
      </c>
      <c r="R128" s="453">
        <v>0</v>
      </c>
      <c r="S128" s="15">
        <v>0</v>
      </c>
    </row>
    <row r="129" spans="1:19" ht="12.75">
      <c r="A129" s="51"/>
      <c r="B129" s="5" t="s">
        <v>615</v>
      </c>
      <c r="C129" s="14">
        <v>0.002346323182645653</v>
      </c>
      <c r="D129" s="453">
        <v>0</v>
      </c>
      <c r="E129" s="453">
        <v>0</v>
      </c>
      <c r="F129" s="453">
        <v>0</v>
      </c>
      <c r="G129" s="453">
        <v>0</v>
      </c>
      <c r="H129" s="453">
        <v>0</v>
      </c>
      <c r="I129" s="453">
        <v>0</v>
      </c>
      <c r="J129" s="14">
        <v>0.0010766055719527642</v>
      </c>
      <c r="K129" s="14">
        <v>0.009921119751365112</v>
      </c>
      <c r="L129" s="453">
        <v>0.0016353887512377025</v>
      </c>
      <c r="M129" s="453">
        <v>0.013557686004218198</v>
      </c>
      <c r="N129" s="453">
        <v>0.01004566210045662</v>
      </c>
      <c r="O129" s="14">
        <v>0.005141532732202211</v>
      </c>
      <c r="P129" s="14">
        <v>0</v>
      </c>
      <c r="Q129" s="453">
        <v>0</v>
      </c>
      <c r="R129" s="453">
        <v>0</v>
      </c>
      <c r="S129" s="15">
        <v>0</v>
      </c>
    </row>
    <row r="130" spans="1:19" ht="12.75">
      <c r="A130" s="51"/>
      <c r="B130" s="5" t="s">
        <v>617</v>
      </c>
      <c r="C130" s="14">
        <v>0.002977391583318295</v>
      </c>
      <c r="D130" s="453">
        <v>0</v>
      </c>
      <c r="E130" s="453">
        <v>0</v>
      </c>
      <c r="F130" s="453">
        <v>0</v>
      </c>
      <c r="G130" s="453">
        <v>0</v>
      </c>
      <c r="H130" s="453">
        <v>0</v>
      </c>
      <c r="I130" s="453">
        <v>0</v>
      </c>
      <c r="J130" s="14">
        <v>0.0013570279575674123</v>
      </c>
      <c r="K130" s="14">
        <v>0.010066719620490274</v>
      </c>
      <c r="L130" s="453">
        <v>0.0015818114729136126</v>
      </c>
      <c r="M130" s="453">
        <v>0.012233749408907292</v>
      </c>
      <c r="N130" s="453">
        <v>0.0036109773712084737</v>
      </c>
      <c r="O130" s="14">
        <v>0.00492328058441184</v>
      </c>
      <c r="P130" s="14">
        <v>0</v>
      </c>
      <c r="Q130" s="453">
        <v>0</v>
      </c>
      <c r="R130" s="453">
        <v>0</v>
      </c>
      <c r="S130" s="15">
        <v>0</v>
      </c>
    </row>
    <row r="131" spans="1:19" ht="12.75">
      <c r="A131" s="51"/>
      <c r="B131" s="5" t="s">
        <v>645</v>
      </c>
      <c r="C131" s="455">
        <v>0.0631068400672642</v>
      </c>
      <c r="D131" s="453">
        <v>0</v>
      </c>
      <c r="E131" s="453">
        <v>0</v>
      </c>
      <c r="F131" s="453">
        <v>0</v>
      </c>
      <c r="G131" s="453">
        <v>0</v>
      </c>
      <c r="H131" s="453">
        <v>0</v>
      </c>
      <c r="I131" s="453">
        <v>0</v>
      </c>
      <c r="J131" s="14">
        <v>0.02804223856146481</v>
      </c>
      <c r="K131" s="14">
        <v>0.01455998691251622</v>
      </c>
      <c r="L131" s="453">
        <v>-0.005357727832408987</v>
      </c>
      <c r="M131" s="453">
        <v>-0.1323936595310906</v>
      </c>
      <c r="N131" s="453">
        <v>-0.6434684729248148</v>
      </c>
      <c r="O131" s="14">
        <v>-0.021825214779037146</v>
      </c>
      <c r="P131" s="14">
        <v>0</v>
      </c>
      <c r="Q131" s="453">
        <v>0</v>
      </c>
      <c r="R131" s="453">
        <v>0</v>
      </c>
      <c r="S131" s="15">
        <v>0</v>
      </c>
    </row>
    <row r="132" spans="1:19" ht="12.75">
      <c r="A132" s="51"/>
      <c r="B132" s="5" t="s">
        <v>601</v>
      </c>
      <c r="C132" s="14">
        <v>0.7706897664946628</v>
      </c>
      <c r="D132" s="453">
        <v>0.6301726408963979</v>
      </c>
      <c r="E132" s="453">
        <v>0.8091662091237019</v>
      </c>
      <c r="F132" s="453">
        <v>0</v>
      </c>
      <c r="G132" s="502">
        <v>0.6877401091864932</v>
      </c>
      <c r="H132" s="453">
        <v>0</v>
      </c>
      <c r="I132" s="453">
        <v>0</v>
      </c>
      <c r="J132" s="14">
        <v>0.7310180747906161</v>
      </c>
      <c r="K132" s="14">
        <v>0</v>
      </c>
      <c r="L132" s="453">
        <v>0</v>
      </c>
      <c r="M132" s="453">
        <v>0</v>
      </c>
      <c r="N132" s="453">
        <v>0</v>
      </c>
      <c r="O132" s="14">
        <v>0</v>
      </c>
      <c r="P132" s="14">
        <v>0</v>
      </c>
      <c r="Q132" s="453">
        <v>0</v>
      </c>
      <c r="R132" s="453">
        <v>0</v>
      </c>
      <c r="S132" s="15">
        <v>0</v>
      </c>
    </row>
    <row r="133" spans="1:19" ht="12.75">
      <c r="A133" s="51"/>
      <c r="B133" s="5" t="s">
        <v>619</v>
      </c>
      <c r="C133" s="14">
        <v>0.7706061400492321</v>
      </c>
      <c r="D133" s="453">
        <v>0.6600827567261301</v>
      </c>
      <c r="E133" s="453">
        <v>0.7772517956950189</v>
      </c>
      <c r="F133" s="453">
        <v>0</v>
      </c>
      <c r="G133" s="503">
        <v>0.5629147863020971</v>
      </c>
      <c r="H133" s="453">
        <v>0</v>
      </c>
      <c r="I133" s="453">
        <v>0</v>
      </c>
      <c r="J133" s="14">
        <v>0.7351141108505406</v>
      </c>
      <c r="K133" s="14">
        <v>0</v>
      </c>
      <c r="L133" s="453">
        <v>0</v>
      </c>
      <c r="M133" s="453">
        <v>0</v>
      </c>
      <c r="N133" s="453">
        <v>0</v>
      </c>
      <c r="O133" s="14">
        <v>0</v>
      </c>
      <c r="P133" s="14">
        <v>0</v>
      </c>
      <c r="Q133" s="453">
        <v>0</v>
      </c>
      <c r="R133" s="453">
        <v>0</v>
      </c>
      <c r="S133" s="15">
        <v>0</v>
      </c>
    </row>
    <row r="134" spans="1:19" ht="12.75">
      <c r="A134" s="51"/>
      <c r="B134" s="5" t="s">
        <v>643</v>
      </c>
      <c r="C134" s="455">
        <v>-0.008362644543069564</v>
      </c>
      <c r="D134" s="453">
        <v>2.9910115829732242</v>
      </c>
      <c r="E134" s="453">
        <v>-3.1914413428682953</v>
      </c>
      <c r="F134" s="453">
        <v>0</v>
      </c>
      <c r="G134" s="505">
        <v>-12.482532288439607</v>
      </c>
      <c r="H134" s="453">
        <v>0</v>
      </c>
      <c r="I134" s="453">
        <v>0</v>
      </c>
      <c r="J134" s="14">
        <v>0.40960360599244794</v>
      </c>
      <c r="K134" s="14">
        <v>0</v>
      </c>
      <c r="L134" s="453">
        <v>0</v>
      </c>
      <c r="M134" s="453">
        <v>0</v>
      </c>
      <c r="N134" s="453">
        <v>0</v>
      </c>
      <c r="O134" s="14">
        <v>0</v>
      </c>
      <c r="P134" s="14">
        <v>0</v>
      </c>
      <c r="Q134" s="453">
        <v>0</v>
      </c>
      <c r="R134" s="453">
        <v>0</v>
      </c>
      <c r="S134" s="15">
        <v>0</v>
      </c>
    </row>
    <row r="135" spans="1:19" ht="12.75">
      <c r="A135" s="51"/>
      <c r="B135" s="5" t="s">
        <v>621</v>
      </c>
      <c r="C135" s="14">
        <v>0.10658599875403325</v>
      </c>
      <c r="D135" s="453">
        <v>0.18432708688245314</v>
      </c>
      <c r="E135" s="453">
        <v>0.16101970091449555</v>
      </c>
      <c r="F135" s="453">
        <v>0</v>
      </c>
      <c r="G135" s="503">
        <v>0.04980791265080542</v>
      </c>
      <c r="H135" s="453">
        <v>0</v>
      </c>
      <c r="I135" s="453">
        <v>0</v>
      </c>
      <c r="J135" s="14">
        <v>0.1336421969710819</v>
      </c>
      <c r="K135" s="14">
        <v>0</v>
      </c>
      <c r="L135" s="453">
        <v>0</v>
      </c>
      <c r="M135" s="453">
        <v>0</v>
      </c>
      <c r="N135" s="453">
        <v>0</v>
      </c>
      <c r="O135" s="14">
        <v>0</v>
      </c>
      <c r="P135" s="14">
        <v>0</v>
      </c>
      <c r="Q135" s="453">
        <v>0</v>
      </c>
      <c r="R135" s="453">
        <v>0</v>
      </c>
      <c r="S135" s="15">
        <v>0</v>
      </c>
    </row>
    <row r="136" spans="1:19" ht="12.75">
      <c r="A136" s="51"/>
      <c r="B136" s="5" t="s">
        <v>623</v>
      </c>
      <c r="C136" s="14">
        <v>0.11186846934571738</v>
      </c>
      <c r="D136" s="453">
        <v>0.15648232405610973</v>
      </c>
      <c r="E136" s="453">
        <v>0.16286045721383124</v>
      </c>
      <c r="F136" s="453">
        <v>0</v>
      </c>
      <c r="G136" s="503">
        <v>0.1412264401380409</v>
      </c>
      <c r="H136" s="453">
        <v>0</v>
      </c>
      <c r="I136" s="453">
        <v>0</v>
      </c>
      <c r="J136" s="14">
        <v>0.13003550387723584</v>
      </c>
      <c r="K136" s="14">
        <v>0</v>
      </c>
      <c r="L136" s="453">
        <v>0</v>
      </c>
      <c r="M136" s="453">
        <v>0</v>
      </c>
      <c r="N136" s="453">
        <v>0</v>
      </c>
      <c r="O136" s="14">
        <v>0</v>
      </c>
      <c r="P136" s="14">
        <v>0</v>
      </c>
      <c r="Q136" s="453">
        <v>0</v>
      </c>
      <c r="R136" s="453">
        <v>0</v>
      </c>
      <c r="S136" s="15">
        <v>0</v>
      </c>
    </row>
    <row r="137" spans="1:19" ht="12.75">
      <c r="A137" s="51"/>
      <c r="B137" s="5" t="s">
        <v>647</v>
      </c>
      <c r="C137" s="455">
        <v>0.528247059168413</v>
      </c>
      <c r="D137" s="453">
        <v>-2.7844762826343405</v>
      </c>
      <c r="E137" s="453">
        <v>0.1840756299335694</v>
      </c>
      <c r="F137" s="453">
        <v>0</v>
      </c>
      <c r="G137" s="505">
        <v>9.141852748723547</v>
      </c>
      <c r="H137" s="453">
        <v>0</v>
      </c>
      <c r="I137" s="453">
        <v>0</v>
      </c>
      <c r="J137" s="14">
        <v>-0.3606693093846064</v>
      </c>
      <c r="K137" s="14">
        <v>0</v>
      </c>
      <c r="L137" s="453">
        <v>0</v>
      </c>
      <c r="M137" s="453">
        <v>0</v>
      </c>
      <c r="N137" s="453">
        <v>0</v>
      </c>
      <c r="O137" s="14">
        <v>0</v>
      </c>
      <c r="P137" s="14">
        <v>0</v>
      </c>
      <c r="Q137" s="453">
        <v>0</v>
      </c>
      <c r="R137" s="453">
        <v>0</v>
      </c>
      <c r="S137" s="15">
        <v>0</v>
      </c>
    </row>
    <row r="138" spans="1:19" ht="12.75">
      <c r="A138" s="51"/>
      <c r="B138" s="5" t="s">
        <v>625</v>
      </c>
      <c r="C138" s="14">
        <v>0.06683372626075607</v>
      </c>
      <c r="D138" s="453">
        <v>0.15372240467869122</v>
      </c>
      <c r="E138" s="453">
        <v>0.02712196619495463</v>
      </c>
      <c r="F138" s="453">
        <v>0</v>
      </c>
      <c r="G138" s="453">
        <v>0.2624519781627013</v>
      </c>
      <c r="H138" s="453">
        <v>0</v>
      </c>
      <c r="I138" s="453">
        <v>0</v>
      </c>
      <c r="J138" s="14">
        <v>0.09219318428138279</v>
      </c>
      <c r="K138" s="14">
        <v>0</v>
      </c>
      <c r="L138" s="453">
        <v>0</v>
      </c>
      <c r="M138" s="453">
        <v>0</v>
      </c>
      <c r="N138" s="453">
        <v>0</v>
      </c>
      <c r="O138" s="14">
        <v>0</v>
      </c>
      <c r="P138" s="14">
        <v>0</v>
      </c>
      <c r="Q138" s="453">
        <v>0</v>
      </c>
      <c r="R138" s="453">
        <v>0</v>
      </c>
      <c r="S138" s="15">
        <v>0</v>
      </c>
    </row>
    <row r="139" spans="1:19" ht="12.75">
      <c r="A139" s="51"/>
      <c r="B139" s="5" t="s">
        <v>627</v>
      </c>
      <c r="C139" s="14">
        <v>0.07446775912376452</v>
      </c>
      <c r="D139" s="453">
        <v>0.17323626873615713</v>
      </c>
      <c r="E139" s="453">
        <v>0.057321631533927796</v>
      </c>
      <c r="F139" s="453">
        <v>0</v>
      </c>
      <c r="G139" s="453">
        <v>0.29585877355986195</v>
      </c>
      <c r="H139" s="453">
        <v>0</v>
      </c>
      <c r="I139" s="453">
        <v>0</v>
      </c>
      <c r="J139" s="14">
        <v>0.10575885962690287</v>
      </c>
      <c r="K139" s="14">
        <v>0</v>
      </c>
      <c r="L139" s="453">
        <v>0</v>
      </c>
      <c r="M139" s="453">
        <v>0</v>
      </c>
      <c r="N139" s="453">
        <v>0</v>
      </c>
      <c r="O139" s="14">
        <v>0</v>
      </c>
      <c r="P139" s="14">
        <v>0</v>
      </c>
      <c r="Q139" s="453">
        <v>0</v>
      </c>
      <c r="R139" s="453">
        <v>0</v>
      </c>
      <c r="S139" s="15">
        <v>0</v>
      </c>
    </row>
    <row r="140" spans="1:19" ht="12.75">
      <c r="A140" s="51"/>
      <c r="B140" s="5" t="s">
        <v>653</v>
      </c>
      <c r="C140" s="455">
        <v>0.7634032863008455</v>
      </c>
      <c r="D140" s="453">
        <v>1.9513864057465913</v>
      </c>
      <c r="E140" s="453">
        <v>3.0199665338973167</v>
      </c>
      <c r="F140" s="453">
        <v>0</v>
      </c>
      <c r="G140" s="453">
        <v>3.3406795397160627</v>
      </c>
      <c r="H140" s="453">
        <v>0</v>
      </c>
      <c r="I140" s="453">
        <v>0</v>
      </c>
      <c r="J140" s="14">
        <v>1.3565675345520085</v>
      </c>
      <c r="K140" s="14">
        <v>0</v>
      </c>
      <c r="L140" s="453">
        <v>0</v>
      </c>
      <c r="M140" s="453">
        <v>0</v>
      </c>
      <c r="N140" s="453">
        <v>0</v>
      </c>
      <c r="O140" s="14">
        <v>0</v>
      </c>
      <c r="P140" s="14">
        <v>0</v>
      </c>
      <c r="Q140" s="453">
        <v>0</v>
      </c>
      <c r="R140" s="453">
        <v>0</v>
      </c>
      <c r="S140" s="15">
        <v>0</v>
      </c>
    </row>
    <row r="141" spans="1:19" ht="12.75">
      <c r="A141" s="51"/>
      <c r="B141" s="5" t="s">
        <v>629</v>
      </c>
      <c r="C141" s="14">
        <v>0.003734410146427269</v>
      </c>
      <c r="D141" s="453">
        <v>0.004060485783030963</v>
      </c>
      <c r="E141" s="453">
        <v>0</v>
      </c>
      <c r="F141" s="453">
        <v>0</v>
      </c>
      <c r="G141" s="453">
        <v>0</v>
      </c>
      <c r="H141" s="453">
        <v>0</v>
      </c>
      <c r="I141" s="453">
        <v>0</v>
      </c>
      <c r="J141" s="14">
        <v>0.003443115727235453</v>
      </c>
      <c r="K141" s="14">
        <v>0</v>
      </c>
      <c r="L141" s="453">
        <v>0</v>
      </c>
      <c r="M141" s="453">
        <v>0</v>
      </c>
      <c r="N141" s="453">
        <v>0</v>
      </c>
      <c r="O141" s="14">
        <v>0</v>
      </c>
      <c r="P141" s="14">
        <v>0</v>
      </c>
      <c r="Q141" s="453">
        <v>0</v>
      </c>
      <c r="R141" s="453">
        <v>0</v>
      </c>
      <c r="S141" s="15">
        <v>0</v>
      </c>
    </row>
    <row r="142" spans="1:19" ht="12.75">
      <c r="A142" s="51"/>
      <c r="B142" s="5" t="s">
        <v>631</v>
      </c>
      <c r="C142" s="14">
        <v>0.0028446329895713816</v>
      </c>
      <c r="D142" s="453">
        <v>0.0034373229400958055</v>
      </c>
      <c r="E142" s="453">
        <v>0.0009139589655859298</v>
      </c>
      <c r="F142" s="453">
        <v>0</v>
      </c>
      <c r="G142" s="453">
        <v>0</v>
      </c>
      <c r="H142" s="453">
        <v>0</v>
      </c>
      <c r="I142" s="453">
        <v>0</v>
      </c>
      <c r="J142" s="14">
        <v>0.0028088510471396704</v>
      </c>
      <c r="K142" s="14">
        <v>0</v>
      </c>
      <c r="L142" s="453">
        <v>0</v>
      </c>
      <c r="M142" s="453">
        <v>0</v>
      </c>
      <c r="N142" s="453">
        <v>0</v>
      </c>
      <c r="O142" s="14">
        <v>0</v>
      </c>
      <c r="P142" s="14">
        <v>0</v>
      </c>
      <c r="Q142" s="453">
        <v>0</v>
      </c>
      <c r="R142" s="453">
        <v>0</v>
      </c>
      <c r="S142" s="15">
        <v>0</v>
      </c>
    </row>
    <row r="143" spans="1:19" ht="12.75">
      <c r="A143" s="51"/>
      <c r="B143" s="5" t="s">
        <v>655</v>
      </c>
      <c r="C143" s="455">
        <v>-0.08897771568558872</v>
      </c>
      <c r="D143" s="453">
        <v>-0.062316284293515746</v>
      </c>
      <c r="E143" s="453">
        <v>0</v>
      </c>
      <c r="F143" s="453">
        <v>0</v>
      </c>
      <c r="G143" s="453">
        <v>0</v>
      </c>
      <c r="H143" s="453">
        <v>0</v>
      </c>
      <c r="I143" s="453">
        <v>0</v>
      </c>
      <c r="J143" s="14">
        <v>-0.06342646800957824</v>
      </c>
      <c r="K143" s="14">
        <v>0</v>
      </c>
      <c r="L143" s="453">
        <v>0</v>
      </c>
      <c r="M143" s="453">
        <v>0</v>
      </c>
      <c r="N143" s="453">
        <v>0</v>
      </c>
      <c r="O143" s="14">
        <v>0</v>
      </c>
      <c r="P143" s="14">
        <v>0</v>
      </c>
      <c r="Q143" s="453">
        <v>0</v>
      </c>
      <c r="R143" s="453">
        <v>0</v>
      </c>
      <c r="S143" s="15">
        <v>0</v>
      </c>
    </row>
    <row r="144" spans="1:19" ht="12.75">
      <c r="A144" s="51"/>
      <c r="B144" s="5" t="s">
        <v>633</v>
      </c>
      <c r="C144" s="14">
        <v>0.052025219483848674</v>
      </c>
      <c r="D144" s="453">
        <v>0.027717381759426753</v>
      </c>
      <c r="E144" s="453">
        <v>0.0026921237668479127</v>
      </c>
      <c r="F144" s="453">
        <v>0</v>
      </c>
      <c r="G144" s="453">
        <v>0</v>
      </c>
      <c r="H144" s="453">
        <v>0</v>
      </c>
      <c r="I144" s="453">
        <v>0</v>
      </c>
      <c r="J144" s="14">
        <v>0.03962508063273519</v>
      </c>
      <c r="K144" s="14">
        <v>0</v>
      </c>
      <c r="L144" s="453">
        <v>0</v>
      </c>
      <c r="M144" s="453">
        <v>0</v>
      </c>
      <c r="N144" s="453">
        <v>0</v>
      </c>
      <c r="O144" s="14">
        <v>0</v>
      </c>
      <c r="P144" s="14">
        <v>0</v>
      </c>
      <c r="Q144" s="453">
        <v>0</v>
      </c>
      <c r="R144" s="453">
        <v>0</v>
      </c>
      <c r="S144" s="15">
        <v>0</v>
      </c>
    </row>
    <row r="145" spans="1:19" ht="12.75">
      <c r="A145" s="51"/>
      <c r="B145" s="5" t="s">
        <v>635</v>
      </c>
      <c r="C145" s="14">
        <v>0.040172142003534084</v>
      </c>
      <c r="D145" s="453">
        <v>0.0067613275415071335</v>
      </c>
      <c r="E145" s="453">
        <v>0.0016521565916361037</v>
      </c>
      <c r="F145" s="453">
        <v>0</v>
      </c>
      <c r="G145" s="453">
        <v>0</v>
      </c>
      <c r="H145" s="453">
        <v>0</v>
      </c>
      <c r="I145" s="453">
        <v>0</v>
      </c>
      <c r="J145" s="14">
        <v>0.026258160989042417</v>
      </c>
      <c r="K145" s="14">
        <v>0</v>
      </c>
      <c r="L145" s="453">
        <v>0</v>
      </c>
      <c r="M145" s="453">
        <v>0</v>
      </c>
      <c r="N145" s="453">
        <v>0</v>
      </c>
      <c r="O145" s="14">
        <v>0</v>
      </c>
      <c r="P145" s="14">
        <v>0</v>
      </c>
      <c r="Q145" s="453">
        <v>0</v>
      </c>
      <c r="R145" s="453">
        <v>0</v>
      </c>
      <c r="S145" s="15">
        <v>0</v>
      </c>
    </row>
    <row r="146" spans="1:19" ht="12.75">
      <c r="A146" s="51"/>
      <c r="B146" s="5" t="s">
        <v>661</v>
      </c>
      <c r="C146" s="455">
        <v>-1.185307748031459</v>
      </c>
      <c r="D146" s="453">
        <v>-2.095605421791962</v>
      </c>
      <c r="E146" s="453">
        <v>-0.10399671752118089</v>
      </c>
      <c r="F146" s="453">
        <v>0</v>
      </c>
      <c r="G146" s="453">
        <v>0</v>
      </c>
      <c r="H146" s="453">
        <v>0</v>
      </c>
      <c r="I146" s="453">
        <v>0</v>
      </c>
      <c r="J146" s="14">
        <v>-1.3366919643692774</v>
      </c>
      <c r="K146" s="14">
        <v>0</v>
      </c>
      <c r="L146" s="453">
        <v>0</v>
      </c>
      <c r="M146" s="453">
        <v>0</v>
      </c>
      <c r="N146" s="453">
        <v>0</v>
      </c>
      <c r="O146" s="14">
        <v>0</v>
      </c>
      <c r="P146" s="14">
        <v>0</v>
      </c>
      <c r="Q146" s="453">
        <v>0</v>
      </c>
      <c r="R146" s="453">
        <v>0</v>
      </c>
      <c r="S146" s="15">
        <v>0</v>
      </c>
    </row>
    <row r="147" spans="1:19" ht="12.75">
      <c r="A147" s="51"/>
      <c r="B147" s="5" t="s">
        <v>637</v>
      </c>
      <c r="C147" s="478">
        <v>0.0001308788602719837</v>
      </c>
      <c r="D147" s="453">
        <v>0</v>
      </c>
      <c r="E147" s="453">
        <v>0</v>
      </c>
      <c r="F147" s="453">
        <v>0</v>
      </c>
      <c r="G147" s="453">
        <v>0</v>
      </c>
      <c r="H147" s="453">
        <v>0</v>
      </c>
      <c r="I147" s="453">
        <v>0</v>
      </c>
      <c r="J147" s="478">
        <v>7.834759694862226E-05</v>
      </c>
      <c r="K147" s="14">
        <v>0</v>
      </c>
      <c r="L147" s="453">
        <v>0</v>
      </c>
      <c r="M147" s="453">
        <v>0</v>
      </c>
      <c r="N147" s="453">
        <v>0</v>
      </c>
      <c r="O147" s="14">
        <v>0</v>
      </c>
      <c r="P147" s="14">
        <v>0</v>
      </c>
      <c r="Q147" s="453">
        <v>0</v>
      </c>
      <c r="R147" s="453">
        <v>0</v>
      </c>
      <c r="S147" s="15">
        <v>0</v>
      </c>
    </row>
    <row r="148" spans="1:19" ht="12.75">
      <c r="A148" s="51"/>
      <c r="B148" s="5" t="s">
        <v>639</v>
      </c>
      <c r="C148" s="14">
        <v>4.085648818055844E-05</v>
      </c>
      <c r="D148" s="453">
        <v>0</v>
      </c>
      <c r="E148" s="453">
        <v>0</v>
      </c>
      <c r="F148" s="453">
        <v>0</v>
      </c>
      <c r="G148" s="453">
        <v>0</v>
      </c>
      <c r="H148" s="453">
        <v>0</v>
      </c>
      <c r="I148" s="453">
        <v>0</v>
      </c>
      <c r="J148" s="482">
        <v>2.4513609138673486E-05</v>
      </c>
      <c r="K148" s="14">
        <v>0</v>
      </c>
      <c r="L148" s="453">
        <v>0</v>
      </c>
      <c r="M148" s="453">
        <v>0</v>
      </c>
      <c r="N148" s="453">
        <v>0</v>
      </c>
      <c r="O148" s="14">
        <v>0</v>
      </c>
      <c r="P148" s="14">
        <v>0</v>
      </c>
      <c r="Q148" s="453">
        <v>0</v>
      </c>
      <c r="R148" s="453">
        <v>0</v>
      </c>
      <c r="S148" s="15">
        <v>0</v>
      </c>
    </row>
    <row r="149" spans="1:21" s="196" customFormat="1" ht="12.75">
      <c r="A149" s="454"/>
      <c r="B149" s="5" t="s">
        <v>663</v>
      </c>
      <c r="C149" s="455">
        <v>-0.009002237209142528</v>
      </c>
      <c r="D149" s="453">
        <v>0</v>
      </c>
      <c r="E149" s="453">
        <v>0</v>
      </c>
      <c r="F149" s="453">
        <v>0</v>
      </c>
      <c r="G149" s="453">
        <v>0</v>
      </c>
      <c r="H149" s="453">
        <v>0</v>
      </c>
      <c r="I149" s="453">
        <v>0</v>
      </c>
      <c r="J149" s="14">
        <v>-0.0053833987809948775</v>
      </c>
      <c r="K149" s="14">
        <v>0</v>
      </c>
      <c r="L149" s="453">
        <v>0</v>
      </c>
      <c r="M149" s="453">
        <v>0</v>
      </c>
      <c r="N149" s="453">
        <v>0</v>
      </c>
      <c r="O149" s="14">
        <v>0</v>
      </c>
      <c r="P149" s="14">
        <v>0</v>
      </c>
      <c r="Q149" s="453">
        <v>0</v>
      </c>
      <c r="R149" s="453">
        <v>0</v>
      </c>
      <c r="S149" s="15">
        <v>0</v>
      </c>
      <c r="T149"/>
      <c r="U149"/>
    </row>
    <row r="150" spans="1:21" s="48" customFormat="1" ht="12.75">
      <c r="A150" s="50" t="s">
        <v>274</v>
      </c>
      <c r="B150" s="3" t="s">
        <v>593</v>
      </c>
      <c r="C150" s="11">
        <v>0.9822101302607521</v>
      </c>
      <c r="D150" s="12">
        <v>0.9664490914686906</v>
      </c>
      <c r="E150" s="12">
        <v>0.9462150329466337</v>
      </c>
      <c r="F150" s="12">
        <v>0.961115089557935</v>
      </c>
      <c r="G150" s="12">
        <v>0.9595282171314957</v>
      </c>
      <c r="H150" s="510">
        <v>0.8727308519763207</v>
      </c>
      <c r="I150" s="12">
        <v>0.9828595317725752</v>
      </c>
      <c r="J150" s="11">
        <v>0.9616541635436807</v>
      </c>
      <c r="K150" s="11">
        <v>0.8204992671968477</v>
      </c>
      <c r="L150" s="12">
        <v>0.9308045576589743</v>
      </c>
      <c r="M150" s="12">
        <v>0.7377599832051225</v>
      </c>
      <c r="N150" s="12">
        <v>0.814261287564725</v>
      </c>
      <c r="O150" s="11">
        <v>0.8247724332878417</v>
      </c>
      <c r="P150" s="11">
        <v>0.887911869250342</v>
      </c>
      <c r="Q150" s="12">
        <v>0.8860113833106981</v>
      </c>
      <c r="R150" s="12">
        <v>0</v>
      </c>
      <c r="S150" s="13">
        <v>0.887856668239148</v>
      </c>
      <c r="T150"/>
      <c r="U150"/>
    </row>
    <row r="151" spans="1:19" ht="12.75">
      <c r="A151" s="51"/>
      <c r="B151" s="5" t="s">
        <v>595</v>
      </c>
      <c r="C151" s="14">
        <v>0.9779956849416915</v>
      </c>
      <c r="D151" s="453">
        <v>0.9671225109610343</v>
      </c>
      <c r="E151" s="453">
        <v>0.9522425627709641</v>
      </c>
      <c r="F151" s="453">
        <v>0.9592160682416918</v>
      </c>
      <c r="G151" s="453">
        <v>0.9524017576298952</v>
      </c>
      <c r="H151" s="503">
        <v>0.8939568153202516</v>
      </c>
      <c r="I151" s="453">
        <v>0.9870222222222222</v>
      </c>
      <c r="J151" s="14">
        <v>0.9610334345834004</v>
      </c>
      <c r="K151" s="14">
        <v>0.7949723682436987</v>
      </c>
      <c r="L151" s="453">
        <v>0.9196809518046156</v>
      </c>
      <c r="M151" s="453">
        <v>0.7286225408469371</v>
      </c>
      <c r="N151" s="453">
        <v>0.7891796588680441</v>
      </c>
      <c r="O151" s="14">
        <v>0.8080148773938937</v>
      </c>
      <c r="P151" s="14">
        <v>0.8525573587125984</v>
      </c>
      <c r="Q151" s="453">
        <v>0.8759197672001663</v>
      </c>
      <c r="R151" s="453">
        <v>0</v>
      </c>
      <c r="S151" s="15">
        <v>0.8532627292622768</v>
      </c>
    </row>
    <row r="152" spans="1:19" ht="12.75">
      <c r="A152" s="51"/>
      <c r="B152" s="476" t="s">
        <v>641</v>
      </c>
      <c r="C152" s="455">
        <v>-0.4214445319060567</v>
      </c>
      <c r="D152" s="530">
        <v>0.06734194923436743</v>
      </c>
      <c r="E152" s="530">
        <v>0.6027529824330413</v>
      </c>
      <c r="F152" s="530">
        <v>-0.1899021316243199</v>
      </c>
      <c r="G152" s="530">
        <v>-0.7126459501600513</v>
      </c>
      <c r="H152" s="527">
        <v>2.12259633439309</v>
      </c>
      <c r="I152" s="530">
        <v>0.4162690449647011</v>
      </c>
      <c r="J152" s="455">
        <v>-0.062072896028031455</v>
      </c>
      <c r="K152" s="455">
        <v>-2.552689895314908</v>
      </c>
      <c r="L152" s="530">
        <v>-1.1123605854358676</v>
      </c>
      <c r="M152" s="530">
        <v>-0.9137442358185366</v>
      </c>
      <c r="N152" s="530">
        <v>-2.5081628696680958</v>
      </c>
      <c r="O152" s="455">
        <v>-1.6757555893948006</v>
      </c>
      <c r="P152" s="455">
        <v>-3.5354510537743633</v>
      </c>
      <c r="Q152" s="530">
        <v>-1.0091616110531776</v>
      </c>
      <c r="R152" s="530">
        <v>0</v>
      </c>
      <c r="S152" s="473">
        <v>-3.459393897687124</v>
      </c>
    </row>
    <row r="153" spans="1:19" ht="12.75">
      <c r="A153" s="51"/>
      <c r="B153" s="5" t="s">
        <v>597</v>
      </c>
      <c r="C153" s="14">
        <v>0.01614123099949817</v>
      </c>
      <c r="D153" s="453">
        <v>0.024735628712957532</v>
      </c>
      <c r="E153" s="453">
        <v>0.024085792055726616</v>
      </c>
      <c r="F153" s="453">
        <v>0.017710044125025193</v>
      </c>
      <c r="G153" s="453">
        <v>0.016438874664729184</v>
      </c>
      <c r="H153" s="453">
        <v>0</v>
      </c>
      <c r="I153" s="453">
        <v>0</v>
      </c>
      <c r="J153" s="14">
        <v>0.018400545952175523</v>
      </c>
      <c r="K153" s="14">
        <v>0.14015521011028087</v>
      </c>
      <c r="L153" s="453">
        <v>0.01955740407164463</v>
      </c>
      <c r="M153" s="453">
        <v>0.21514688020153852</v>
      </c>
      <c r="N153" s="453">
        <v>0.15973980933331183</v>
      </c>
      <c r="O153" s="14">
        <v>0.13199999178274116</v>
      </c>
      <c r="P153" s="14">
        <v>0</v>
      </c>
      <c r="Q153" s="453">
        <v>0</v>
      </c>
      <c r="R153" s="453">
        <v>0</v>
      </c>
      <c r="S153" s="15">
        <v>0</v>
      </c>
    </row>
    <row r="154" spans="1:19" ht="12.75">
      <c r="A154" s="51"/>
      <c r="B154" s="5" t="s">
        <v>599</v>
      </c>
      <c r="C154" s="14">
        <v>0.020008007081449515</v>
      </c>
      <c r="D154" s="453">
        <v>0.024608293896065257</v>
      </c>
      <c r="E154" s="453">
        <v>0.0213461728326826</v>
      </c>
      <c r="F154" s="453">
        <v>0.016951850918086063</v>
      </c>
      <c r="G154" s="453">
        <v>0.016277385979477466</v>
      </c>
      <c r="H154" s="453">
        <v>0</v>
      </c>
      <c r="I154" s="453">
        <v>0</v>
      </c>
      <c r="J154" s="14">
        <v>0.018786483983886115</v>
      </c>
      <c r="K154" s="14">
        <v>0.14623264590915216</v>
      </c>
      <c r="L154" s="453">
        <v>0.01814601122038751</v>
      </c>
      <c r="M154" s="453">
        <v>0.21393440862601437</v>
      </c>
      <c r="N154" s="453">
        <v>0.17517383466391964</v>
      </c>
      <c r="O154" s="14">
        <v>0.13654491790335194</v>
      </c>
      <c r="P154" s="14">
        <v>0</v>
      </c>
      <c r="Q154" s="453">
        <v>0</v>
      </c>
      <c r="R154" s="453">
        <v>0</v>
      </c>
      <c r="S154" s="15">
        <v>0</v>
      </c>
    </row>
    <row r="155" spans="1:19" ht="12.75">
      <c r="A155" s="51"/>
      <c r="B155" s="5" t="s">
        <v>649</v>
      </c>
      <c r="C155" s="14">
        <v>0.3866776081951344</v>
      </c>
      <c r="D155" s="453">
        <v>-0.012733481689227583</v>
      </c>
      <c r="E155" s="453">
        <v>-0.2739619223044016</v>
      </c>
      <c r="F155" s="453">
        <v>-0.07581932069391298</v>
      </c>
      <c r="G155" s="453">
        <v>-0.016148868525171778</v>
      </c>
      <c r="H155" s="453">
        <v>0</v>
      </c>
      <c r="I155" s="453">
        <v>0</v>
      </c>
      <c r="J155" s="14">
        <v>0.038593803171059135</v>
      </c>
      <c r="K155" s="14">
        <v>0.6077435798871295</v>
      </c>
      <c r="L155" s="453">
        <v>-0.1411392851257121</v>
      </c>
      <c r="M155" s="453">
        <v>-0.12124715755241489</v>
      </c>
      <c r="N155" s="453">
        <v>1.5434025330607808</v>
      </c>
      <c r="O155" s="14">
        <v>0.4544926120610776</v>
      </c>
      <c r="P155" s="14">
        <v>0</v>
      </c>
      <c r="Q155" s="453">
        <v>0</v>
      </c>
      <c r="R155" s="453">
        <v>0</v>
      </c>
      <c r="S155" s="15">
        <v>0</v>
      </c>
    </row>
    <row r="156" spans="1:19" ht="12.75">
      <c r="A156" s="51"/>
      <c r="B156" s="5" t="s">
        <v>603</v>
      </c>
      <c r="C156" s="14">
        <v>0.0016351187886760072</v>
      </c>
      <c r="D156" s="453">
        <v>0.0011701441919617192</v>
      </c>
      <c r="E156" s="453">
        <v>0.021711905490423126</v>
      </c>
      <c r="F156" s="453">
        <v>0.020740691506468668</v>
      </c>
      <c r="G156" s="453">
        <v>0.016954424922178014</v>
      </c>
      <c r="H156" s="502">
        <v>0.12153915378882686</v>
      </c>
      <c r="I156" s="453">
        <v>0.017140468227424748</v>
      </c>
      <c r="J156" s="14">
        <v>0.016430984226861314</v>
      </c>
      <c r="K156" s="14">
        <v>0.039345522692871386</v>
      </c>
      <c r="L156" s="453">
        <v>0.03672722020188288</v>
      </c>
      <c r="M156" s="453">
        <v>0.03862259510849191</v>
      </c>
      <c r="N156" s="453">
        <v>0.018207700869453003</v>
      </c>
      <c r="O156" s="14">
        <v>0.03464807192292759</v>
      </c>
      <c r="P156" s="14">
        <v>0.11185863134244871</v>
      </c>
      <c r="Q156" s="453">
        <v>0.11398861668930196</v>
      </c>
      <c r="R156" s="453">
        <v>0</v>
      </c>
      <c r="S156" s="15">
        <v>0.11192049833263382</v>
      </c>
    </row>
    <row r="157" spans="1:19" ht="12.75">
      <c r="A157" s="51"/>
      <c r="B157" s="5" t="s">
        <v>605</v>
      </c>
      <c r="C157" s="14">
        <v>0.0019910233612815157</v>
      </c>
      <c r="D157" s="453">
        <v>0.001869410714586456</v>
      </c>
      <c r="E157" s="453">
        <v>0.022443791345952195</v>
      </c>
      <c r="F157" s="453">
        <v>0.023577876153773478</v>
      </c>
      <c r="G157" s="453">
        <v>0.026240491865167172</v>
      </c>
      <c r="H157" s="503">
        <v>0.09785859201238122</v>
      </c>
      <c r="I157" s="453">
        <v>0.012977777777777777</v>
      </c>
      <c r="J157" s="14">
        <v>0.017810677597277044</v>
      </c>
      <c r="K157" s="14">
        <v>0.05879498584714921</v>
      </c>
      <c r="L157" s="453">
        <v>0.05040295925520739</v>
      </c>
      <c r="M157" s="453">
        <v>0.05092276401004344</v>
      </c>
      <c r="N157" s="453">
        <v>0.030246241011113534</v>
      </c>
      <c r="O157" s="14">
        <v>0.048447180156752784</v>
      </c>
      <c r="P157" s="14">
        <v>0.14646744489323396</v>
      </c>
      <c r="Q157" s="453">
        <v>0.12408023279983371</v>
      </c>
      <c r="R157" s="453">
        <v>0</v>
      </c>
      <c r="S157" s="15">
        <v>0.14579151800374002</v>
      </c>
    </row>
    <row r="158" spans="1:19" ht="12.75">
      <c r="A158" s="51"/>
      <c r="B158" s="5" t="s">
        <v>651</v>
      </c>
      <c r="C158" s="14">
        <v>0.03559045726055086</v>
      </c>
      <c r="D158" s="453">
        <v>0.06992665226247367</v>
      </c>
      <c r="E158" s="453">
        <v>0.07318858555290693</v>
      </c>
      <c r="F158" s="453">
        <v>0.283718464730481</v>
      </c>
      <c r="G158" s="453">
        <v>0.9286066942989158</v>
      </c>
      <c r="H158" s="505">
        <v>-2.3680561776445646</v>
      </c>
      <c r="I158" s="453">
        <v>-0.4162690449646971</v>
      </c>
      <c r="J158" s="14">
        <v>0.13796933704157305</v>
      </c>
      <c r="K158" s="14">
        <v>1.9449463154277826</v>
      </c>
      <c r="L158" s="453">
        <v>1.3675739053324505</v>
      </c>
      <c r="M158" s="453">
        <v>1.2300168901551527</v>
      </c>
      <c r="N158" s="453">
        <v>1.203854014166053</v>
      </c>
      <c r="O158" s="14">
        <v>1.3799108233825192</v>
      </c>
      <c r="P158" s="14">
        <v>3.4608813550785253</v>
      </c>
      <c r="Q158" s="453">
        <v>1.009161611053175</v>
      </c>
      <c r="R158" s="453">
        <v>0</v>
      </c>
      <c r="S158" s="15">
        <v>3.38710196711062</v>
      </c>
    </row>
    <row r="159" spans="1:19" ht="12.75">
      <c r="A159" s="51"/>
      <c r="B159" s="5" t="s">
        <v>607</v>
      </c>
      <c r="C159" s="478">
        <v>0</v>
      </c>
      <c r="D159" s="453">
        <v>0.006173018739728573</v>
      </c>
      <c r="E159" s="453">
        <v>0.0013422070661514714</v>
      </c>
      <c r="F159" s="453">
        <v>0.0004341748105711382</v>
      </c>
      <c r="G159" s="453">
        <v>0.0070066978027117505</v>
      </c>
      <c r="H159" s="453">
        <v>0</v>
      </c>
      <c r="I159" s="453">
        <v>0</v>
      </c>
      <c r="J159" s="14">
        <v>0.0017221243541723132</v>
      </c>
      <c r="K159" s="14">
        <v>0</v>
      </c>
      <c r="L159" s="453">
        <v>0.001183173027903341</v>
      </c>
      <c r="M159" s="453">
        <v>0.0025567202003388967</v>
      </c>
      <c r="N159" s="453">
        <v>0.007791202232510122</v>
      </c>
      <c r="O159" s="14">
        <v>0.002638424861042729</v>
      </c>
      <c r="P159" s="14">
        <v>0.00022949940720923384</v>
      </c>
      <c r="Q159" s="453">
        <v>0</v>
      </c>
      <c r="R159" s="453">
        <v>0</v>
      </c>
      <c r="S159" s="15">
        <v>0.00022283342821821607</v>
      </c>
    </row>
    <row r="160" spans="1:19" ht="12.75">
      <c r="A160" s="51"/>
      <c r="B160" s="5" t="s">
        <v>609</v>
      </c>
      <c r="C160" s="14">
        <v>4.3634440547565685E-07</v>
      </c>
      <c r="D160" s="453">
        <v>0.004867204473112485</v>
      </c>
      <c r="E160" s="453">
        <v>0.0011611355236821501</v>
      </c>
      <c r="F160" s="453">
        <v>0.0002542046864486979</v>
      </c>
      <c r="G160" s="453">
        <v>0.0047710122442258295</v>
      </c>
      <c r="H160" s="453">
        <v>0</v>
      </c>
      <c r="I160" s="453">
        <v>0</v>
      </c>
      <c r="J160" s="14">
        <v>0.0012854529444504452</v>
      </c>
      <c r="K160" s="14">
        <v>0</v>
      </c>
      <c r="L160" s="453">
        <v>0.000356857938939027</v>
      </c>
      <c r="M160" s="453">
        <v>0.0017822429600614302</v>
      </c>
      <c r="N160" s="453">
        <v>0.005400265456922681</v>
      </c>
      <c r="O160" s="14">
        <v>0.0016844093593660846</v>
      </c>
      <c r="P160" s="14">
        <v>0.0009722843943177823</v>
      </c>
      <c r="Q160" s="453">
        <v>0</v>
      </c>
      <c r="R160" s="453">
        <v>0</v>
      </c>
      <c r="S160" s="15">
        <v>0.0009429286548173534</v>
      </c>
    </row>
    <row r="161" spans="1:19" ht="12.75">
      <c r="A161" s="51"/>
      <c r="B161" s="5" t="s">
        <v>657</v>
      </c>
      <c r="C161" s="14">
        <v>0</v>
      </c>
      <c r="D161" s="453">
        <v>-0.13058142666160882</v>
      </c>
      <c r="E161" s="453">
        <v>-0.018107154246932128</v>
      </c>
      <c r="F161" s="453">
        <v>-0.01799701241224403</v>
      </c>
      <c r="G161" s="453">
        <v>-0.2235685558485921</v>
      </c>
      <c r="H161" s="453">
        <v>0</v>
      </c>
      <c r="I161" s="453">
        <v>0</v>
      </c>
      <c r="J161" s="14">
        <v>-0.043667140972186796</v>
      </c>
      <c r="K161" s="14">
        <v>0</v>
      </c>
      <c r="L161" s="453">
        <v>-0.0826315088964314</v>
      </c>
      <c r="M161" s="453">
        <v>-0.07744772402774665</v>
      </c>
      <c r="N161" s="453">
        <v>-0.2390936775587441</v>
      </c>
      <c r="O161" s="14">
        <v>-0.09540155016766445</v>
      </c>
      <c r="P161" s="14">
        <v>0.07427849871085485</v>
      </c>
      <c r="Q161" s="453">
        <v>0</v>
      </c>
      <c r="R161" s="453">
        <v>0</v>
      </c>
      <c r="S161" s="15">
        <v>0.07200952265991374</v>
      </c>
    </row>
    <row r="162" spans="1:19" ht="12.75">
      <c r="A162" s="51"/>
      <c r="B162" s="5" t="s">
        <v>611</v>
      </c>
      <c r="C162" s="14">
        <v>1.3519951073682937E-05</v>
      </c>
      <c r="D162" s="453">
        <v>0.0014721168866615177</v>
      </c>
      <c r="E162" s="453">
        <v>0.00568504314968225</v>
      </c>
      <c r="F162" s="453">
        <v>0</v>
      </c>
      <c r="G162" s="453">
        <v>7.178547888528029E-05</v>
      </c>
      <c r="H162" s="453">
        <v>0.0006327600995542557</v>
      </c>
      <c r="I162" s="453">
        <v>0</v>
      </c>
      <c r="J162" s="14">
        <v>0.0014023935342329355</v>
      </c>
      <c r="K162" s="14">
        <v>0</v>
      </c>
      <c r="L162" s="453">
        <v>0.011727645039594874</v>
      </c>
      <c r="M162" s="453">
        <v>0.005913821284508225</v>
      </c>
      <c r="N162" s="453">
        <v>0</v>
      </c>
      <c r="O162" s="14">
        <v>0.005941078145446851</v>
      </c>
      <c r="P162" s="14">
        <v>0</v>
      </c>
      <c r="Q162" s="453">
        <v>0</v>
      </c>
      <c r="R162" s="453">
        <v>0</v>
      </c>
      <c r="S162" s="15">
        <v>0</v>
      </c>
    </row>
    <row r="163" spans="1:19" ht="12.75">
      <c r="A163" s="51"/>
      <c r="B163" s="5" t="s">
        <v>613</v>
      </c>
      <c r="C163" s="478">
        <v>4.848271171951743E-06</v>
      </c>
      <c r="D163" s="453">
        <v>0.001532579955201509</v>
      </c>
      <c r="E163" s="453">
        <v>0.002201867310959448</v>
      </c>
      <c r="F163" s="453">
        <v>0</v>
      </c>
      <c r="G163" s="453">
        <v>0.0002385107166574202</v>
      </c>
      <c r="H163" s="453">
        <v>0.0023143065259209504</v>
      </c>
      <c r="I163" s="453">
        <v>0</v>
      </c>
      <c r="J163" s="14">
        <v>0.0007314617158836474</v>
      </c>
      <c r="K163" s="14">
        <v>0</v>
      </c>
      <c r="L163" s="453">
        <v>0.01141321978085053</v>
      </c>
      <c r="M163" s="453">
        <v>0.004738043556943773</v>
      </c>
      <c r="N163" s="453">
        <v>0</v>
      </c>
      <c r="O163" s="14">
        <v>0.005308615186635532</v>
      </c>
      <c r="P163" s="14">
        <v>2.91199984987023E-06</v>
      </c>
      <c r="Q163" s="453">
        <v>0</v>
      </c>
      <c r="R163" s="453">
        <v>0</v>
      </c>
      <c r="S163" s="15">
        <v>2.8240791658423233E-06</v>
      </c>
    </row>
    <row r="164" spans="1:19" ht="12.75">
      <c r="A164" s="51"/>
      <c r="B164" s="5" t="s">
        <v>659</v>
      </c>
      <c r="C164" s="14">
        <v>-0.0008671679901731193</v>
      </c>
      <c r="D164" s="453">
        <v>0.006046306853999136</v>
      </c>
      <c r="E164" s="453">
        <v>-0.3483175838722802</v>
      </c>
      <c r="F164" s="453">
        <v>0</v>
      </c>
      <c r="G164" s="453">
        <v>0.016672523777213993</v>
      </c>
      <c r="H164" s="453">
        <v>0.16815464263666946</v>
      </c>
      <c r="I164" s="453">
        <v>0</v>
      </c>
      <c r="J164" s="14">
        <v>-0.06709318183492881</v>
      </c>
      <c r="K164" s="14">
        <v>0</v>
      </c>
      <c r="L164" s="453">
        <v>-0.03144252587443438</v>
      </c>
      <c r="M164" s="453">
        <v>-0.11757777275644517</v>
      </c>
      <c r="N164" s="453">
        <v>0</v>
      </c>
      <c r="O164" s="14">
        <v>-0.06324629588113197</v>
      </c>
      <c r="P164" s="14">
        <v>0</v>
      </c>
      <c r="Q164" s="453">
        <v>0</v>
      </c>
      <c r="R164" s="453">
        <v>0</v>
      </c>
      <c r="S164" s="15">
        <v>0</v>
      </c>
    </row>
    <row r="165" spans="1:19" ht="12.75">
      <c r="A165" s="51"/>
      <c r="B165" s="5" t="s">
        <v>615</v>
      </c>
      <c r="C165" s="14">
        <v>0</v>
      </c>
      <c r="D165" s="453">
        <v>0</v>
      </c>
      <c r="E165" s="453">
        <v>0.0009600192913829169</v>
      </c>
      <c r="F165" s="485">
        <v>0</v>
      </c>
      <c r="G165" s="453">
        <v>0</v>
      </c>
      <c r="H165" s="453">
        <v>0.00509723413529817</v>
      </c>
      <c r="I165" s="453">
        <v>0</v>
      </c>
      <c r="J165" s="14">
        <v>0.0003897883888771436</v>
      </c>
      <c r="K165" s="14">
        <v>0</v>
      </c>
      <c r="L165" s="453">
        <v>0</v>
      </c>
      <c r="M165" s="453">
        <v>0</v>
      </c>
      <c r="N165" s="453">
        <v>0</v>
      </c>
      <c r="O165" s="14">
        <v>0</v>
      </c>
      <c r="P165" s="14">
        <v>0</v>
      </c>
      <c r="Q165" s="453">
        <v>0</v>
      </c>
      <c r="R165" s="453">
        <v>0</v>
      </c>
      <c r="S165" s="15">
        <v>0</v>
      </c>
    </row>
    <row r="166" spans="1:19" ht="12.75">
      <c r="A166" s="51"/>
      <c r="B166" s="5" t="s">
        <v>617</v>
      </c>
      <c r="C166" s="14">
        <v>0</v>
      </c>
      <c r="D166" s="453">
        <v>0</v>
      </c>
      <c r="E166" s="453">
        <v>0.000604470215759484</v>
      </c>
      <c r="F166" s="453">
        <v>0</v>
      </c>
      <c r="G166" s="453">
        <v>7.084156457681966E-05</v>
      </c>
      <c r="H166" s="453">
        <v>0.005870286141446235</v>
      </c>
      <c r="I166" s="453">
        <v>0</v>
      </c>
      <c r="J166" s="14">
        <v>0.00035248917510239053</v>
      </c>
      <c r="K166" s="14">
        <v>0</v>
      </c>
      <c r="L166" s="453">
        <v>0</v>
      </c>
      <c r="M166" s="453">
        <v>0</v>
      </c>
      <c r="N166" s="453">
        <v>0</v>
      </c>
      <c r="O166" s="14">
        <v>0</v>
      </c>
      <c r="P166" s="14">
        <v>0</v>
      </c>
      <c r="Q166" s="453">
        <v>0</v>
      </c>
      <c r="R166" s="453">
        <v>0</v>
      </c>
      <c r="S166" s="15">
        <v>0</v>
      </c>
    </row>
    <row r="167" spans="1:19" ht="12.75">
      <c r="A167" s="51"/>
      <c r="B167" s="5" t="s">
        <v>645</v>
      </c>
      <c r="C167" s="14">
        <v>0</v>
      </c>
      <c r="D167" s="453">
        <v>0</v>
      </c>
      <c r="E167" s="453">
        <v>-0.03555490756234329</v>
      </c>
      <c r="F167" s="453">
        <v>0</v>
      </c>
      <c r="G167" s="453">
        <v>0</v>
      </c>
      <c r="H167" s="453">
        <v>0.07730520061480645</v>
      </c>
      <c r="I167" s="453">
        <v>0</v>
      </c>
      <c r="J167" s="14">
        <v>-0.0037299213774753077</v>
      </c>
      <c r="K167" s="14">
        <v>0</v>
      </c>
      <c r="L167" s="453">
        <v>0</v>
      </c>
      <c r="M167" s="453">
        <v>0</v>
      </c>
      <c r="N167" s="453">
        <v>0</v>
      </c>
      <c r="O167" s="14">
        <v>0</v>
      </c>
      <c r="P167" s="14">
        <v>0</v>
      </c>
      <c r="Q167" s="453">
        <v>0</v>
      </c>
      <c r="R167" s="453">
        <v>0</v>
      </c>
      <c r="S167" s="15">
        <v>0</v>
      </c>
    </row>
    <row r="168" spans="1:19" ht="12.75">
      <c r="A168" s="51"/>
      <c r="B168" s="5" t="s">
        <v>601</v>
      </c>
      <c r="C168" s="14">
        <v>0.9323921007952819</v>
      </c>
      <c r="D168" s="453">
        <v>0.9656535275183368</v>
      </c>
      <c r="E168" s="453">
        <v>0.5717771260997068</v>
      </c>
      <c r="F168" s="453">
        <v>0.7538120755814604</v>
      </c>
      <c r="G168" s="453">
        <v>0.8642652906957636</v>
      </c>
      <c r="H168" s="453">
        <v>0</v>
      </c>
      <c r="I168" s="453">
        <v>0</v>
      </c>
      <c r="J168" s="14">
        <v>0.8783708676148699</v>
      </c>
      <c r="K168" s="14">
        <v>0</v>
      </c>
      <c r="L168" s="453">
        <v>0</v>
      </c>
      <c r="M168" s="453">
        <v>0</v>
      </c>
      <c r="N168" s="453">
        <v>0</v>
      </c>
      <c r="O168" s="14">
        <v>0</v>
      </c>
      <c r="P168" s="14">
        <v>0</v>
      </c>
      <c r="Q168" s="453">
        <v>0</v>
      </c>
      <c r="R168" s="453">
        <v>0</v>
      </c>
      <c r="S168" s="15">
        <v>0</v>
      </c>
    </row>
    <row r="169" spans="1:19" ht="12.75">
      <c r="A169" s="51"/>
      <c r="B169" s="5" t="s">
        <v>619</v>
      </c>
      <c r="C169" s="14">
        <v>0.9211085157709002</v>
      </c>
      <c r="D169" s="453">
        <v>0.9676995563799832</v>
      </c>
      <c r="E169" s="453">
        <v>0.5748048190366916</v>
      </c>
      <c r="F169" s="453">
        <v>0.7537672481737228</v>
      </c>
      <c r="G169" s="453">
        <v>0.831655536728795</v>
      </c>
      <c r="H169" s="453">
        <v>0</v>
      </c>
      <c r="I169" s="453">
        <v>0</v>
      </c>
      <c r="J169" s="14">
        <v>0.8745189074543479</v>
      </c>
      <c r="K169" s="14">
        <v>0</v>
      </c>
      <c r="L169" s="453">
        <v>0</v>
      </c>
      <c r="M169" s="453">
        <v>0</v>
      </c>
      <c r="N169" s="453">
        <v>0</v>
      </c>
      <c r="O169" s="14">
        <v>0</v>
      </c>
      <c r="P169" s="14">
        <v>0</v>
      </c>
      <c r="Q169" s="453">
        <v>0</v>
      </c>
      <c r="R169" s="453">
        <v>0</v>
      </c>
      <c r="S169" s="15">
        <v>0</v>
      </c>
    </row>
    <row r="170" spans="1:19" ht="12.75">
      <c r="A170" s="51"/>
      <c r="B170" s="5" t="s">
        <v>643</v>
      </c>
      <c r="C170" s="14">
        <v>-1.1283585024381648</v>
      </c>
      <c r="D170" s="453">
        <v>0.20460288616463984</v>
      </c>
      <c r="E170" s="453">
        <v>0.3027692936984794</v>
      </c>
      <c r="F170" s="453">
        <v>-0.004482740773759097</v>
      </c>
      <c r="G170" s="453">
        <v>-3.2609753966968635</v>
      </c>
      <c r="H170" s="453">
        <v>0</v>
      </c>
      <c r="I170" s="453">
        <v>0</v>
      </c>
      <c r="J170" s="14">
        <v>-0.38519601605220277</v>
      </c>
      <c r="K170" s="14">
        <v>0</v>
      </c>
      <c r="L170" s="453">
        <v>0</v>
      </c>
      <c r="M170" s="453">
        <v>0</v>
      </c>
      <c r="N170" s="453">
        <v>0</v>
      </c>
      <c r="O170" s="14">
        <v>0</v>
      </c>
      <c r="P170" s="14">
        <v>0</v>
      </c>
      <c r="Q170" s="453">
        <v>0</v>
      </c>
      <c r="R170" s="453">
        <v>0</v>
      </c>
      <c r="S170" s="15">
        <v>0</v>
      </c>
    </row>
    <row r="171" spans="1:19" ht="12.75">
      <c r="A171" s="51"/>
      <c r="B171" s="5" t="s">
        <v>621</v>
      </c>
      <c r="C171" s="14">
        <v>0.036123415499700016</v>
      </c>
      <c r="D171" s="453">
        <v>0.017381668513534905</v>
      </c>
      <c r="E171" s="502">
        <v>0.1938533724340176</v>
      </c>
      <c r="F171" s="453">
        <v>0.15309832525982525</v>
      </c>
      <c r="G171" s="502">
        <v>0.0645479344003681</v>
      </c>
      <c r="H171" s="453">
        <v>0</v>
      </c>
      <c r="I171" s="453">
        <v>0</v>
      </c>
      <c r="J171" s="14">
        <v>0.06310643185006468</v>
      </c>
      <c r="K171" s="14">
        <v>0</v>
      </c>
      <c r="L171" s="453">
        <v>0</v>
      </c>
      <c r="M171" s="453">
        <v>0</v>
      </c>
      <c r="N171" s="453">
        <v>0</v>
      </c>
      <c r="O171" s="14">
        <v>0</v>
      </c>
      <c r="P171" s="14">
        <v>0</v>
      </c>
      <c r="Q171" s="453">
        <v>0</v>
      </c>
      <c r="R171" s="453">
        <v>0</v>
      </c>
      <c r="S171" s="15">
        <v>0</v>
      </c>
    </row>
    <row r="172" spans="1:19" ht="12.75">
      <c r="A172" s="51"/>
      <c r="B172" s="5" t="s">
        <v>623</v>
      </c>
      <c r="C172" s="14">
        <v>0.04469480210431703</v>
      </c>
      <c r="D172" s="453">
        <v>0.01618250073434553</v>
      </c>
      <c r="E172" s="503">
        <v>0.14893617021276595</v>
      </c>
      <c r="F172" s="453">
        <v>0.1552070957192768</v>
      </c>
      <c r="G172" s="503">
        <v>0.10595036379946178</v>
      </c>
      <c r="H172" s="453">
        <v>0</v>
      </c>
      <c r="I172" s="453">
        <v>0</v>
      </c>
      <c r="J172" s="14">
        <v>0.06318413429206973</v>
      </c>
      <c r="K172" s="14">
        <v>0</v>
      </c>
      <c r="L172" s="453">
        <v>0</v>
      </c>
      <c r="M172" s="453">
        <v>0</v>
      </c>
      <c r="N172" s="453">
        <v>0</v>
      </c>
      <c r="O172" s="14">
        <v>0</v>
      </c>
      <c r="P172" s="14">
        <v>0</v>
      </c>
      <c r="Q172" s="453">
        <v>0</v>
      </c>
      <c r="R172" s="453">
        <v>0</v>
      </c>
      <c r="S172" s="15">
        <v>0</v>
      </c>
    </row>
    <row r="173" spans="1:19" ht="12.75">
      <c r="A173" s="51"/>
      <c r="B173" s="5" t="s">
        <v>647</v>
      </c>
      <c r="C173" s="14">
        <v>0.8571386604617016</v>
      </c>
      <c r="D173" s="453">
        <v>-0.11991677791893737</v>
      </c>
      <c r="E173" s="505">
        <v>-4.491720222125164</v>
      </c>
      <c r="F173" s="453">
        <v>0.21087704594515422</v>
      </c>
      <c r="G173" s="505">
        <v>4.140242939909368</v>
      </c>
      <c r="H173" s="453">
        <v>0</v>
      </c>
      <c r="I173" s="453">
        <v>0</v>
      </c>
      <c r="J173" s="14">
        <v>0.007770244200505649</v>
      </c>
      <c r="K173" s="14">
        <v>0</v>
      </c>
      <c r="L173" s="453">
        <v>0</v>
      </c>
      <c r="M173" s="453">
        <v>0</v>
      </c>
      <c r="N173" s="453">
        <v>0</v>
      </c>
      <c r="O173" s="14">
        <v>0</v>
      </c>
      <c r="P173" s="14">
        <v>0</v>
      </c>
      <c r="Q173" s="453">
        <v>0</v>
      </c>
      <c r="R173" s="453">
        <v>0</v>
      </c>
      <c r="S173" s="15">
        <v>0</v>
      </c>
    </row>
    <row r="174" spans="1:19" ht="12.75">
      <c r="A174" s="51"/>
      <c r="B174" s="5" t="s">
        <v>625</v>
      </c>
      <c r="C174" s="14">
        <v>0.029909238290973614</v>
      </c>
      <c r="D174" s="453">
        <v>0.0027069811619439606</v>
      </c>
      <c r="E174" s="503">
        <v>0.21253958944281526</v>
      </c>
      <c r="F174" s="453">
        <v>0.07695749941266627</v>
      </c>
      <c r="G174" s="453">
        <v>0.06504091760607356</v>
      </c>
      <c r="H174" s="453">
        <v>0</v>
      </c>
      <c r="I174" s="453">
        <v>0</v>
      </c>
      <c r="J174" s="14">
        <v>0.0498627042742913</v>
      </c>
      <c r="K174" s="14">
        <v>0</v>
      </c>
      <c r="L174" s="453">
        <v>0</v>
      </c>
      <c r="M174" s="453">
        <v>0</v>
      </c>
      <c r="N174" s="453">
        <v>0</v>
      </c>
      <c r="O174" s="14">
        <v>0</v>
      </c>
      <c r="P174" s="14">
        <v>0</v>
      </c>
      <c r="Q174" s="453">
        <v>0</v>
      </c>
      <c r="R174" s="453">
        <v>0</v>
      </c>
      <c r="S174" s="15">
        <v>0</v>
      </c>
    </row>
    <row r="175" spans="1:19" ht="12.75">
      <c r="A175" s="51"/>
      <c r="B175" s="5" t="s">
        <v>627</v>
      </c>
      <c r="C175" s="14">
        <v>0.03302737621987083</v>
      </c>
      <c r="D175" s="453">
        <v>0.0006455784867425078</v>
      </c>
      <c r="E175" s="503">
        <v>0.2646236062956773</v>
      </c>
      <c r="F175" s="453">
        <v>0.08690844498817772</v>
      </c>
      <c r="G175" s="453">
        <v>0.05966311173128675</v>
      </c>
      <c r="H175" s="453">
        <v>0</v>
      </c>
      <c r="I175" s="453">
        <v>0</v>
      </c>
      <c r="J175" s="14">
        <v>0.056219155760177955</v>
      </c>
      <c r="K175" s="14">
        <v>0</v>
      </c>
      <c r="L175" s="453">
        <v>0</v>
      </c>
      <c r="M175" s="453">
        <v>0</v>
      </c>
      <c r="N175" s="453">
        <v>0</v>
      </c>
      <c r="O175" s="14">
        <v>0</v>
      </c>
      <c r="P175" s="14">
        <v>0</v>
      </c>
      <c r="Q175" s="453">
        <v>0</v>
      </c>
      <c r="R175" s="453">
        <v>0</v>
      </c>
      <c r="S175" s="15">
        <v>0</v>
      </c>
    </row>
    <row r="176" spans="1:19" ht="12.75">
      <c r="A176" s="51"/>
      <c r="B176" s="5" t="s">
        <v>653</v>
      </c>
      <c r="C176" s="14">
        <v>0.3118137928897213</v>
      </c>
      <c r="D176" s="453">
        <v>-0.20614026752014528</v>
      </c>
      <c r="E176" s="505">
        <v>5.208401685286207</v>
      </c>
      <c r="F176" s="453">
        <v>0.9950945575511447</v>
      </c>
      <c r="G176" s="453">
        <v>-0.5377805874786805</v>
      </c>
      <c r="H176" s="453">
        <v>0</v>
      </c>
      <c r="I176" s="453">
        <v>0</v>
      </c>
      <c r="J176" s="14">
        <v>0.6356451485886656</v>
      </c>
      <c r="K176" s="14">
        <v>0</v>
      </c>
      <c r="L176" s="453">
        <v>0</v>
      </c>
      <c r="M176" s="453">
        <v>0</v>
      </c>
      <c r="N176" s="453">
        <v>0</v>
      </c>
      <c r="O176" s="14">
        <v>0</v>
      </c>
      <c r="P176" s="14">
        <v>0</v>
      </c>
      <c r="Q176" s="453">
        <v>0</v>
      </c>
      <c r="R176" s="453">
        <v>0</v>
      </c>
      <c r="S176" s="15">
        <v>0</v>
      </c>
    </row>
    <row r="177" spans="1:19" ht="12.75">
      <c r="A177" s="51"/>
      <c r="B177" s="5" t="s">
        <v>629</v>
      </c>
      <c r="C177" s="14">
        <v>0.0010620779452876674</v>
      </c>
      <c r="D177" s="485">
        <v>0.0006965331644768086</v>
      </c>
      <c r="E177" s="453">
        <v>0.00636950146627566</v>
      </c>
      <c r="F177" s="453">
        <v>0.01613209974604808</v>
      </c>
      <c r="G177" s="453">
        <v>0.006112991750747691</v>
      </c>
      <c r="H177" s="453">
        <v>0</v>
      </c>
      <c r="I177" s="453">
        <v>0</v>
      </c>
      <c r="J177" s="14">
        <v>0.003458148014839894</v>
      </c>
      <c r="K177" s="14">
        <v>0</v>
      </c>
      <c r="L177" s="453">
        <v>0</v>
      </c>
      <c r="M177" s="453">
        <v>0</v>
      </c>
      <c r="N177" s="453">
        <v>0</v>
      </c>
      <c r="O177" s="14">
        <v>0</v>
      </c>
      <c r="P177" s="14">
        <v>0</v>
      </c>
      <c r="Q177" s="453">
        <v>0</v>
      </c>
      <c r="R177" s="453">
        <v>0</v>
      </c>
      <c r="S177" s="15">
        <v>0</v>
      </c>
    </row>
    <row r="178" spans="1:19" ht="12.75">
      <c r="A178" s="51"/>
      <c r="B178" s="5" t="s">
        <v>631</v>
      </c>
      <c r="C178" s="14">
        <v>0.0004999104752159179</v>
      </c>
      <c r="D178" s="453">
        <v>0.0010598246824022838</v>
      </c>
      <c r="E178" s="453">
        <v>0.0037090618842134143</v>
      </c>
      <c r="F178" s="453">
        <v>0.004117211118822713</v>
      </c>
      <c r="G178" s="453">
        <v>0.0012757898933519385</v>
      </c>
      <c r="H178" s="453">
        <v>0</v>
      </c>
      <c r="I178" s="453">
        <v>0</v>
      </c>
      <c r="J178" s="14">
        <v>0.0013951683823909785</v>
      </c>
      <c r="K178" s="14">
        <v>0</v>
      </c>
      <c r="L178" s="453">
        <v>0</v>
      </c>
      <c r="M178" s="453">
        <v>0</v>
      </c>
      <c r="N178" s="453">
        <v>0</v>
      </c>
      <c r="O178" s="14">
        <v>0</v>
      </c>
      <c r="P178" s="14">
        <v>0</v>
      </c>
      <c r="Q178" s="453">
        <v>0</v>
      </c>
      <c r="R178" s="453">
        <v>0</v>
      </c>
      <c r="S178" s="15">
        <v>0</v>
      </c>
    </row>
    <row r="179" spans="1:19" ht="12.75">
      <c r="A179" s="51"/>
      <c r="B179" s="5" t="s">
        <v>655</v>
      </c>
      <c r="C179" s="14">
        <v>-0.056216747007174946</v>
      </c>
      <c r="D179" s="453">
        <v>0.03632915179254752</v>
      </c>
      <c r="E179" s="453">
        <v>-0.26604395820622456</v>
      </c>
      <c r="F179" s="453">
        <v>-1.2014888627225369</v>
      </c>
      <c r="G179" s="453">
        <v>-0.48372018573957526</v>
      </c>
      <c r="H179" s="453">
        <v>0</v>
      </c>
      <c r="I179" s="453">
        <v>0</v>
      </c>
      <c r="J179" s="14">
        <v>-0.20629796324489158</v>
      </c>
      <c r="K179" s="14">
        <v>0</v>
      </c>
      <c r="L179" s="453">
        <v>0</v>
      </c>
      <c r="M179" s="453">
        <v>0</v>
      </c>
      <c r="N179" s="453">
        <v>0</v>
      </c>
      <c r="O179" s="14">
        <v>0</v>
      </c>
      <c r="P179" s="14">
        <v>0</v>
      </c>
      <c r="Q179" s="453">
        <v>0</v>
      </c>
      <c r="R179" s="453">
        <v>0</v>
      </c>
      <c r="S179" s="15">
        <v>0</v>
      </c>
    </row>
    <row r="180" spans="1:19" ht="12.75">
      <c r="A180" s="51"/>
      <c r="B180" s="5" t="s">
        <v>633</v>
      </c>
      <c r="C180" s="14">
        <v>0.0005131674687567816</v>
      </c>
      <c r="D180" s="453">
        <v>0.013561289641707561</v>
      </c>
      <c r="E180" s="485">
        <v>0.010791788856304985</v>
      </c>
      <c r="F180" s="453">
        <v>0</v>
      </c>
      <c r="G180" s="453">
        <v>0</v>
      </c>
      <c r="H180" s="453">
        <v>0</v>
      </c>
      <c r="I180" s="453">
        <v>0</v>
      </c>
      <c r="J180" s="14">
        <v>0.004694381876709838</v>
      </c>
      <c r="K180" s="14">
        <v>0</v>
      </c>
      <c r="L180" s="453">
        <v>0</v>
      </c>
      <c r="M180" s="453">
        <v>0</v>
      </c>
      <c r="N180" s="453">
        <v>0</v>
      </c>
      <c r="O180" s="14">
        <v>0</v>
      </c>
      <c r="P180" s="14">
        <v>0</v>
      </c>
      <c r="Q180" s="453">
        <v>0</v>
      </c>
      <c r="R180" s="453">
        <v>0</v>
      </c>
      <c r="S180" s="15">
        <v>0</v>
      </c>
    </row>
    <row r="181" spans="1:19" ht="12.75">
      <c r="A181" s="51"/>
      <c r="B181" s="5" t="s">
        <v>635</v>
      </c>
      <c r="C181" s="14">
        <v>0.0006693954296960085</v>
      </c>
      <c r="D181" s="453">
        <v>0.014412539716526488</v>
      </c>
      <c r="E181" s="453">
        <v>0.0047086627921478635</v>
      </c>
      <c r="F181" s="453">
        <v>0</v>
      </c>
      <c r="G181" s="453">
        <v>0.00103657928834845</v>
      </c>
      <c r="H181" s="453">
        <v>0</v>
      </c>
      <c r="I181" s="453">
        <v>0</v>
      </c>
      <c r="J181" s="14">
        <v>0.0043326780818374626</v>
      </c>
      <c r="K181" s="14">
        <v>0</v>
      </c>
      <c r="L181" s="453">
        <v>0</v>
      </c>
      <c r="M181" s="453">
        <v>0</v>
      </c>
      <c r="N181" s="453">
        <v>0</v>
      </c>
      <c r="O181" s="14">
        <v>0</v>
      </c>
      <c r="P181" s="14">
        <v>0</v>
      </c>
      <c r="Q181" s="453">
        <v>0</v>
      </c>
      <c r="R181" s="453">
        <v>0</v>
      </c>
      <c r="S181" s="15">
        <v>0</v>
      </c>
    </row>
    <row r="182" spans="1:19" ht="12.75">
      <c r="A182" s="51"/>
      <c r="B182" s="5" t="s">
        <v>661</v>
      </c>
      <c r="C182" s="14">
        <v>0.015622796093922694</v>
      </c>
      <c r="D182" s="453">
        <v>0.08512500748189267</v>
      </c>
      <c r="E182" s="453">
        <v>-0.6083126064157122</v>
      </c>
      <c r="F182" s="453">
        <v>0</v>
      </c>
      <c r="G182" s="453">
        <v>0</v>
      </c>
      <c r="H182" s="453">
        <v>0</v>
      </c>
      <c r="I182" s="453">
        <v>0</v>
      </c>
      <c r="J182" s="14">
        <v>-0.0361703794872375</v>
      </c>
      <c r="K182" s="14">
        <v>0</v>
      </c>
      <c r="L182" s="453">
        <v>0</v>
      </c>
      <c r="M182" s="453">
        <v>0</v>
      </c>
      <c r="N182" s="453">
        <v>0</v>
      </c>
      <c r="O182" s="14">
        <v>0</v>
      </c>
      <c r="P182" s="14">
        <v>0</v>
      </c>
      <c r="Q182" s="453">
        <v>0</v>
      </c>
      <c r="R182" s="453">
        <v>0</v>
      </c>
      <c r="S182" s="15">
        <v>0</v>
      </c>
    </row>
    <row r="183" spans="1:19" ht="12.75">
      <c r="A183" s="51"/>
      <c r="B183" s="5" t="s">
        <v>637</v>
      </c>
      <c r="C183" s="14">
        <v>0</v>
      </c>
      <c r="D183" s="453">
        <v>0</v>
      </c>
      <c r="E183" s="453">
        <v>0.004668621700879765</v>
      </c>
      <c r="F183" s="453">
        <v>0</v>
      </c>
      <c r="G183" s="453">
        <v>3.28655470470306E-05</v>
      </c>
      <c r="H183" s="453">
        <v>0</v>
      </c>
      <c r="I183" s="453">
        <v>0</v>
      </c>
      <c r="J183" s="14">
        <v>0.0005074663692243905</v>
      </c>
      <c r="K183" s="14">
        <v>0</v>
      </c>
      <c r="L183" s="453">
        <v>0</v>
      </c>
      <c r="M183" s="453">
        <v>0</v>
      </c>
      <c r="N183" s="453">
        <v>0</v>
      </c>
      <c r="O183" s="14">
        <v>0</v>
      </c>
      <c r="P183" s="14">
        <v>0</v>
      </c>
      <c r="Q183" s="453">
        <v>0</v>
      </c>
      <c r="R183" s="453">
        <v>0</v>
      </c>
      <c r="S183" s="15">
        <v>0</v>
      </c>
    </row>
    <row r="184" spans="1:19" ht="12.75">
      <c r="A184" s="51"/>
      <c r="B184" s="5" t="s">
        <v>639</v>
      </c>
      <c r="C184" s="14">
        <v>0</v>
      </c>
      <c r="D184" s="453">
        <v>0</v>
      </c>
      <c r="E184" s="453">
        <v>0.0032176797785039035</v>
      </c>
      <c r="F184" s="453">
        <v>0</v>
      </c>
      <c r="G184" s="453">
        <v>0.00041861855875610486</v>
      </c>
      <c r="H184" s="453">
        <v>0</v>
      </c>
      <c r="I184" s="453">
        <v>0</v>
      </c>
      <c r="J184" s="482">
        <v>0.00034995602917593506</v>
      </c>
      <c r="K184" s="14">
        <v>0</v>
      </c>
      <c r="L184" s="453">
        <v>0</v>
      </c>
      <c r="M184" s="453">
        <v>0</v>
      </c>
      <c r="N184" s="453">
        <v>0</v>
      </c>
      <c r="O184" s="14">
        <v>0</v>
      </c>
      <c r="P184" s="14">
        <v>0</v>
      </c>
      <c r="Q184" s="453">
        <v>0</v>
      </c>
      <c r="R184" s="453">
        <v>0</v>
      </c>
      <c r="S184" s="15">
        <v>0</v>
      </c>
    </row>
    <row r="185" spans="1:21" s="196" customFormat="1" ht="13.5" thickBot="1">
      <c r="A185" s="454"/>
      <c r="B185" s="5" t="s">
        <v>663</v>
      </c>
      <c r="C185" s="14">
        <v>0</v>
      </c>
      <c r="D185" s="453">
        <v>0</v>
      </c>
      <c r="E185" s="453">
        <v>-0.14509419223758618</v>
      </c>
      <c r="F185" s="453">
        <v>0</v>
      </c>
      <c r="G185" s="453">
        <v>0.038575301170907426</v>
      </c>
      <c r="H185" s="453">
        <v>0</v>
      </c>
      <c r="I185" s="453">
        <v>0</v>
      </c>
      <c r="J185" s="14">
        <v>-0.01575103400484554</v>
      </c>
      <c r="K185" s="14">
        <v>0</v>
      </c>
      <c r="L185" s="453">
        <v>0</v>
      </c>
      <c r="M185" s="453">
        <v>0</v>
      </c>
      <c r="N185" s="453">
        <v>0</v>
      </c>
      <c r="O185" s="14">
        <v>0</v>
      </c>
      <c r="P185" s="14">
        <v>0</v>
      </c>
      <c r="Q185" s="453">
        <v>0</v>
      </c>
      <c r="R185" s="453">
        <v>0</v>
      </c>
      <c r="S185" s="15">
        <v>0</v>
      </c>
      <c r="T185"/>
      <c r="U185"/>
    </row>
    <row r="186" spans="1:21" s="48" customFormat="1" ht="12.75">
      <c r="A186" s="50" t="s">
        <v>335</v>
      </c>
      <c r="B186" s="3" t="s">
        <v>593</v>
      </c>
      <c r="C186" s="11">
        <v>0.9775472002132489</v>
      </c>
      <c r="D186" s="547">
        <v>0.6298245709898721</v>
      </c>
      <c r="E186" s="12">
        <v>0.8743336971706923</v>
      </c>
      <c r="F186" s="12">
        <v>0.9203420070000292</v>
      </c>
      <c r="G186" s="12">
        <v>0.9080117417166665</v>
      </c>
      <c r="H186" s="12">
        <v>0</v>
      </c>
      <c r="I186" s="12">
        <v>0</v>
      </c>
      <c r="J186" s="11">
        <v>0.8694209188600261</v>
      </c>
      <c r="K186" s="11">
        <v>0</v>
      </c>
      <c r="L186" s="483">
        <v>0.6713750002628983</v>
      </c>
      <c r="M186" s="12">
        <v>0.736861704882285</v>
      </c>
      <c r="N186" s="511">
        <v>0.631457906762812</v>
      </c>
      <c r="O186" s="11">
        <v>0.7027316725985077</v>
      </c>
      <c r="P186" s="11">
        <v>0.9296892193997521</v>
      </c>
      <c r="Q186" s="12">
        <v>0.9590037389058395</v>
      </c>
      <c r="R186" s="12">
        <v>0</v>
      </c>
      <c r="S186" s="13">
        <v>0.942641101983946</v>
      </c>
      <c r="T186"/>
      <c r="U186"/>
    </row>
    <row r="187" spans="1:19" ht="12.75">
      <c r="A187" s="51"/>
      <c r="B187" s="5" t="s">
        <v>595</v>
      </c>
      <c r="C187" s="14">
        <v>0.9748409872072488</v>
      </c>
      <c r="D187" s="548">
        <v>0.9488004744191062</v>
      </c>
      <c r="E187" s="453">
        <v>0.867739571694691</v>
      </c>
      <c r="F187" s="453">
        <v>0.9143545723088651</v>
      </c>
      <c r="G187" s="453">
        <v>0.9334005146569254</v>
      </c>
      <c r="H187" s="453">
        <v>0</v>
      </c>
      <c r="I187" s="453">
        <v>0</v>
      </c>
      <c r="J187" s="14">
        <v>0.9133480779596769</v>
      </c>
      <c r="K187" s="14">
        <v>0</v>
      </c>
      <c r="L187" s="479">
        <v>0.6640015633405056</v>
      </c>
      <c r="M187" s="453">
        <v>0.747402321459788</v>
      </c>
      <c r="N187" s="503">
        <v>0.6070090225130438</v>
      </c>
      <c r="O187" s="14">
        <v>0.702516238999846</v>
      </c>
      <c r="P187" s="14">
        <v>0.9441759569443682</v>
      </c>
      <c r="Q187" s="453">
        <v>0.9334166059470524</v>
      </c>
      <c r="R187" s="453">
        <v>0</v>
      </c>
      <c r="S187" s="15">
        <v>0.9394227379328316</v>
      </c>
    </row>
    <row r="188" spans="1:19" ht="13.5" thickBot="1">
      <c r="A188" s="51"/>
      <c r="B188" s="476" t="s">
        <v>641</v>
      </c>
      <c r="C188" s="455">
        <v>-0.27062130060001577</v>
      </c>
      <c r="D188" s="549">
        <v>31.897590342923408</v>
      </c>
      <c r="E188" s="530">
        <v>-0.6594125476001356</v>
      </c>
      <c r="F188" s="530">
        <v>-0.598743469116414</v>
      </c>
      <c r="G188" s="530">
        <v>2.5388772940258875</v>
      </c>
      <c r="H188" s="530">
        <v>0</v>
      </c>
      <c r="I188" s="530">
        <v>0</v>
      </c>
      <c r="J188" s="455">
        <v>4.392715909965073</v>
      </c>
      <c r="K188" s="455">
        <v>0</v>
      </c>
      <c r="L188" s="537">
        <v>-0.7373436922392673</v>
      </c>
      <c r="M188" s="530">
        <v>1.0540616577503048</v>
      </c>
      <c r="N188" s="527">
        <v>-2.444888424976821</v>
      </c>
      <c r="O188" s="455">
        <v>-0.02154335986616074</v>
      </c>
      <c r="P188" s="455">
        <v>1.4486737544616046</v>
      </c>
      <c r="Q188" s="530">
        <v>-2.5587132958787007</v>
      </c>
      <c r="R188" s="530">
        <v>0</v>
      </c>
      <c r="S188" s="456">
        <v>-0.32183640511144196</v>
      </c>
    </row>
    <row r="189" spans="1:19" ht="12.75">
      <c r="A189" s="51"/>
      <c r="B189" s="5" t="s">
        <v>597</v>
      </c>
      <c r="C189" s="14">
        <v>0.006604349720210304</v>
      </c>
      <c r="D189" s="453">
        <v>0.015252023813101577</v>
      </c>
      <c r="E189" s="453">
        <v>0.08387149231629704</v>
      </c>
      <c r="F189" s="453">
        <v>0.048686275847949226</v>
      </c>
      <c r="G189" s="453">
        <v>0</v>
      </c>
      <c r="H189" s="453">
        <v>0</v>
      </c>
      <c r="I189" s="453">
        <v>0</v>
      </c>
      <c r="J189" s="14">
        <v>0.04847467834031835</v>
      </c>
      <c r="K189" s="14">
        <v>0</v>
      </c>
      <c r="L189" s="453">
        <v>0.044509736702077314</v>
      </c>
      <c r="M189" s="453">
        <v>0.1332212489120563</v>
      </c>
      <c r="N189" s="453">
        <v>0.1271922015490074</v>
      </c>
      <c r="O189" s="14">
        <v>0.10086199486584527</v>
      </c>
      <c r="P189" s="14">
        <v>0.0014189572691153814</v>
      </c>
      <c r="Q189" s="453">
        <v>0.0015219029640523593</v>
      </c>
      <c r="R189" s="453">
        <v>0</v>
      </c>
      <c r="S189" s="15">
        <v>0.0014644412332340873</v>
      </c>
    </row>
    <row r="190" spans="1:19" ht="12.75">
      <c r="A190" s="51"/>
      <c r="B190" s="5" t="s">
        <v>599</v>
      </c>
      <c r="C190" s="14">
        <v>0.004476202846236907</v>
      </c>
      <c r="D190" s="453">
        <v>0.023489136880694376</v>
      </c>
      <c r="E190" s="453">
        <v>0.08484686775624796</v>
      </c>
      <c r="F190" s="453">
        <v>0.04828597973509513</v>
      </c>
      <c r="G190" s="453">
        <v>0.0007018048982382897</v>
      </c>
      <c r="H190" s="453">
        <v>0</v>
      </c>
      <c r="I190" s="453">
        <v>0</v>
      </c>
      <c r="J190" s="14">
        <v>0.04943316470164034</v>
      </c>
      <c r="K190" s="14">
        <v>0</v>
      </c>
      <c r="L190" s="453">
        <v>0.07313659897794514</v>
      </c>
      <c r="M190" s="453">
        <v>0.11833703093621599</v>
      </c>
      <c r="N190" s="453">
        <v>0.11879161742238621</v>
      </c>
      <c r="O190" s="14">
        <v>0.10206731969077819</v>
      </c>
      <c r="P190" s="14">
        <v>0.0007688505684002417</v>
      </c>
      <c r="Q190" s="453">
        <v>0.0044759029874050175</v>
      </c>
      <c r="R190" s="453">
        <v>0</v>
      </c>
      <c r="S190" s="15">
        <v>0.0024065359677493525</v>
      </c>
    </row>
    <row r="191" spans="1:19" ht="13.5" thickBot="1">
      <c r="A191" s="51"/>
      <c r="B191" s="5" t="s">
        <v>649</v>
      </c>
      <c r="C191" s="14">
        <v>-0.21281468739733972</v>
      </c>
      <c r="D191" s="453">
        <v>0.8237113067592798</v>
      </c>
      <c r="E191" s="453">
        <v>0.09753754399509235</v>
      </c>
      <c r="F191" s="453">
        <v>-0.04002961128540955</v>
      </c>
      <c r="G191" s="453">
        <v>0</v>
      </c>
      <c r="H191" s="453">
        <v>0</v>
      </c>
      <c r="I191" s="453">
        <v>0</v>
      </c>
      <c r="J191" s="14">
        <v>0.09584863613219877</v>
      </c>
      <c r="K191" s="14">
        <v>0</v>
      </c>
      <c r="L191" s="453">
        <v>2.8626862275867824</v>
      </c>
      <c r="M191" s="453">
        <v>-1.4884217975840317</v>
      </c>
      <c r="N191" s="453">
        <v>-0.8400584126621189</v>
      </c>
      <c r="O191" s="14">
        <v>0.12053248249329213</v>
      </c>
      <c r="P191" s="14">
        <v>-0.06501067007151398</v>
      </c>
      <c r="Q191" s="453">
        <v>0.29540000233526587</v>
      </c>
      <c r="R191" s="453">
        <v>0</v>
      </c>
      <c r="S191" s="15">
        <v>0.09420947345152651</v>
      </c>
    </row>
    <row r="192" spans="1:19" ht="12.75">
      <c r="A192" s="51"/>
      <c r="B192" s="5" t="s">
        <v>603</v>
      </c>
      <c r="C192" s="14">
        <v>0.010553034718589056</v>
      </c>
      <c r="D192" s="550">
        <v>0.3529808724731365</v>
      </c>
      <c r="E192" s="453">
        <v>0.02238905629787685</v>
      </c>
      <c r="F192" s="453">
        <v>0.01656413606184984</v>
      </c>
      <c r="G192" s="453">
        <v>0.06451057529246688</v>
      </c>
      <c r="H192" s="453">
        <v>0</v>
      </c>
      <c r="I192" s="453">
        <v>0</v>
      </c>
      <c r="J192" s="14">
        <v>0.0690465150580491</v>
      </c>
      <c r="K192" s="14">
        <v>0</v>
      </c>
      <c r="L192" s="483">
        <v>0.28122758791845526</v>
      </c>
      <c r="M192" s="453">
        <v>0.10838508780673332</v>
      </c>
      <c r="N192" s="502">
        <v>0.22299623134217633</v>
      </c>
      <c r="O192" s="14">
        <v>0.18186914483792851</v>
      </c>
      <c r="P192" s="14">
        <v>0.0688918233311325</v>
      </c>
      <c r="Q192" s="453">
        <v>0.03947435813010807</v>
      </c>
      <c r="R192" s="453">
        <v>0</v>
      </c>
      <c r="S192" s="15">
        <v>0.055894456782819804</v>
      </c>
    </row>
    <row r="193" spans="1:19" ht="12.75">
      <c r="A193" s="51"/>
      <c r="B193" s="5" t="s">
        <v>605</v>
      </c>
      <c r="C193" s="14">
        <v>0.014653797018061836</v>
      </c>
      <c r="D193" s="548">
        <v>0.026756159361690658</v>
      </c>
      <c r="E193" s="453">
        <v>0.03024878042559787</v>
      </c>
      <c r="F193" s="453">
        <v>0.025251723152177365</v>
      </c>
      <c r="G193" s="453">
        <v>0.04714689316370049</v>
      </c>
      <c r="H193" s="453">
        <v>0</v>
      </c>
      <c r="I193" s="453">
        <v>0</v>
      </c>
      <c r="J193" s="14">
        <v>0.0258204013658721</v>
      </c>
      <c r="K193" s="14">
        <v>0</v>
      </c>
      <c r="L193" s="479">
        <v>0.25679338690156</v>
      </c>
      <c r="M193" s="453">
        <v>0.1084465946285508</v>
      </c>
      <c r="N193" s="503">
        <v>0.2661208959096019</v>
      </c>
      <c r="O193" s="14">
        <v>0.17859751782060979</v>
      </c>
      <c r="P193" s="14">
        <v>0.05505519248723159</v>
      </c>
      <c r="Q193" s="453">
        <v>0.0614135526178828</v>
      </c>
      <c r="R193" s="453">
        <v>0</v>
      </c>
      <c r="S193" s="15">
        <v>0.05786416100798602</v>
      </c>
    </row>
    <row r="194" spans="1:19" ht="13.5" thickBot="1">
      <c r="A194" s="51"/>
      <c r="B194" s="5" t="s">
        <v>651</v>
      </c>
      <c r="C194" s="14">
        <v>0.4100762299472781</v>
      </c>
      <c r="D194" s="551">
        <v>-32.62247131114458</v>
      </c>
      <c r="E194" s="453">
        <v>0.785972412772102</v>
      </c>
      <c r="F194" s="453">
        <v>0.8687587090327523</v>
      </c>
      <c r="G194" s="453">
        <v>-1.7363682128766391</v>
      </c>
      <c r="H194" s="453">
        <v>0</v>
      </c>
      <c r="I194" s="453">
        <v>0</v>
      </c>
      <c r="J194" s="14">
        <v>-4.322611369217699</v>
      </c>
      <c r="K194" s="14">
        <v>0</v>
      </c>
      <c r="L194" s="484">
        <v>-2.443420101689525</v>
      </c>
      <c r="M194" s="453">
        <v>0.006150682181747802</v>
      </c>
      <c r="N194" s="505">
        <v>4.312466456742559</v>
      </c>
      <c r="O194" s="14">
        <v>-0.3271627017318729</v>
      </c>
      <c r="P194" s="14">
        <v>-1.383663084390091</v>
      </c>
      <c r="Q194" s="453">
        <v>2.1939194487774727</v>
      </c>
      <c r="R194" s="453">
        <v>0</v>
      </c>
      <c r="S194" s="15">
        <v>0.19697042251662147</v>
      </c>
    </row>
    <row r="195" spans="1:19" ht="12.75">
      <c r="A195" s="51"/>
      <c r="B195" s="5" t="s">
        <v>607</v>
      </c>
      <c r="C195" s="14">
        <v>0.0025999653868418278</v>
      </c>
      <c r="D195" s="453">
        <v>0</v>
      </c>
      <c r="E195" s="453">
        <v>0.011616842302375948</v>
      </c>
      <c r="F195" s="453">
        <v>0.010728178529993858</v>
      </c>
      <c r="G195" s="453">
        <v>0.007265402394828135</v>
      </c>
      <c r="H195" s="453">
        <v>0</v>
      </c>
      <c r="I195" s="453">
        <v>0</v>
      </c>
      <c r="J195" s="14">
        <v>0.007748842644466737</v>
      </c>
      <c r="K195" s="14">
        <v>0</v>
      </c>
      <c r="L195" s="453">
        <v>0.001303975653512637</v>
      </c>
      <c r="M195" s="453">
        <v>0.011934666021464304</v>
      </c>
      <c r="N195" s="453">
        <v>0.012641324668387787</v>
      </c>
      <c r="O195" s="14">
        <v>0.008201912309311372</v>
      </c>
      <c r="P195" s="14">
        <v>0</v>
      </c>
      <c r="Q195" s="453">
        <v>0</v>
      </c>
      <c r="R195" s="453">
        <v>0</v>
      </c>
      <c r="S195" s="15">
        <v>0</v>
      </c>
    </row>
    <row r="196" spans="1:19" ht="12.75">
      <c r="A196" s="51"/>
      <c r="B196" s="5" t="s">
        <v>609</v>
      </c>
      <c r="C196" s="14">
        <v>0.003123067468725707</v>
      </c>
      <c r="D196" s="453">
        <v>0</v>
      </c>
      <c r="E196" s="453">
        <v>0.013137952919964726</v>
      </c>
      <c r="F196" s="453">
        <v>0.00834378871136804</v>
      </c>
      <c r="G196" s="453">
        <v>0.004210829389429739</v>
      </c>
      <c r="H196" s="453">
        <v>0</v>
      </c>
      <c r="I196" s="453">
        <v>0</v>
      </c>
      <c r="J196" s="14">
        <v>0.00788511683690045</v>
      </c>
      <c r="K196" s="14">
        <v>0</v>
      </c>
      <c r="L196" s="453">
        <v>0.004940071947283486</v>
      </c>
      <c r="M196" s="453">
        <v>0.017069139252056185</v>
      </c>
      <c r="N196" s="453">
        <v>0.00708396990573924</v>
      </c>
      <c r="O196" s="14">
        <v>0.011639435414560065</v>
      </c>
      <c r="P196" s="14">
        <v>0</v>
      </c>
      <c r="Q196" s="453">
        <v>0.0006939384476596926</v>
      </c>
      <c r="R196" s="453">
        <v>0</v>
      </c>
      <c r="S196" s="15">
        <v>0.0003065650914330385</v>
      </c>
    </row>
    <row r="197" spans="1:19" ht="12.75">
      <c r="A197" s="51"/>
      <c r="B197" s="5" t="s">
        <v>657</v>
      </c>
      <c r="C197" s="14">
        <v>0.05231020818838791</v>
      </c>
      <c r="D197" s="453">
        <v>0</v>
      </c>
      <c r="E197" s="453">
        <v>0.15211106175887779</v>
      </c>
      <c r="F197" s="453">
        <v>-0.23843898186258172</v>
      </c>
      <c r="G197" s="453">
        <v>-0.30545730053983966</v>
      </c>
      <c r="H197" s="453">
        <v>0</v>
      </c>
      <c r="I197" s="453">
        <v>0</v>
      </c>
      <c r="J197" s="14">
        <v>0.013627419243371266</v>
      </c>
      <c r="K197" s="14">
        <v>0</v>
      </c>
      <c r="L197" s="453">
        <v>0.3636096293770849</v>
      </c>
      <c r="M197" s="453">
        <v>0.5134473230591882</v>
      </c>
      <c r="N197" s="453">
        <v>-0.5557354762648546</v>
      </c>
      <c r="O197" s="14">
        <v>0.3437523105248693</v>
      </c>
      <c r="P197" s="14">
        <v>0</v>
      </c>
      <c r="Q197" s="453">
        <v>0</v>
      </c>
      <c r="R197" s="453">
        <v>0</v>
      </c>
      <c r="S197" s="15">
        <v>0</v>
      </c>
    </row>
    <row r="198" spans="1:19" ht="12.75">
      <c r="A198" s="51"/>
      <c r="B198" s="5" t="s">
        <v>611</v>
      </c>
      <c r="C198" s="14">
        <v>0.0026954499611099286</v>
      </c>
      <c r="D198" s="453">
        <v>0.001942532723889874</v>
      </c>
      <c r="E198" s="453">
        <v>0.007788911912757879</v>
      </c>
      <c r="F198" s="453">
        <v>0.003679402560177828</v>
      </c>
      <c r="G198" s="453">
        <v>0.02021228059603846</v>
      </c>
      <c r="H198" s="453">
        <v>0</v>
      </c>
      <c r="I198" s="453">
        <v>0</v>
      </c>
      <c r="J198" s="14">
        <v>0.005309045097139635</v>
      </c>
      <c r="K198" s="14">
        <v>0</v>
      </c>
      <c r="L198" s="453">
        <v>0.0015836994630564769</v>
      </c>
      <c r="M198" s="453">
        <v>0.009597292377461205</v>
      </c>
      <c r="N198" s="453">
        <v>0.005712335677616547</v>
      </c>
      <c r="O198" s="14">
        <v>0.006335275388407252</v>
      </c>
      <c r="P198" s="14">
        <v>0</v>
      </c>
      <c r="Q198" s="453">
        <v>0</v>
      </c>
      <c r="R198" s="453">
        <v>0</v>
      </c>
      <c r="S198" s="15">
        <v>0</v>
      </c>
    </row>
    <row r="199" spans="1:19" ht="12.75">
      <c r="A199" s="51"/>
      <c r="B199" s="5" t="s">
        <v>613</v>
      </c>
      <c r="C199" s="14">
        <v>0.0029059454597267754</v>
      </c>
      <c r="D199" s="453">
        <v>0.0009542293385088145</v>
      </c>
      <c r="E199" s="453">
        <v>0.004026827203498484</v>
      </c>
      <c r="F199" s="453">
        <v>0.003763936092494362</v>
      </c>
      <c r="G199" s="453">
        <v>0.014539957891706106</v>
      </c>
      <c r="H199" s="453">
        <v>0</v>
      </c>
      <c r="I199" s="453">
        <v>0</v>
      </c>
      <c r="J199" s="14">
        <v>0.0035132391359102766</v>
      </c>
      <c r="K199" s="14">
        <v>0</v>
      </c>
      <c r="L199" s="453">
        <v>0.0011283788327057559</v>
      </c>
      <c r="M199" s="453">
        <v>0.008744913723388984</v>
      </c>
      <c r="N199" s="453">
        <v>0.0009944942492289067</v>
      </c>
      <c r="O199" s="14">
        <v>0.0051794880742059525</v>
      </c>
      <c r="P199" s="14">
        <v>0</v>
      </c>
      <c r="Q199" s="453">
        <v>0</v>
      </c>
      <c r="R199" s="453">
        <v>0</v>
      </c>
      <c r="S199" s="15">
        <v>0</v>
      </c>
    </row>
    <row r="200" spans="1:19" ht="12.75">
      <c r="A200" s="51"/>
      <c r="B200" s="5" t="s">
        <v>659</v>
      </c>
      <c r="C200" s="14">
        <v>0.021049549861684683</v>
      </c>
      <c r="D200" s="453">
        <v>-0.09883033853810594</v>
      </c>
      <c r="E200" s="453">
        <v>-0.3762084709259395</v>
      </c>
      <c r="F200" s="453">
        <v>0.008453353231653365</v>
      </c>
      <c r="G200" s="453">
        <v>-0.5672322704332355</v>
      </c>
      <c r="H200" s="453">
        <v>0</v>
      </c>
      <c r="I200" s="453">
        <v>0</v>
      </c>
      <c r="J200" s="14">
        <v>-0.17958059612293584</v>
      </c>
      <c r="K200" s="14">
        <v>0</v>
      </c>
      <c r="L200" s="453">
        <v>-0.0455320630350721</v>
      </c>
      <c r="M200" s="453">
        <v>-0.08523786540722209</v>
      </c>
      <c r="N200" s="453">
        <v>-0.471784142838764</v>
      </c>
      <c r="O200" s="14">
        <v>-0.11557873142012996</v>
      </c>
      <c r="P200" s="14">
        <v>0</v>
      </c>
      <c r="Q200" s="453">
        <v>0</v>
      </c>
      <c r="R200" s="453">
        <v>0</v>
      </c>
      <c r="S200" s="15">
        <v>0</v>
      </c>
    </row>
    <row r="201" spans="1:19" ht="12.75">
      <c r="A201" s="51"/>
      <c r="B201" s="5" t="s">
        <v>615</v>
      </c>
      <c r="C201" s="14">
        <v>0</v>
      </c>
      <c r="D201" s="453">
        <v>0</v>
      </c>
      <c r="E201" s="453">
        <v>0</v>
      </c>
      <c r="F201" s="453">
        <v>0</v>
      </c>
      <c r="G201" s="453">
        <v>0</v>
      </c>
      <c r="H201" s="453">
        <v>0</v>
      </c>
      <c r="I201" s="453">
        <v>0</v>
      </c>
      <c r="J201" s="14">
        <v>0</v>
      </c>
      <c r="K201" s="14">
        <v>0</v>
      </c>
      <c r="L201" s="453">
        <v>0</v>
      </c>
      <c r="M201" s="453">
        <v>0</v>
      </c>
      <c r="N201" s="453">
        <v>0</v>
      </c>
      <c r="O201" s="14">
        <v>0</v>
      </c>
      <c r="P201" s="14">
        <v>0</v>
      </c>
      <c r="Q201" s="453">
        <v>0</v>
      </c>
      <c r="R201" s="453">
        <v>0</v>
      </c>
      <c r="S201" s="15">
        <v>0</v>
      </c>
    </row>
    <row r="202" spans="1:19" ht="12.75">
      <c r="A202" s="51"/>
      <c r="B202" s="5" t="s">
        <v>617</v>
      </c>
      <c r="C202" s="14">
        <v>0</v>
      </c>
      <c r="D202" s="453">
        <v>0</v>
      </c>
      <c r="E202" s="453">
        <v>0</v>
      </c>
      <c r="F202" s="453">
        <v>0</v>
      </c>
      <c r="G202" s="453">
        <v>0</v>
      </c>
      <c r="H202" s="453">
        <v>0</v>
      </c>
      <c r="I202" s="453">
        <v>0</v>
      </c>
      <c r="J202" s="14">
        <v>0</v>
      </c>
      <c r="K202" s="14">
        <v>0</v>
      </c>
      <c r="L202" s="453">
        <v>0</v>
      </c>
      <c r="M202" s="453">
        <v>0</v>
      </c>
      <c r="N202" s="453">
        <v>0</v>
      </c>
      <c r="O202" s="14">
        <v>0</v>
      </c>
      <c r="P202" s="14">
        <v>0</v>
      </c>
      <c r="Q202" s="453">
        <v>0</v>
      </c>
      <c r="R202" s="453">
        <v>0</v>
      </c>
      <c r="S202" s="15">
        <v>0</v>
      </c>
    </row>
    <row r="203" spans="1:19" ht="12.75">
      <c r="A203" s="51"/>
      <c r="B203" s="5" t="s">
        <v>645</v>
      </c>
      <c r="C203" s="14">
        <v>0</v>
      </c>
      <c r="D203" s="453">
        <v>0</v>
      </c>
      <c r="E203" s="453">
        <v>0</v>
      </c>
      <c r="F203" s="453">
        <v>0</v>
      </c>
      <c r="G203" s="453">
        <v>0</v>
      </c>
      <c r="H203" s="453">
        <v>0</v>
      </c>
      <c r="I203" s="453">
        <v>0</v>
      </c>
      <c r="J203" s="14">
        <v>0</v>
      </c>
      <c r="K203" s="14">
        <v>0</v>
      </c>
      <c r="L203" s="453">
        <v>0</v>
      </c>
      <c r="M203" s="453">
        <v>0</v>
      </c>
      <c r="N203" s="453">
        <v>0</v>
      </c>
      <c r="O203" s="14">
        <v>0</v>
      </c>
      <c r="P203" s="14">
        <v>0</v>
      </c>
      <c r="Q203" s="453">
        <v>0</v>
      </c>
      <c r="R203" s="453">
        <v>0</v>
      </c>
      <c r="S203" s="15">
        <v>0</v>
      </c>
    </row>
    <row r="204" spans="1:19" ht="12.75">
      <c r="A204" s="51"/>
      <c r="B204" s="5" t="s">
        <v>601</v>
      </c>
      <c r="C204" s="14">
        <v>0.9028577210180772</v>
      </c>
      <c r="D204" s="502">
        <v>0.6726379883723712</v>
      </c>
      <c r="E204" s="453">
        <v>0.6018995420746784</v>
      </c>
      <c r="F204" s="453">
        <v>0.777106082473291</v>
      </c>
      <c r="G204" s="453">
        <v>0.9614065180102916</v>
      </c>
      <c r="H204" s="453">
        <v>0</v>
      </c>
      <c r="I204" s="453">
        <v>0</v>
      </c>
      <c r="J204" s="14">
        <v>0.7281422382850935</v>
      </c>
      <c r="K204" s="14">
        <v>0</v>
      </c>
      <c r="L204" s="453">
        <v>0</v>
      </c>
      <c r="M204" s="453">
        <v>0</v>
      </c>
      <c r="N204" s="453">
        <v>0</v>
      </c>
      <c r="O204" s="14">
        <v>0</v>
      </c>
      <c r="P204" s="14">
        <v>0</v>
      </c>
      <c r="Q204" s="453">
        <v>0</v>
      </c>
      <c r="R204" s="453">
        <v>0</v>
      </c>
      <c r="S204" s="15">
        <v>0</v>
      </c>
    </row>
    <row r="205" spans="1:19" ht="12.75">
      <c r="A205" s="51"/>
      <c r="B205" s="5" t="s">
        <v>619</v>
      </c>
      <c r="C205" s="14">
        <v>0.8962612267632111</v>
      </c>
      <c r="D205" s="503">
        <v>0.8181589993167018</v>
      </c>
      <c r="E205" s="453">
        <v>0.5960479810534499</v>
      </c>
      <c r="F205" s="453">
        <v>0.7469522062789945</v>
      </c>
      <c r="G205" s="453">
        <v>0.9567515617491591</v>
      </c>
      <c r="H205" s="453">
        <v>0</v>
      </c>
      <c r="I205" s="453">
        <v>0</v>
      </c>
      <c r="J205" s="14">
        <v>0.7522125250221482</v>
      </c>
      <c r="K205" s="14">
        <v>0</v>
      </c>
      <c r="L205" s="453">
        <v>0</v>
      </c>
      <c r="M205" s="453">
        <v>0</v>
      </c>
      <c r="N205" s="453">
        <v>0</v>
      </c>
      <c r="O205" s="14">
        <v>0</v>
      </c>
      <c r="P205" s="14">
        <v>0</v>
      </c>
      <c r="Q205" s="453">
        <v>0</v>
      </c>
      <c r="R205" s="453">
        <v>0</v>
      </c>
      <c r="S205" s="15">
        <v>0</v>
      </c>
    </row>
    <row r="206" spans="1:19" ht="12.75">
      <c r="A206" s="51"/>
      <c r="B206" s="5" t="s">
        <v>643</v>
      </c>
      <c r="C206" s="14">
        <v>-0.6596494254866081</v>
      </c>
      <c r="D206" s="505">
        <v>14.552101094433056</v>
      </c>
      <c r="E206" s="453">
        <v>-0.5851561021228524</v>
      </c>
      <c r="F206" s="453">
        <v>-3.0153876194296547</v>
      </c>
      <c r="G206" s="453">
        <v>-0.4654956261132548</v>
      </c>
      <c r="H206" s="453">
        <v>0</v>
      </c>
      <c r="I206" s="453">
        <v>0</v>
      </c>
      <c r="J206" s="14">
        <v>2.407028673705469</v>
      </c>
      <c r="K206" s="14">
        <v>0</v>
      </c>
      <c r="L206" s="453">
        <v>0</v>
      </c>
      <c r="M206" s="453">
        <v>0</v>
      </c>
      <c r="N206" s="453">
        <v>0</v>
      </c>
      <c r="O206" s="14">
        <v>0</v>
      </c>
      <c r="P206" s="14">
        <v>0</v>
      </c>
      <c r="Q206" s="453">
        <v>0</v>
      </c>
      <c r="R206" s="453">
        <v>0</v>
      </c>
      <c r="S206" s="15">
        <v>0</v>
      </c>
    </row>
    <row r="207" spans="1:19" ht="12.75">
      <c r="A207" s="51"/>
      <c r="B207" s="5" t="s">
        <v>621</v>
      </c>
      <c r="C207" s="14">
        <v>0.0521854483316845</v>
      </c>
      <c r="D207" s="453">
        <v>0.08062779625331962</v>
      </c>
      <c r="E207" s="453">
        <v>0.19598846706597517</v>
      </c>
      <c r="F207" s="453">
        <v>0.08523268796122321</v>
      </c>
      <c r="G207" s="453">
        <v>0</v>
      </c>
      <c r="H207" s="453">
        <v>0</v>
      </c>
      <c r="I207" s="453">
        <v>0</v>
      </c>
      <c r="J207" s="14">
        <v>0.1112110167125014</v>
      </c>
      <c r="K207" s="14">
        <v>0</v>
      </c>
      <c r="L207" s="453">
        <v>0</v>
      </c>
      <c r="M207" s="453">
        <v>0</v>
      </c>
      <c r="N207" s="453">
        <v>0</v>
      </c>
      <c r="O207" s="14">
        <v>0</v>
      </c>
      <c r="P207" s="14">
        <v>0</v>
      </c>
      <c r="Q207" s="453">
        <v>0</v>
      </c>
      <c r="R207" s="453">
        <v>0</v>
      </c>
      <c r="S207" s="15">
        <v>0</v>
      </c>
    </row>
    <row r="208" spans="1:19" ht="12.75">
      <c r="A208" s="51"/>
      <c r="B208" s="5" t="s">
        <v>623</v>
      </c>
      <c r="C208" s="14">
        <v>0.04698414908677389</v>
      </c>
      <c r="D208" s="453">
        <v>0.10009621954790757</v>
      </c>
      <c r="E208" s="453">
        <v>0.17079917199237077</v>
      </c>
      <c r="F208" s="453">
        <v>0.07271550329053836</v>
      </c>
      <c r="G208" s="453">
        <v>0</v>
      </c>
      <c r="H208" s="453">
        <v>0</v>
      </c>
      <c r="I208" s="453">
        <v>0</v>
      </c>
      <c r="J208" s="14">
        <v>0.10473589180009257</v>
      </c>
      <c r="K208" s="14">
        <v>0</v>
      </c>
      <c r="L208" s="453">
        <v>0</v>
      </c>
      <c r="M208" s="453">
        <v>0</v>
      </c>
      <c r="N208" s="453">
        <v>0</v>
      </c>
      <c r="O208" s="14">
        <v>0</v>
      </c>
      <c r="P208" s="14">
        <v>0</v>
      </c>
      <c r="Q208" s="453">
        <v>0</v>
      </c>
      <c r="R208" s="453">
        <v>0</v>
      </c>
      <c r="S208" s="15">
        <v>0</v>
      </c>
    </row>
    <row r="209" spans="1:19" ht="12.75">
      <c r="A209" s="51"/>
      <c r="B209" s="5" t="s">
        <v>647</v>
      </c>
      <c r="C209" s="14">
        <v>-0.5201299244910612</v>
      </c>
      <c r="D209" s="453">
        <v>1.946842329458795</v>
      </c>
      <c r="E209" s="453">
        <v>-2.51892950736044</v>
      </c>
      <c r="F209" s="453">
        <v>-1.2517184670684856</v>
      </c>
      <c r="G209" s="453">
        <v>0</v>
      </c>
      <c r="H209" s="453">
        <v>0</v>
      </c>
      <c r="I209" s="453">
        <v>0</v>
      </c>
      <c r="J209" s="14">
        <v>-0.6475124912408827</v>
      </c>
      <c r="K209" s="14">
        <v>0</v>
      </c>
      <c r="L209" s="453">
        <v>0</v>
      </c>
      <c r="M209" s="453">
        <v>0</v>
      </c>
      <c r="N209" s="453">
        <v>0</v>
      </c>
      <c r="O209" s="14">
        <v>0</v>
      </c>
      <c r="P209" s="14">
        <v>0</v>
      </c>
      <c r="Q209" s="453">
        <v>0</v>
      </c>
      <c r="R209" s="453">
        <v>0</v>
      </c>
      <c r="S209" s="15">
        <v>0</v>
      </c>
    </row>
    <row r="210" spans="1:19" ht="12.75">
      <c r="A210" s="51"/>
      <c r="B210" s="5" t="s">
        <v>625</v>
      </c>
      <c r="C210" s="14">
        <v>0.033489972119794945</v>
      </c>
      <c r="D210" s="502">
        <v>0.24666243988803024</v>
      </c>
      <c r="E210" s="506">
        <v>0.1545073955385755</v>
      </c>
      <c r="F210" s="506">
        <v>0.1195254563443437</v>
      </c>
      <c r="G210" s="453">
        <v>0.02058319039451115</v>
      </c>
      <c r="H210" s="453">
        <v>0</v>
      </c>
      <c r="I210" s="453">
        <v>0</v>
      </c>
      <c r="J210" s="14">
        <v>0.13900865377445798</v>
      </c>
      <c r="K210" s="14">
        <v>0</v>
      </c>
      <c r="L210" s="453">
        <v>0</v>
      </c>
      <c r="M210" s="453">
        <v>0</v>
      </c>
      <c r="N210" s="453">
        <v>0</v>
      </c>
      <c r="O210" s="14">
        <v>0</v>
      </c>
      <c r="P210" s="14">
        <v>0</v>
      </c>
      <c r="Q210" s="453">
        <v>0</v>
      </c>
      <c r="R210" s="453">
        <v>0</v>
      </c>
      <c r="S210" s="15">
        <v>0</v>
      </c>
    </row>
    <row r="211" spans="1:19" ht="12.75">
      <c r="A211" s="51"/>
      <c r="B211" s="5" t="s">
        <v>627</v>
      </c>
      <c r="C211" s="14">
        <v>0.04560328622154146</v>
      </c>
      <c r="D211" s="503">
        <v>0.08174478113539066</v>
      </c>
      <c r="E211" s="507">
        <v>0.19471738364052174</v>
      </c>
      <c r="F211" s="507">
        <v>0.17175531341029238</v>
      </c>
      <c r="G211" s="453">
        <v>0.04084574723690534</v>
      </c>
      <c r="H211" s="453">
        <v>0</v>
      </c>
      <c r="I211" s="453">
        <v>0</v>
      </c>
      <c r="J211" s="14">
        <v>0.12559355754404358</v>
      </c>
      <c r="K211" s="14">
        <v>0</v>
      </c>
      <c r="L211" s="453">
        <v>0</v>
      </c>
      <c r="M211" s="453">
        <v>0</v>
      </c>
      <c r="N211" s="453">
        <v>0</v>
      </c>
      <c r="O211" s="14">
        <v>0</v>
      </c>
      <c r="P211" s="14">
        <v>0</v>
      </c>
      <c r="Q211" s="453">
        <v>0</v>
      </c>
      <c r="R211" s="453">
        <v>0</v>
      </c>
      <c r="S211" s="15">
        <v>0</v>
      </c>
    </row>
    <row r="212" spans="1:19" ht="12.75">
      <c r="A212" s="51"/>
      <c r="B212" s="5" t="s">
        <v>653</v>
      </c>
      <c r="C212" s="14">
        <v>1.2113314101746515</v>
      </c>
      <c r="D212" s="505">
        <v>-16.491765875263958</v>
      </c>
      <c r="E212" s="508">
        <v>4.020998810194623</v>
      </c>
      <c r="F212" s="508">
        <v>5.222985706594868</v>
      </c>
      <c r="G212" s="453">
        <v>2.026255684239419</v>
      </c>
      <c r="H212" s="453">
        <v>0</v>
      </c>
      <c r="I212" s="453">
        <v>0</v>
      </c>
      <c r="J212" s="14">
        <v>-1.3415096230414396</v>
      </c>
      <c r="K212" s="14">
        <v>0</v>
      </c>
      <c r="L212" s="453">
        <v>0</v>
      </c>
      <c r="M212" s="453">
        <v>0</v>
      </c>
      <c r="N212" s="453">
        <v>0</v>
      </c>
      <c r="O212" s="14">
        <v>0</v>
      </c>
      <c r="P212" s="14">
        <v>0</v>
      </c>
      <c r="Q212" s="453">
        <v>0</v>
      </c>
      <c r="R212" s="453">
        <v>0</v>
      </c>
      <c r="S212" s="15">
        <v>0</v>
      </c>
    </row>
    <row r="213" spans="1:19" ht="12.75">
      <c r="A213" s="51"/>
      <c r="B213" s="5" t="s">
        <v>629</v>
      </c>
      <c r="C213" s="14">
        <v>0.011129597985430345</v>
      </c>
      <c r="D213" s="485">
        <v>0</v>
      </c>
      <c r="E213" s="453">
        <v>0.03696430324832407</v>
      </c>
      <c r="F213" s="453">
        <v>0.01797238787680745</v>
      </c>
      <c r="G213" s="453">
        <v>0.018010291595197257</v>
      </c>
      <c r="H213" s="453">
        <v>0</v>
      </c>
      <c r="I213" s="453">
        <v>0</v>
      </c>
      <c r="J213" s="14">
        <v>0.018021021113221312</v>
      </c>
      <c r="K213" s="14">
        <v>0</v>
      </c>
      <c r="L213" s="453">
        <v>0</v>
      </c>
      <c r="M213" s="453">
        <v>0</v>
      </c>
      <c r="N213" s="453">
        <v>0</v>
      </c>
      <c r="O213" s="14">
        <v>0</v>
      </c>
      <c r="P213" s="14">
        <v>0</v>
      </c>
      <c r="Q213" s="453">
        <v>0</v>
      </c>
      <c r="R213" s="453">
        <v>0</v>
      </c>
      <c r="S213" s="15">
        <v>0</v>
      </c>
    </row>
    <row r="214" spans="1:19" ht="12.75">
      <c r="A214" s="51"/>
      <c r="B214" s="5" t="s">
        <v>631</v>
      </c>
      <c r="C214" s="14">
        <v>0.010106987862331454</v>
      </c>
      <c r="D214" s="453">
        <v>0</v>
      </c>
      <c r="E214" s="453">
        <v>0.038155242391098014</v>
      </c>
      <c r="F214" s="453">
        <v>0.008523033768475564</v>
      </c>
      <c r="G214" s="453">
        <v>0.0014416146083613647</v>
      </c>
      <c r="H214" s="453">
        <v>0</v>
      </c>
      <c r="I214" s="453">
        <v>0</v>
      </c>
      <c r="J214" s="14">
        <v>0.017071772564383175</v>
      </c>
      <c r="K214" s="14">
        <v>0</v>
      </c>
      <c r="L214" s="453">
        <v>0</v>
      </c>
      <c r="M214" s="453">
        <v>0</v>
      </c>
      <c r="N214" s="453">
        <v>0</v>
      </c>
      <c r="O214" s="14">
        <v>0</v>
      </c>
      <c r="P214" s="14">
        <v>0</v>
      </c>
      <c r="Q214" s="453">
        <v>0</v>
      </c>
      <c r="R214" s="453">
        <v>0</v>
      </c>
      <c r="S214" s="15">
        <v>0</v>
      </c>
    </row>
    <row r="215" spans="1:19" ht="12.75">
      <c r="A215" s="51"/>
      <c r="B215" s="5" t="s">
        <v>655</v>
      </c>
      <c r="C215" s="14">
        <v>-0.10226101230988907</v>
      </c>
      <c r="D215" s="453">
        <v>0</v>
      </c>
      <c r="E215" s="453">
        <v>0.11909391427739474</v>
      </c>
      <c r="F215" s="453">
        <v>-0.9449354108331885</v>
      </c>
      <c r="G215" s="453">
        <v>-1.656867698683589</v>
      </c>
      <c r="H215" s="453">
        <v>0</v>
      </c>
      <c r="I215" s="453">
        <v>0</v>
      </c>
      <c r="J215" s="14">
        <v>-0.09492485488381379</v>
      </c>
      <c r="K215" s="14">
        <v>0</v>
      </c>
      <c r="L215" s="453">
        <v>0</v>
      </c>
      <c r="M215" s="453">
        <v>0</v>
      </c>
      <c r="N215" s="453">
        <v>0</v>
      </c>
      <c r="O215" s="14">
        <v>0</v>
      </c>
      <c r="P215" s="14">
        <v>0</v>
      </c>
      <c r="Q215" s="453">
        <v>0</v>
      </c>
      <c r="R215" s="453">
        <v>0</v>
      </c>
      <c r="S215" s="15">
        <v>0</v>
      </c>
    </row>
    <row r="216" spans="1:19" ht="12.75">
      <c r="A216" s="51"/>
      <c r="B216" s="5" t="s">
        <v>633</v>
      </c>
      <c r="C216" s="482">
        <v>0.00033726054501304075</v>
      </c>
      <c r="D216" s="485">
        <v>7.177548627891954E-05</v>
      </c>
      <c r="E216" s="453">
        <v>0.01064029207244682</v>
      </c>
      <c r="F216" s="485">
        <v>0.00016338534433461317</v>
      </c>
      <c r="G216" s="453">
        <v>0</v>
      </c>
      <c r="H216" s="453">
        <v>0</v>
      </c>
      <c r="I216" s="453">
        <v>0</v>
      </c>
      <c r="J216" s="14">
        <v>0.0036170701147257445</v>
      </c>
      <c r="K216" s="14">
        <v>0</v>
      </c>
      <c r="L216" s="453">
        <v>0</v>
      </c>
      <c r="M216" s="453">
        <v>0</v>
      </c>
      <c r="N216" s="453">
        <v>0</v>
      </c>
      <c r="O216" s="14">
        <v>0</v>
      </c>
      <c r="P216" s="14">
        <v>0</v>
      </c>
      <c r="Q216" s="453">
        <v>0</v>
      </c>
      <c r="R216" s="453">
        <v>0</v>
      </c>
      <c r="S216" s="15">
        <v>0</v>
      </c>
    </row>
    <row r="217" spans="1:19" ht="12.75">
      <c r="A217" s="51"/>
      <c r="B217" s="5" t="s">
        <v>635</v>
      </c>
      <c r="C217" s="482">
        <v>0.0010443500661421708</v>
      </c>
      <c r="D217" s="485">
        <v>0</v>
      </c>
      <c r="E217" s="453">
        <v>0.00028022092255959217</v>
      </c>
      <c r="F217" s="485">
        <v>5.394325169921243E-05</v>
      </c>
      <c r="G217" s="453">
        <v>0.0009610764055742432</v>
      </c>
      <c r="H217" s="453">
        <v>0</v>
      </c>
      <c r="I217" s="453">
        <v>0</v>
      </c>
      <c r="J217" s="14">
        <v>0.00038625306933242595</v>
      </c>
      <c r="K217" s="14">
        <v>0</v>
      </c>
      <c r="L217" s="453">
        <v>0</v>
      </c>
      <c r="M217" s="453">
        <v>0</v>
      </c>
      <c r="N217" s="453">
        <v>0</v>
      </c>
      <c r="O217" s="14">
        <v>0</v>
      </c>
      <c r="P217" s="14">
        <v>0</v>
      </c>
      <c r="Q217" s="453">
        <v>0</v>
      </c>
      <c r="R217" s="453">
        <v>0</v>
      </c>
      <c r="S217" s="15">
        <v>0</v>
      </c>
    </row>
    <row r="218" spans="1:19" ht="12.75">
      <c r="A218" s="51"/>
      <c r="B218" s="5" t="s">
        <v>661</v>
      </c>
      <c r="C218" s="14">
        <v>0.070708952112913</v>
      </c>
      <c r="D218" s="453">
        <v>-0.007177548627891954</v>
      </c>
      <c r="E218" s="453">
        <v>-1.0360071149887229</v>
      </c>
      <c r="F218" s="453">
        <v>-0.010944209263540075</v>
      </c>
      <c r="G218" s="453">
        <v>0</v>
      </c>
      <c r="H218" s="453">
        <v>0</v>
      </c>
      <c r="I218" s="453">
        <v>0</v>
      </c>
      <c r="J218" s="14">
        <v>-0.3230817045393318</v>
      </c>
      <c r="K218" s="14">
        <v>0</v>
      </c>
      <c r="L218" s="453">
        <v>0</v>
      </c>
      <c r="M218" s="453">
        <v>0</v>
      </c>
      <c r="N218" s="453">
        <v>0</v>
      </c>
      <c r="O218" s="14">
        <v>0</v>
      </c>
      <c r="P218" s="14">
        <v>0</v>
      </c>
      <c r="Q218" s="453">
        <v>0</v>
      </c>
      <c r="R218" s="453">
        <v>0</v>
      </c>
      <c r="S218" s="15">
        <v>0</v>
      </c>
    </row>
    <row r="219" spans="1:19" ht="12.75">
      <c r="A219" s="51"/>
      <c r="B219" s="5" t="s">
        <v>637</v>
      </c>
      <c r="C219" s="14">
        <v>0</v>
      </c>
      <c r="D219" s="453">
        <v>0</v>
      </c>
      <c r="E219" s="453">
        <v>0</v>
      </c>
      <c r="F219" s="453">
        <v>0</v>
      </c>
      <c r="G219" s="453">
        <v>0</v>
      </c>
      <c r="H219" s="453">
        <v>0</v>
      </c>
      <c r="I219" s="453">
        <v>0</v>
      </c>
      <c r="J219" s="14">
        <v>0</v>
      </c>
      <c r="K219" s="14">
        <v>0</v>
      </c>
      <c r="L219" s="453">
        <v>0</v>
      </c>
      <c r="M219" s="453">
        <v>0</v>
      </c>
      <c r="N219" s="453">
        <v>0</v>
      </c>
      <c r="O219" s="14">
        <v>0</v>
      </c>
      <c r="P219" s="14">
        <v>0</v>
      </c>
      <c r="Q219" s="453">
        <v>0</v>
      </c>
      <c r="R219" s="453">
        <v>0</v>
      </c>
      <c r="S219" s="15">
        <v>0</v>
      </c>
    </row>
    <row r="220" spans="1:19" ht="12.75">
      <c r="A220" s="51"/>
      <c r="B220" s="5" t="s">
        <v>639</v>
      </c>
      <c r="C220" s="14">
        <v>0</v>
      </c>
      <c r="D220" s="453">
        <v>0</v>
      </c>
      <c r="E220" s="453">
        <v>0</v>
      </c>
      <c r="F220" s="453">
        <v>0</v>
      </c>
      <c r="G220" s="453">
        <v>0</v>
      </c>
      <c r="H220" s="453">
        <v>0</v>
      </c>
      <c r="I220" s="453">
        <v>0</v>
      </c>
      <c r="J220" s="14">
        <v>0</v>
      </c>
      <c r="K220" s="14">
        <v>0</v>
      </c>
      <c r="L220" s="453">
        <v>0</v>
      </c>
      <c r="M220" s="453">
        <v>0</v>
      </c>
      <c r="N220" s="453">
        <v>0</v>
      </c>
      <c r="O220" s="14">
        <v>0</v>
      </c>
      <c r="P220" s="14">
        <v>0</v>
      </c>
      <c r="Q220" s="453">
        <v>0</v>
      </c>
      <c r="R220" s="453">
        <v>0</v>
      </c>
      <c r="S220" s="15">
        <v>0</v>
      </c>
    </row>
    <row r="221" spans="1:21" s="196" customFormat="1" ht="12.75">
      <c r="A221" s="454"/>
      <c r="B221" s="5" t="s">
        <v>663</v>
      </c>
      <c r="C221" s="14">
        <v>0</v>
      </c>
      <c r="D221" s="453">
        <v>0</v>
      </c>
      <c r="E221" s="453">
        <v>0</v>
      </c>
      <c r="F221" s="453">
        <v>0</v>
      </c>
      <c r="G221" s="453">
        <v>0</v>
      </c>
      <c r="H221" s="453">
        <v>0</v>
      </c>
      <c r="I221" s="453">
        <v>0</v>
      </c>
      <c r="J221" s="14">
        <v>0</v>
      </c>
      <c r="K221" s="14">
        <v>0</v>
      </c>
      <c r="L221" s="453">
        <v>0</v>
      </c>
      <c r="M221" s="453">
        <v>0</v>
      </c>
      <c r="N221" s="453">
        <v>0</v>
      </c>
      <c r="O221" s="14">
        <v>0</v>
      </c>
      <c r="P221" s="14">
        <v>0</v>
      </c>
      <c r="Q221" s="453">
        <v>0</v>
      </c>
      <c r="R221" s="453">
        <v>0</v>
      </c>
      <c r="S221" s="15">
        <v>0</v>
      </c>
      <c r="T221"/>
      <c r="U221"/>
    </row>
    <row r="222" spans="1:21" s="48" customFormat="1" ht="12.75">
      <c r="A222" s="50" t="s">
        <v>350</v>
      </c>
      <c r="B222" s="3" t="s">
        <v>593</v>
      </c>
      <c r="C222" s="11">
        <v>0.945992235813094</v>
      </c>
      <c r="D222" s="510">
        <v>0.9409361412087787</v>
      </c>
      <c r="E222" s="12">
        <v>0.9898565061710367</v>
      </c>
      <c r="F222" s="12">
        <v>0.92168766687181</v>
      </c>
      <c r="G222" s="12">
        <v>0.9776763460780156</v>
      </c>
      <c r="H222" s="12">
        <v>0</v>
      </c>
      <c r="I222" s="12">
        <v>0</v>
      </c>
      <c r="J222" s="11">
        <v>0.9455749478088498</v>
      </c>
      <c r="K222" s="11">
        <v>0.9978069507477689</v>
      </c>
      <c r="L222" s="12">
        <v>0.8705232908142982</v>
      </c>
      <c r="M222" s="12">
        <v>0.9348891818406525</v>
      </c>
      <c r="N222" s="12">
        <v>0.925789955321096</v>
      </c>
      <c r="O222" s="11">
        <v>0.9122872889651751</v>
      </c>
      <c r="P222" s="11">
        <v>0.9945520135463447</v>
      </c>
      <c r="Q222" s="12">
        <v>1</v>
      </c>
      <c r="R222" s="12">
        <v>0.9896768150339919</v>
      </c>
      <c r="S222" s="13">
        <v>0.9904855895345758</v>
      </c>
      <c r="T222"/>
      <c r="U222"/>
    </row>
    <row r="223" spans="1:19" ht="12.75">
      <c r="A223" s="51"/>
      <c r="B223" s="5" t="s">
        <v>595</v>
      </c>
      <c r="C223" s="14">
        <v>0.9489429670024415</v>
      </c>
      <c r="D223" s="503">
        <v>0.9886099297706671</v>
      </c>
      <c r="E223" s="453">
        <v>0.9888290726918298</v>
      </c>
      <c r="F223" s="453">
        <v>0.9492816147227305</v>
      </c>
      <c r="G223" s="453">
        <v>0.9751030147139702</v>
      </c>
      <c r="H223" s="453">
        <v>0</v>
      </c>
      <c r="I223" s="453">
        <v>0</v>
      </c>
      <c r="J223" s="14">
        <v>0.9664437140884948</v>
      </c>
      <c r="K223" s="14">
        <v>1</v>
      </c>
      <c r="L223" s="453">
        <v>0.9683620538923319</v>
      </c>
      <c r="M223" s="453">
        <v>0.9439501662869563</v>
      </c>
      <c r="N223" s="453">
        <v>1</v>
      </c>
      <c r="O223" s="14">
        <v>0.9681834395590343</v>
      </c>
      <c r="P223" s="14">
        <v>1</v>
      </c>
      <c r="Q223" s="453">
        <v>1</v>
      </c>
      <c r="R223" s="453">
        <v>1</v>
      </c>
      <c r="S223" s="15">
        <v>1</v>
      </c>
    </row>
    <row r="224" spans="1:19" ht="12.75">
      <c r="A224" s="51"/>
      <c r="B224" s="476" t="s">
        <v>641</v>
      </c>
      <c r="C224" s="455">
        <v>0.2950731189347522</v>
      </c>
      <c r="D224" s="527">
        <v>4.7673788561888415</v>
      </c>
      <c r="E224" s="530">
        <v>-0.10274334792068629</v>
      </c>
      <c r="F224" s="530">
        <v>2.759394785092051</v>
      </c>
      <c r="G224" s="530">
        <v>-0.25733313640453614</v>
      </c>
      <c r="H224" s="530">
        <v>0</v>
      </c>
      <c r="I224" s="530">
        <v>0</v>
      </c>
      <c r="J224" s="455">
        <v>2.086876627964507</v>
      </c>
      <c r="K224" s="455">
        <v>0.21930492522310718</v>
      </c>
      <c r="L224" s="530">
        <v>9.783876307803363</v>
      </c>
      <c r="M224" s="530">
        <v>0.9060984446303766</v>
      </c>
      <c r="N224" s="530">
        <v>7.421004467890402</v>
      </c>
      <c r="O224" s="455">
        <v>5.589615059385922</v>
      </c>
      <c r="P224" s="455">
        <v>0.5447986453655296</v>
      </c>
      <c r="Q224" s="530">
        <v>0</v>
      </c>
      <c r="R224" s="530">
        <v>1.0323184966008148</v>
      </c>
      <c r="S224" s="456">
        <v>0.9514410465424228</v>
      </c>
    </row>
    <row r="225" spans="1:19" ht="12.75">
      <c r="A225" s="51"/>
      <c r="B225" s="5" t="s">
        <v>597</v>
      </c>
      <c r="C225" s="14">
        <v>0.001706469697026564</v>
      </c>
      <c r="D225" s="453">
        <v>0.04529328838249295</v>
      </c>
      <c r="E225" s="453">
        <v>0.000869971186060717</v>
      </c>
      <c r="F225" s="453">
        <v>0.036280765724703734</v>
      </c>
      <c r="G225" s="453">
        <v>0.008987493397019545</v>
      </c>
      <c r="H225" s="453">
        <v>0</v>
      </c>
      <c r="I225" s="453">
        <v>0</v>
      </c>
      <c r="J225" s="14">
        <v>0.024456026623523447</v>
      </c>
      <c r="K225" s="14">
        <v>0.002193049252231123</v>
      </c>
      <c r="L225" s="453">
        <v>0.08609820647667511</v>
      </c>
      <c r="M225" s="453">
        <v>0.01793070775315152</v>
      </c>
      <c r="N225" s="453">
        <v>0.07421004467890402</v>
      </c>
      <c r="O225" s="14">
        <v>0.05528475453582396</v>
      </c>
      <c r="P225" s="14">
        <v>0.0054479864536553044</v>
      </c>
      <c r="Q225" s="453">
        <v>0</v>
      </c>
      <c r="R225" s="453">
        <v>0.010323184966008132</v>
      </c>
      <c r="S225" s="15">
        <v>0.009514410465424282</v>
      </c>
    </row>
    <row r="226" spans="1:19" ht="12.75">
      <c r="A226" s="51"/>
      <c r="B226" s="5" t="s">
        <v>599</v>
      </c>
      <c r="C226" s="512">
        <v>0</v>
      </c>
      <c r="D226" s="513">
        <v>0</v>
      </c>
      <c r="E226" s="513">
        <v>0</v>
      </c>
      <c r="F226" s="513">
        <v>0</v>
      </c>
      <c r="G226" s="514">
        <v>0</v>
      </c>
      <c r="H226" s="453">
        <v>0</v>
      </c>
      <c r="I226" s="453">
        <v>0</v>
      </c>
      <c r="J226" s="14">
        <v>0</v>
      </c>
      <c r="K226" s="512">
        <v>0</v>
      </c>
      <c r="L226" s="513">
        <v>0</v>
      </c>
      <c r="M226" s="513">
        <v>0</v>
      </c>
      <c r="N226" s="514">
        <v>0</v>
      </c>
      <c r="O226" s="14">
        <v>0</v>
      </c>
      <c r="P226" s="512">
        <v>0</v>
      </c>
      <c r="Q226" s="513">
        <v>0</v>
      </c>
      <c r="R226" s="514">
        <v>0</v>
      </c>
      <c r="S226" s="15">
        <v>0</v>
      </c>
    </row>
    <row r="227" spans="1:19" ht="12.75">
      <c r="A227" s="51"/>
      <c r="B227" s="5" t="s">
        <v>649</v>
      </c>
      <c r="C227" s="14">
        <v>-0.17064696970265641</v>
      </c>
      <c r="D227" s="453">
        <v>-4.529328838249294</v>
      </c>
      <c r="E227" s="453">
        <v>-0.08699711860607169</v>
      </c>
      <c r="F227" s="453">
        <v>-3.6280765724703734</v>
      </c>
      <c r="G227" s="453">
        <v>-0.8987493397019545</v>
      </c>
      <c r="H227" s="453">
        <v>0</v>
      </c>
      <c r="I227" s="453">
        <v>0</v>
      </c>
      <c r="J227" s="14">
        <v>-2.4456026623523446</v>
      </c>
      <c r="K227" s="14">
        <v>-0.2193049252231123</v>
      </c>
      <c r="L227" s="453">
        <v>-8.609820647667512</v>
      </c>
      <c r="M227" s="453">
        <v>-1.793070775315152</v>
      </c>
      <c r="N227" s="453">
        <v>-7.421004467890402</v>
      </c>
      <c r="O227" s="14">
        <v>-5.528475453582396</v>
      </c>
      <c r="P227" s="14">
        <v>-0.5447986453655305</v>
      </c>
      <c r="Q227" s="453">
        <v>0</v>
      </c>
      <c r="R227" s="453">
        <v>-1.0323184966008132</v>
      </c>
      <c r="S227" s="15">
        <v>-0.9514410465424281</v>
      </c>
    </row>
    <row r="228" spans="1:19" ht="12.75">
      <c r="A228" s="51"/>
      <c r="B228" s="5" t="s">
        <v>603</v>
      </c>
      <c r="C228" s="14">
        <v>0.007498958477989168</v>
      </c>
      <c r="D228" s="453">
        <v>0.008361411097098372</v>
      </c>
      <c r="E228" s="453">
        <v>0.008718221885842505</v>
      </c>
      <c r="F228" s="453">
        <v>0.03422994877584922</v>
      </c>
      <c r="G228" s="453">
        <v>0.012354083431913042</v>
      </c>
      <c r="H228" s="453">
        <v>0</v>
      </c>
      <c r="I228" s="453">
        <v>0</v>
      </c>
      <c r="J228" s="14">
        <v>0.016184470196712892</v>
      </c>
      <c r="K228" s="14">
        <v>0</v>
      </c>
      <c r="L228" s="453">
        <v>0.039016799373005145</v>
      </c>
      <c r="M228" s="453">
        <v>0.04694323144104803</v>
      </c>
      <c r="N228" s="453">
        <v>0</v>
      </c>
      <c r="O228" s="14">
        <v>0.03063441191852279</v>
      </c>
      <c r="P228" s="14">
        <v>0</v>
      </c>
      <c r="Q228" s="453">
        <v>0</v>
      </c>
      <c r="R228" s="453">
        <v>0</v>
      </c>
      <c r="S228" s="15">
        <v>0</v>
      </c>
    </row>
    <row r="229" spans="1:19" ht="12.75">
      <c r="A229" s="51"/>
      <c r="B229" s="5" t="s">
        <v>605</v>
      </c>
      <c r="C229" s="14">
        <v>0.00727471649195651</v>
      </c>
      <c r="D229" s="453">
        <v>0.008436842432367643</v>
      </c>
      <c r="E229" s="453">
        <v>0.011170927308170129</v>
      </c>
      <c r="F229" s="453">
        <v>0.042015875371191676</v>
      </c>
      <c r="G229" s="453">
        <v>0.02378011117974058</v>
      </c>
      <c r="H229" s="453">
        <v>0</v>
      </c>
      <c r="I229" s="453">
        <v>0</v>
      </c>
      <c r="J229" s="14">
        <v>0.019913968946112536</v>
      </c>
      <c r="K229" s="14">
        <v>0</v>
      </c>
      <c r="L229" s="453">
        <v>0.029117207079439707</v>
      </c>
      <c r="M229" s="453">
        <v>0.054223295886034514</v>
      </c>
      <c r="N229" s="453">
        <v>0</v>
      </c>
      <c r="O229" s="14">
        <v>0.030366865657578592</v>
      </c>
      <c r="P229" s="14">
        <v>0</v>
      </c>
      <c r="Q229" s="453">
        <v>0</v>
      </c>
      <c r="R229" s="453">
        <v>0</v>
      </c>
      <c r="S229" s="15">
        <v>0</v>
      </c>
    </row>
    <row r="230" spans="1:19" ht="12.75">
      <c r="A230" s="51"/>
      <c r="B230" s="5" t="s">
        <v>651</v>
      </c>
      <c r="C230" s="14">
        <v>-0.022424198603265832</v>
      </c>
      <c r="D230" s="453">
        <v>0.007543133526927148</v>
      </c>
      <c r="E230" s="453">
        <v>0.24527054223276237</v>
      </c>
      <c r="F230" s="453">
        <v>0.7785926595342454</v>
      </c>
      <c r="G230" s="453">
        <v>1.1426027747827538</v>
      </c>
      <c r="H230" s="453">
        <v>0</v>
      </c>
      <c r="I230" s="453">
        <v>0</v>
      </c>
      <c r="J230" s="14">
        <v>0.37294987493996445</v>
      </c>
      <c r="K230" s="14">
        <v>0</v>
      </c>
      <c r="L230" s="453">
        <v>-0.9899592293565438</v>
      </c>
      <c r="M230" s="453">
        <v>0.728006444498648</v>
      </c>
      <c r="N230" s="453">
        <v>0</v>
      </c>
      <c r="O230" s="14">
        <v>-0.026754626094419726</v>
      </c>
      <c r="P230" s="14">
        <v>0</v>
      </c>
      <c r="Q230" s="453">
        <v>0</v>
      </c>
      <c r="R230" s="453">
        <v>0</v>
      </c>
      <c r="S230" s="15">
        <v>0</v>
      </c>
    </row>
    <row r="231" spans="1:19" ht="12.75">
      <c r="A231" s="51"/>
      <c r="B231" s="5" t="s">
        <v>607</v>
      </c>
      <c r="C231" s="14">
        <v>0.00034154415490341057</v>
      </c>
      <c r="D231" s="453">
        <v>0.0023984569035634075</v>
      </c>
      <c r="E231" s="453">
        <v>0</v>
      </c>
      <c r="F231" s="453">
        <v>0.006768806481914219</v>
      </c>
      <c r="G231" s="453">
        <v>0.0004352387116934134</v>
      </c>
      <c r="H231" s="453">
        <v>0</v>
      </c>
      <c r="I231" s="453">
        <v>0</v>
      </c>
      <c r="J231" s="14">
        <v>0.0027783143850005597</v>
      </c>
      <c r="K231" s="14">
        <v>0</v>
      </c>
      <c r="L231" s="453">
        <v>0.001763423028430582</v>
      </c>
      <c r="M231" s="453">
        <v>0</v>
      </c>
      <c r="N231" s="453">
        <v>0</v>
      </c>
      <c r="O231" s="14">
        <v>0.0006939508937551125</v>
      </c>
      <c r="P231" s="14">
        <v>0</v>
      </c>
      <c r="Q231" s="453">
        <v>0</v>
      </c>
      <c r="R231" s="453">
        <v>0</v>
      </c>
      <c r="S231" s="15">
        <v>0</v>
      </c>
    </row>
    <row r="232" spans="1:19" ht="12.75">
      <c r="A232" s="51"/>
      <c r="B232" s="5" t="s">
        <v>609</v>
      </c>
      <c r="C232" s="482">
        <v>0</v>
      </c>
      <c r="D232" s="453">
        <v>0.0013417709156448934</v>
      </c>
      <c r="E232" s="453">
        <v>0</v>
      </c>
      <c r="F232" s="453">
        <v>0.007814947323298106</v>
      </c>
      <c r="G232" s="453">
        <v>0.0007995803260933944</v>
      </c>
      <c r="H232" s="453">
        <v>0</v>
      </c>
      <c r="I232" s="453">
        <v>0</v>
      </c>
      <c r="J232" s="14">
        <v>0.0028011291399518026</v>
      </c>
      <c r="K232" s="14">
        <v>0</v>
      </c>
      <c r="L232" s="453">
        <v>0.001369650107823519</v>
      </c>
      <c r="M232" s="453">
        <v>0</v>
      </c>
      <c r="N232" s="453">
        <v>0</v>
      </c>
      <c r="O232" s="14">
        <v>0.0003795858207197324</v>
      </c>
      <c r="P232" s="14">
        <v>0</v>
      </c>
      <c r="Q232" s="453">
        <v>0</v>
      </c>
      <c r="R232" s="453">
        <v>0</v>
      </c>
      <c r="S232" s="15">
        <v>0</v>
      </c>
    </row>
    <row r="233" spans="1:19" ht="12.75">
      <c r="A233" s="51"/>
      <c r="B233" s="5" t="s">
        <v>657</v>
      </c>
      <c r="C233" s="14">
        <v>-0.03415441549034106</v>
      </c>
      <c r="D233" s="453">
        <v>-0.1056685987918514</v>
      </c>
      <c r="E233" s="453">
        <v>0</v>
      </c>
      <c r="F233" s="453">
        <v>0.10461408413838871</v>
      </c>
      <c r="G233" s="453">
        <v>0.0364341614399981</v>
      </c>
      <c r="H233" s="453">
        <v>0</v>
      </c>
      <c r="I233" s="453">
        <v>0</v>
      </c>
      <c r="J233" s="14">
        <v>0.002281475495124292</v>
      </c>
      <c r="K233" s="14">
        <v>0</v>
      </c>
      <c r="L233" s="453">
        <v>-0.039377292060706295</v>
      </c>
      <c r="M233" s="453">
        <v>0</v>
      </c>
      <c r="N233" s="453">
        <v>0</v>
      </c>
      <c r="O233" s="14">
        <v>-0.03143650730353801</v>
      </c>
      <c r="P233" s="14">
        <v>0</v>
      </c>
      <c r="Q233" s="453">
        <v>0</v>
      </c>
      <c r="R233" s="453">
        <v>0</v>
      </c>
      <c r="S233" s="15">
        <v>0</v>
      </c>
    </row>
    <row r="234" spans="1:19" ht="12.75">
      <c r="A234" s="51"/>
      <c r="B234" s="5" t="s">
        <v>611</v>
      </c>
      <c r="C234" s="14">
        <v>0.0007581529592361421</v>
      </c>
      <c r="D234" s="453">
        <v>0.0030107024080665823</v>
      </c>
      <c r="E234" s="453">
        <v>0.0005553007570600322</v>
      </c>
      <c r="F234" s="453">
        <v>0.0010328121457227602</v>
      </c>
      <c r="G234" s="453">
        <v>0.0005468383813583912</v>
      </c>
      <c r="H234" s="453">
        <v>0</v>
      </c>
      <c r="I234" s="453">
        <v>0</v>
      </c>
      <c r="J234" s="14">
        <v>0.0014208505565958419</v>
      </c>
      <c r="K234" s="14">
        <v>0</v>
      </c>
      <c r="L234" s="453">
        <v>0.002598280307590954</v>
      </c>
      <c r="M234" s="453">
        <v>0.00023687896514789486</v>
      </c>
      <c r="N234" s="453">
        <v>0</v>
      </c>
      <c r="O234" s="14">
        <v>0.0010995936867230767</v>
      </c>
      <c r="P234" s="14">
        <v>0</v>
      </c>
      <c r="Q234" s="453">
        <v>0</v>
      </c>
      <c r="R234" s="453">
        <v>0</v>
      </c>
      <c r="S234" s="15">
        <v>0</v>
      </c>
    </row>
    <row r="235" spans="1:19" ht="12.75">
      <c r="A235" s="51"/>
      <c r="B235" s="5" t="s">
        <v>613</v>
      </c>
      <c r="C235" s="14">
        <v>0</v>
      </c>
      <c r="D235" s="453">
        <v>0.001611456881320418</v>
      </c>
      <c r="E235" s="453">
        <v>0</v>
      </c>
      <c r="F235" s="453">
        <v>0.0008875625827796372</v>
      </c>
      <c r="G235" s="453">
        <v>0.0003172937801957914</v>
      </c>
      <c r="H235" s="453">
        <v>0</v>
      </c>
      <c r="I235" s="453">
        <v>0</v>
      </c>
      <c r="J235" s="14">
        <v>0.000704090466598157</v>
      </c>
      <c r="K235" s="14">
        <v>0</v>
      </c>
      <c r="L235" s="453">
        <v>0.0011510889204048725</v>
      </c>
      <c r="M235" s="453">
        <v>0.0018265378270091916</v>
      </c>
      <c r="N235" s="453">
        <v>0</v>
      </c>
      <c r="O235" s="14">
        <v>0.0010701089626673308</v>
      </c>
      <c r="P235" s="14">
        <v>0</v>
      </c>
      <c r="Q235" s="453">
        <v>0</v>
      </c>
      <c r="R235" s="453">
        <v>0</v>
      </c>
      <c r="S235" s="15">
        <v>0</v>
      </c>
    </row>
    <row r="236" spans="1:19" ht="12.75">
      <c r="A236" s="51"/>
      <c r="B236" s="5" t="s">
        <v>659</v>
      </c>
      <c r="C236" s="14">
        <v>-0.07581529592361422</v>
      </c>
      <c r="D236" s="453">
        <v>-0.13992455267461645</v>
      </c>
      <c r="E236" s="453">
        <v>-0.05553007570600322</v>
      </c>
      <c r="F236" s="453">
        <v>-0.014524956294312295</v>
      </c>
      <c r="G236" s="453">
        <v>-0.022954460116259977</v>
      </c>
      <c r="H236" s="453">
        <v>0</v>
      </c>
      <c r="I236" s="453">
        <v>0</v>
      </c>
      <c r="J236" s="14">
        <v>-0.07167600899976849</v>
      </c>
      <c r="K236" s="14">
        <v>0</v>
      </c>
      <c r="L236" s="453">
        <v>-0.14471913871860817</v>
      </c>
      <c r="M236" s="453">
        <v>0.1589658861861297</v>
      </c>
      <c r="N236" s="453">
        <v>0</v>
      </c>
      <c r="O236" s="14">
        <v>-0.0029484724055745893</v>
      </c>
      <c r="P236" s="14">
        <v>0</v>
      </c>
      <c r="Q236" s="453">
        <v>0</v>
      </c>
      <c r="R236" s="453">
        <v>0</v>
      </c>
      <c r="S236" s="15">
        <v>0</v>
      </c>
    </row>
    <row r="237" spans="1:19" ht="12.75">
      <c r="A237" s="51"/>
      <c r="B237" s="5" t="s">
        <v>615</v>
      </c>
      <c r="C237" s="14">
        <v>0.04370263889775069</v>
      </c>
      <c r="D237" s="453">
        <v>0</v>
      </c>
      <c r="E237" s="453">
        <v>0</v>
      </c>
      <c r="F237" s="453">
        <v>0</v>
      </c>
      <c r="G237" s="453">
        <v>0</v>
      </c>
      <c r="H237" s="453">
        <v>0</v>
      </c>
      <c r="I237" s="453">
        <v>0</v>
      </c>
      <c r="J237" s="14">
        <v>0.009585390429317487</v>
      </c>
      <c r="K237" s="14">
        <v>0</v>
      </c>
      <c r="L237" s="453">
        <v>0</v>
      </c>
      <c r="M237" s="453">
        <v>0</v>
      </c>
      <c r="N237" s="453">
        <v>0</v>
      </c>
      <c r="O237" s="14">
        <v>0</v>
      </c>
      <c r="P237" s="14">
        <v>0</v>
      </c>
      <c r="Q237" s="453">
        <v>0</v>
      </c>
      <c r="R237" s="453">
        <v>0</v>
      </c>
      <c r="S237" s="15">
        <v>0</v>
      </c>
    </row>
    <row r="238" spans="1:19" ht="12.75">
      <c r="A238" s="51"/>
      <c r="B238" s="5" t="s">
        <v>617</v>
      </c>
      <c r="C238" s="14">
        <v>0.04378231650560194</v>
      </c>
      <c r="D238" s="453">
        <v>0</v>
      </c>
      <c r="E238" s="453">
        <v>0</v>
      </c>
      <c r="F238" s="453">
        <v>0</v>
      </c>
      <c r="G238" s="453">
        <v>0</v>
      </c>
      <c r="H238" s="453">
        <v>0</v>
      </c>
      <c r="I238" s="453">
        <v>0</v>
      </c>
      <c r="J238" s="14">
        <v>0.010137097358842696</v>
      </c>
      <c r="K238" s="14">
        <v>0</v>
      </c>
      <c r="L238" s="453">
        <v>0</v>
      </c>
      <c r="M238" s="453">
        <v>0</v>
      </c>
      <c r="N238" s="453">
        <v>0</v>
      </c>
      <c r="O238" s="14">
        <v>0</v>
      </c>
      <c r="P238" s="14">
        <v>0</v>
      </c>
      <c r="Q238" s="453">
        <v>0</v>
      </c>
      <c r="R238" s="453">
        <v>0</v>
      </c>
      <c r="S238" s="15">
        <v>0</v>
      </c>
    </row>
    <row r="239" spans="1:19" ht="12.75">
      <c r="A239" s="51"/>
      <c r="B239" s="5" t="s">
        <v>645</v>
      </c>
      <c r="C239" s="14">
        <v>0.007967760785124872</v>
      </c>
      <c r="D239" s="453">
        <v>0</v>
      </c>
      <c r="E239" s="453">
        <v>0</v>
      </c>
      <c r="F239" s="453">
        <v>0</v>
      </c>
      <c r="G239" s="453">
        <v>0</v>
      </c>
      <c r="H239" s="453">
        <v>0</v>
      </c>
      <c r="I239" s="453">
        <v>0</v>
      </c>
      <c r="J239" s="14">
        <v>0.05517069295252093</v>
      </c>
      <c r="K239" s="14">
        <v>0</v>
      </c>
      <c r="L239" s="453">
        <v>0</v>
      </c>
      <c r="M239" s="453">
        <v>0</v>
      </c>
      <c r="N239" s="453">
        <v>0</v>
      </c>
      <c r="O239" s="14">
        <v>0</v>
      </c>
      <c r="P239" s="14">
        <v>0</v>
      </c>
      <c r="Q239" s="453">
        <v>0</v>
      </c>
      <c r="R239" s="453">
        <v>0</v>
      </c>
      <c r="S239" s="15">
        <v>0</v>
      </c>
    </row>
    <row r="240" spans="1:19" ht="12.75">
      <c r="A240" s="51"/>
      <c r="B240" s="5" t="s">
        <v>601</v>
      </c>
      <c r="C240" s="14">
        <v>0.9719083812654067</v>
      </c>
      <c r="D240" s="453">
        <v>0.8179447093667266</v>
      </c>
      <c r="E240" s="453">
        <v>0.9664724063893543</v>
      </c>
      <c r="F240" s="453">
        <v>0.8233409610983982</v>
      </c>
      <c r="G240" s="453">
        <v>0.9581036877716539</v>
      </c>
      <c r="H240" s="453">
        <v>0</v>
      </c>
      <c r="I240" s="453">
        <v>0</v>
      </c>
      <c r="J240" s="14">
        <v>0.8890400226615593</v>
      </c>
      <c r="K240" s="14">
        <v>0</v>
      </c>
      <c r="L240" s="453">
        <v>0</v>
      </c>
      <c r="M240" s="453">
        <v>0</v>
      </c>
      <c r="N240" s="453">
        <v>0</v>
      </c>
      <c r="O240" s="14">
        <v>0</v>
      </c>
      <c r="P240" s="14">
        <v>0</v>
      </c>
      <c r="Q240" s="453">
        <v>0</v>
      </c>
      <c r="R240" s="453">
        <v>0</v>
      </c>
      <c r="S240" s="15">
        <v>0</v>
      </c>
    </row>
    <row r="241" spans="1:19" ht="12.75">
      <c r="A241" s="51"/>
      <c r="B241" s="5" t="s">
        <v>619</v>
      </c>
      <c r="C241" s="14">
        <v>0.9758925293007905</v>
      </c>
      <c r="D241" s="453">
        <v>0.955339429155902</v>
      </c>
      <c r="E241" s="453">
        <v>0.9815915627996165</v>
      </c>
      <c r="F241" s="453">
        <v>0.8203675573374505</v>
      </c>
      <c r="G241" s="453">
        <v>0.9879342504080205</v>
      </c>
      <c r="H241" s="453">
        <v>0</v>
      </c>
      <c r="I241" s="453">
        <v>0</v>
      </c>
      <c r="J241" s="14">
        <v>0.937146714707852</v>
      </c>
      <c r="K241" s="14">
        <v>0</v>
      </c>
      <c r="L241" s="453">
        <v>0</v>
      </c>
      <c r="M241" s="453">
        <v>0</v>
      </c>
      <c r="N241" s="453">
        <v>0</v>
      </c>
      <c r="O241" s="14">
        <v>0</v>
      </c>
      <c r="P241" s="14">
        <v>0</v>
      </c>
      <c r="Q241" s="453">
        <v>0</v>
      </c>
      <c r="R241" s="453">
        <v>0</v>
      </c>
      <c r="S241" s="15">
        <v>0</v>
      </c>
    </row>
    <row r="242" spans="1:19" ht="12.75">
      <c r="A242" s="51"/>
      <c r="B242" s="5" t="s">
        <v>643</v>
      </c>
      <c r="C242" s="14">
        <v>0.39841480353838277</v>
      </c>
      <c r="D242" s="453">
        <v>13.739471978917539</v>
      </c>
      <c r="E242" s="453">
        <v>1.511915641026218</v>
      </c>
      <c r="F242" s="453">
        <v>-0.29734037609476793</v>
      </c>
      <c r="G242" s="453">
        <v>2.983056263636663</v>
      </c>
      <c r="H242" s="453">
        <v>0</v>
      </c>
      <c r="I242" s="453">
        <v>0</v>
      </c>
      <c r="J242" s="14">
        <v>4.81066920462927</v>
      </c>
      <c r="K242" s="14">
        <v>0</v>
      </c>
      <c r="L242" s="453">
        <v>0</v>
      </c>
      <c r="M242" s="453">
        <v>0</v>
      </c>
      <c r="N242" s="453">
        <v>0</v>
      </c>
      <c r="O242" s="14">
        <v>0</v>
      </c>
      <c r="P242" s="14">
        <v>0</v>
      </c>
      <c r="Q242" s="453">
        <v>0</v>
      </c>
      <c r="R242" s="453">
        <v>0</v>
      </c>
      <c r="S242" s="15">
        <v>0</v>
      </c>
    </row>
    <row r="243" spans="1:19" ht="12.75">
      <c r="A243" s="51"/>
      <c r="B243" s="5" t="s">
        <v>621</v>
      </c>
      <c r="C243" s="14">
        <v>0.00337236373596275</v>
      </c>
      <c r="D243" s="453">
        <v>0.13796733468980524</v>
      </c>
      <c r="E243" s="453">
        <v>0.01675199962249015</v>
      </c>
      <c r="F243" s="453">
        <v>0.026640973142237744</v>
      </c>
      <c r="G243" s="453">
        <v>0.020119191647622887</v>
      </c>
      <c r="H243" s="453">
        <v>0</v>
      </c>
      <c r="I243" s="453">
        <v>0</v>
      </c>
      <c r="J243" s="14">
        <v>0.05442602200314914</v>
      </c>
      <c r="K243" s="14">
        <v>0</v>
      </c>
      <c r="L243" s="453">
        <v>0</v>
      </c>
      <c r="M243" s="453">
        <v>0</v>
      </c>
      <c r="N243" s="453">
        <v>0</v>
      </c>
      <c r="O243" s="14">
        <v>0</v>
      </c>
      <c r="P243" s="14">
        <v>0</v>
      </c>
      <c r="Q243" s="453">
        <v>0</v>
      </c>
      <c r="R243" s="453">
        <v>0</v>
      </c>
      <c r="S243" s="15">
        <v>0</v>
      </c>
    </row>
    <row r="244" spans="1:19" ht="12.75">
      <c r="A244" s="51"/>
      <c r="B244" s="5" t="s">
        <v>623</v>
      </c>
      <c r="C244" s="512">
        <v>0</v>
      </c>
      <c r="D244" s="513">
        <v>0</v>
      </c>
      <c r="E244" s="513">
        <v>0</v>
      </c>
      <c r="F244" s="513">
        <v>0</v>
      </c>
      <c r="G244" s="514">
        <v>0</v>
      </c>
      <c r="H244" s="453">
        <v>0</v>
      </c>
      <c r="I244" s="453">
        <v>0</v>
      </c>
      <c r="J244" s="14">
        <v>0</v>
      </c>
      <c r="K244" s="14">
        <v>0</v>
      </c>
      <c r="L244" s="453">
        <v>0</v>
      </c>
      <c r="M244" s="453">
        <v>0</v>
      </c>
      <c r="N244" s="453">
        <v>0</v>
      </c>
      <c r="O244" s="14">
        <v>0</v>
      </c>
      <c r="P244" s="14">
        <v>0</v>
      </c>
      <c r="Q244" s="453">
        <v>0</v>
      </c>
      <c r="R244" s="453">
        <v>0</v>
      </c>
      <c r="S244" s="15">
        <v>0</v>
      </c>
    </row>
    <row r="245" spans="1:19" ht="12.75">
      <c r="A245" s="51"/>
      <c r="B245" s="5" t="s">
        <v>647</v>
      </c>
      <c r="C245" s="14">
        <v>-0.337236373596275</v>
      </c>
      <c r="D245" s="453">
        <v>-13.796733468980523</v>
      </c>
      <c r="E245" s="453">
        <v>-1.675199962249015</v>
      </c>
      <c r="F245" s="453">
        <v>-2.6640973142237745</v>
      </c>
      <c r="G245" s="453">
        <v>-2.011919164762289</v>
      </c>
      <c r="H245" s="453">
        <v>0</v>
      </c>
      <c r="I245" s="453">
        <v>0</v>
      </c>
      <c r="J245" s="14">
        <v>-5.442602200314914</v>
      </c>
      <c r="K245" s="14">
        <v>0</v>
      </c>
      <c r="L245" s="453">
        <v>0</v>
      </c>
      <c r="M245" s="453">
        <v>0</v>
      </c>
      <c r="N245" s="453">
        <v>0</v>
      </c>
      <c r="O245" s="14">
        <v>0</v>
      </c>
      <c r="P245" s="14">
        <v>0</v>
      </c>
      <c r="Q245" s="453">
        <v>0</v>
      </c>
      <c r="R245" s="453">
        <v>0</v>
      </c>
      <c r="S245" s="15">
        <v>0</v>
      </c>
    </row>
    <row r="246" spans="1:19" ht="12.75">
      <c r="A246" s="51"/>
      <c r="B246" s="5" t="s">
        <v>625</v>
      </c>
      <c r="C246" s="14">
        <v>0.0076006573541495485</v>
      </c>
      <c r="D246" s="453">
        <v>0.02023709453142799</v>
      </c>
      <c r="E246" s="453">
        <v>0.015359932048226884</v>
      </c>
      <c r="F246" s="453">
        <v>0.13567385282428038</v>
      </c>
      <c r="G246" s="453">
        <v>0.021777120580723217</v>
      </c>
      <c r="H246" s="453">
        <v>0</v>
      </c>
      <c r="I246" s="453">
        <v>0</v>
      </c>
      <c r="J246" s="14">
        <v>0.04048967342345216</v>
      </c>
      <c r="K246" s="14">
        <v>0</v>
      </c>
      <c r="L246" s="453">
        <v>0</v>
      </c>
      <c r="M246" s="453">
        <v>0</v>
      </c>
      <c r="N246" s="453">
        <v>0</v>
      </c>
      <c r="O246" s="14">
        <v>0</v>
      </c>
      <c r="P246" s="14">
        <v>0</v>
      </c>
      <c r="Q246" s="453">
        <v>0</v>
      </c>
      <c r="R246" s="453">
        <v>0</v>
      </c>
      <c r="S246" s="15">
        <v>0</v>
      </c>
    </row>
    <row r="247" spans="1:19" ht="12.75">
      <c r="A247" s="51"/>
      <c r="B247" s="5" t="s">
        <v>627</v>
      </c>
      <c r="C247" s="14">
        <v>0.005950898754531757</v>
      </c>
      <c r="D247" s="453">
        <v>0.022678576152225093</v>
      </c>
      <c r="E247" s="453">
        <v>0.017401725790987536</v>
      </c>
      <c r="F247" s="453">
        <v>0.1581542445899843</v>
      </c>
      <c r="G247" s="453">
        <v>0.012065749591979482</v>
      </c>
      <c r="H247" s="453">
        <v>0</v>
      </c>
      <c r="I247" s="453">
        <v>0</v>
      </c>
      <c r="J247" s="14">
        <v>0.04557624494536752</v>
      </c>
      <c r="K247" s="14">
        <v>0</v>
      </c>
      <c r="L247" s="453">
        <v>0</v>
      </c>
      <c r="M247" s="453">
        <v>0</v>
      </c>
      <c r="N247" s="453">
        <v>0</v>
      </c>
      <c r="O247" s="14">
        <v>0</v>
      </c>
      <c r="P247" s="14">
        <v>0</v>
      </c>
      <c r="Q247" s="453">
        <v>0</v>
      </c>
      <c r="R247" s="453">
        <v>0</v>
      </c>
      <c r="S247" s="15">
        <v>0</v>
      </c>
    </row>
    <row r="248" spans="1:19" ht="12.75">
      <c r="A248" s="51"/>
      <c r="B248" s="5" t="s">
        <v>653</v>
      </c>
      <c r="C248" s="14">
        <v>-0.16497585996177916</v>
      </c>
      <c r="D248" s="453">
        <v>0.24414816207971035</v>
      </c>
      <c r="E248" s="453">
        <v>0.20417937427606517</v>
      </c>
      <c r="F248" s="453">
        <v>2.2480391765703933</v>
      </c>
      <c r="G248" s="453">
        <v>-0.9711370988743735</v>
      </c>
      <c r="H248" s="453">
        <v>0</v>
      </c>
      <c r="I248" s="453">
        <v>0</v>
      </c>
      <c r="J248" s="14">
        <v>0.5086571521915363</v>
      </c>
      <c r="K248" s="14">
        <v>0</v>
      </c>
      <c r="L248" s="453">
        <v>0</v>
      </c>
      <c r="M248" s="453">
        <v>0</v>
      </c>
      <c r="N248" s="453">
        <v>0</v>
      </c>
      <c r="O248" s="14">
        <v>0</v>
      </c>
      <c r="P248" s="14">
        <v>0</v>
      </c>
      <c r="Q248" s="453">
        <v>0</v>
      </c>
      <c r="R248" s="453">
        <v>0</v>
      </c>
      <c r="S248" s="15">
        <v>0</v>
      </c>
    </row>
    <row r="249" spans="1:19" ht="12.75">
      <c r="A249" s="51"/>
      <c r="B249" s="5" t="s">
        <v>629</v>
      </c>
      <c r="C249" s="14">
        <v>0.017118597644480964</v>
      </c>
      <c r="D249" s="453">
        <v>0.023685885097925227</v>
      </c>
      <c r="E249" s="453">
        <v>0.001415661939928745</v>
      </c>
      <c r="F249" s="453">
        <v>0.014344212935083705</v>
      </c>
      <c r="G249" s="453">
        <v>0</v>
      </c>
      <c r="H249" s="453">
        <v>0</v>
      </c>
      <c r="I249" s="453">
        <v>0</v>
      </c>
      <c r="J249" s="14">
        <v>0.015990690386445936</v>
      </c>
      <c r="K249" s="14">
        <v>0</v>
      </c>
      <c r="L249" s="453">
        <v>0</v>
      </c>
      <c r="M249" s="453">
        <v>0</v>
      </c>
      <c r="N249" s="453">
        <v>0</v>
      </c>
      <c r="O249" s="14">
        <v>0</v>
      </c>
      <c r="P249" s="14">
        <v>0</v>
      </c>
      <c r="Q249" s="453">
        <v>0</v>
      </c>
      <c r="R249" s="453">
        <v>0</v>
      </c>
      <c r="S249" s="15">
        <v>0</v>
      </c>
    </row>
    <row r="250" spans="1:19" ht="12.75">
      <c r="A250" s="51"/>
      <c r="B250" s="5" t="s">
        <v>631</v>
      </c>
      <c r="C250" s="14">
        <v>0.018156571944677746</v>
      </c>
      <c r="D250" s="453">
        <v>0.021823279928754706</v>
      </c>
      <c r="E250" s="453">
        <v>0.0010067114093959733</v>
      </c>
      <c r="F250" s="453">
        <v>0.02147819807256518</v>
      </c>
      <c r="G250" s="453">
        <v>0</v>
      </c>
      <c r="H250" s="453">
        <v>0</v>
      </c>
      <c r="I250" s="453">
        <v>0</v>
      </c>
      <c r="J250" s="14">
        <v>0.017228532044449775</v>
      </c>
      <c r="K250" s="14">
        <v>0</v>
      </c>
      <c r="L250" s="453">
        <v>0</v>
      </c>
      <c r="M250" s="453">
        <v>0</v>
      </c>
      <c r="N250" s="453">
        <v>0</v>
      </c>
      <c r="O250" s="14">
        <v>0</v>
      </c>
      <c r="P250" s="14">
        <v>0</v>
      </c>
      <c r="Q250" s="453">
        <v>0</v>
      </c>
      <c r="R250" s="453">
        <v>0</v>
      </c>
      <c r="S250" s="15">
        <v>0</v>
      </c>
    </row>
    <row r="251" spans="1:19" ht="12.75">
      <c r="A251" s="51"/>
      <c r="B251" s="5" t="s">
        <v>655</v>
      </c>
      <c r="C251" s="14">
        <v>0.10379743001967812</v>
      </c>
      <c r="D251" s="453">
        <v>-0.18626051691705212</v>
      </c>
      <c r="E251" s="453">
        <v>-0.040895053053277175</v>
      </c>
      <c r="F251" s="453">
        <v>0.7133985137481474</v>
      </c>
      <c r="G251" s="453">
        <v>0</v>
      </c>
      <c r="H251" s="453">
        <v>0</v>
      </c>
      <c r="I251" s="453">
        <v>0</v>
      </c>
      <c r="J251" s="14">
        <v>0.12378416580038389</v>
      </c>
      <c r="K251" s="14">
        <v>0</v>
      </c>
      <c r="L251" s="453">
        <v>0</v>
      </c>
      <c r="M251" s="453">
        <v>0</v>
      </c>
      <c r="N251" s="453">
        <v>0</v>
      </c>
      <c r="O251" s="14">
        <v>0</v>
      </c>
      <c r="P251" s="14">
        <v>0</v>
      </c>
      <c r="Q251" s="453">
        <v>0</v>
      </c>
      <c r="R251" s="453">
        <v>0</v>
      </c>
      <c r="S251" s="15">
        <v>0</v>
      </c>
    </row>
    <row r="252" spans="1:19" ht="12.75">
      <c r="A252" s="51"/>
      <c r="B252" s="5" t="s">
        <v>633</v>
      </c>
      <c r="C252" s="14">
        <v>0</v>
      </c>
      <c r="D252" s="453">
        <v>0.00016497631411490209</v>
      </c>
      <c r="E252" s="453">
        <v>0</v>
      </c>
      <c r="F252" s="453">
        <v>0</v>
      </c>
      <c r="G252" s="453">
        <v>0</v>
      </c>
      <c r="H252" s="453">
        <v>0</v>
      </c>
      <c r="I252" s="453">
        <v>0</v>
      </c>
      <c r="J252" s="14">
        <v>5.359152539345112E-05</v>
      </c>
      <c r="K252" s="14">
        <v>0</v>
      </c>
      <c r="L252" s="453">
        <v>0</v>
      </c>
      <c r="M252" s="453">
        <v>0</v>
      </c>
      <c r="N252" s="453">
        <v>0</v>
      </c>
      <c r="O252" s="14">
        <v>0</v>
      </c>
      <c r="P252" s="14">
        <v>0</v>
      </c>
      <c r="Q252" s="453">
        <v>0</v>
      </c>
      <c r="R252" s="453">
        <v>0</v>
      </c>
      <c r="S252" s="15">
        <v>0</v>
      </c>
    </row>
    <row r="253" spans="1:19" ht="12.75">
      <c r="A253" s="51"/>
      <c r="B253" s="5" t="s">
        <v>635</v>
      </c>
      <c r="C253" s="14">
        <v>0</v>
      </c>
      <c r="D253" s="485">
        <v>0.00015871476311821604</v>
      </c>
      <c r="E253" s="453">
        <v>0</v>
      </c>
      <c r="F253" s="453">
        <v>0</v>
      </c>
      <c r="G253" s="453">
        <v>0</v>
      </c>
      <c r="H253" s="453">
        <v>0</v>
      </c>
      <c r="I253" s="453">
        <v>0</v>
      </c>
      <c r="J253" s="14">
        <v>4.850830233068918E-05</v>
      </c>
      <c r="K253" s="14">
        <v>0</v>
      </c>
      <c r="L253" s="453">
        <v>0</v>
      </c>
      <c r="M253" s="453">
        <v>0</v>
      </c>
      <c r="N253" s="453">
        <v>0</v>
      </c>
      <c r="O253" s="14">
        <v>0</v>
      </c>
      <c r="P253" s="14">
        <v>0</v>
      </c>
      <c r="Q253" s="453">
        <v>0</v>
      </c>
      <c r="R253" s="453">
        <v>0</v>
      </c>
      <c r="S253" s="15">
        <v>0</v>
      </c>
    </row>
    <row r="254" spans="1:19" ht="12.75">
      <c r="A254" s="51"/>
      <c r="B254" s="5" t="s">
        <v>661</v>
      </c>
      <c r="C254" s="14">
        <v>0</v>
      </c>
      <c r="D254" s="453">
        <v>-0.0006261550996686048</v>
      </c>
      <c r="E254" s="453">
        <v>0</v>
      </c>
      <c r="F254" s="453">
        <v>0</v>
      </c>
      <c r="G254" s="453">
        <v>0</v>
      </c>
      <c r="H254" s="453">
        <v>0</v>
      </c>
      <c r="I254" s="453">
        <v>0</v>
      </c>
      <c r="J254" s="14">
        <v>-0.0005083223062761938</v>
      </c>
      <c r="K254" s="14">
        <v>0</v>
      </c>
      <c r="L254" s="453">
        <v>0</v>
      </c>
      <c r="M254" s="453">
        <v>0</v>
      </c>
      <c r="N254" s="453">
        <v>0</v>
      </c>
      <c r="O254" s="14">
        <v>0</v>
      </c>
      <c r="P254" s="14">
        <v>0</v>
      </c>
      <c r="Q254" s="453">
        <v>0</v>
      </c>
      <c r="R254" s="453">
        <v>0</v>
      </c>
      <c r="S254" s="15">
        <v>0</v>
      </c>
    </row>
    <row r="255" spans="1:19" ht="12.75">
      <c r="A255" s="51"/>
      <c r="B255" s="5" t="s">
        <v>637</v>
      </c>
      <c r="C255" s="14">
        <v>0</v>
      </c>
      <c r="D255" s="453">
        <v>0</v>
      </c>
      <c r="E255" s="453">
        <v>0</v>
      </c>
      <c r="F255" s="453">
        <v>0</v>
      </c>
      <c r="G255" s="453">
        <v>0</v>
      </c>
      <c r="H255" s="453">
        <v>0</v>
      </c>
      <c r="I255" s="453">
        <v>0</v>
      </c>
      <c r="J255" s="14">
        <v>0</v>
      </c>
      <c r="K255" s="14">
        <v>0</v>
      </c>
      <c r="L255" s="453">
        <v>0</v>
      </c>
      <c r="M255" s="453">
        <v>0</v>
      </c>
      <c r="N255" s="453">
        <v>0</v>
      </c>
      <c r="O255" s="14">
        <v>0</v>
      </c>
      <c r="P255" s="14">
        <v>0</v>
      </c>
      <c r="Q255" s="453">
        <v>0</v>
      </c>
      <c r="R255" s="453">
        <v>0</v>
      </c>
      <c r="S255" s="15">
        <v>0</v>
      </c>
    </row>
    <row r="256" spans="1:19" ht="12.75">
      <c r="A256" s="51"/>
      <c r="B256" s="5" t="s">
        <v>639</v>
      </c>
      <c r="C256" s="14">
        <v>0</v>
      </c>
      <c r="D256" s="453">
        <v>0</v>
      </c>
      <c r="E256" s="453">
        <v>0</v>
      </c>
      <c r="F256" s="453">
        <v>0</v>
      </c>
      <c r="G256" s="453">
        <v>0</v>
      </c>
      <c r="H256" s="453">
        <v>0</v>
      </c>
      <c r="I256" s="453">
        <v>0</v>
      </c>
      <c r="J256" s="14">
        <v>0</v>
      </c>
      <c r="K256" s="14">
        <v>0</v>
      </c>
      <c r="L256" s="453">
        <v>0</v>
      </c>
      <c r="M256" s="453">
        <v>0</v>
      </c>
      <c r="N256" s="453">
        <v>0</v>
      </c>
      <c r="O256" s="14">
        <v>0</v>
      </c>
      <c r="P256" s="14">
        <v>0</v>
      </c>
      <c r="Q256" s="453">
        <v>0</v>
      </c>
      <c r="R256" s="453">
        <v>0</v>
      </c>
      <c r="S256" s="15">
        <v>0</v>
      </c>
    </row>
    <row r="257" spans="1:21" s="196" customFormat="1" ht="12.75">
      <c r="A257" s="454"/>
      <c r="B257" s="5" t="s">
        <v>663</v>
      </c>
      <c r="C257" s="14">
        <v>0</v>
      </c>
      <c r="D257" s="453">
        <v>0</v>
      </c>
      <c r="E257" s="453">
        <v>0</v>
      </c>
      <c r="F257" s="453">
        <v>0</v>
      </c>
      <c r="G257" s="453">
        <v>0</v>
      </c>
      <c r="H257" s="453">
        <v>0</v>
      </c>
      <c r="I257" s="453">
        <v>0</v>
      </c>
      <c r="J257" s="14">
        <v>0</v>
      </c>
      <c r="K257" s="14">
        <v>0</v>
      </c>
      <c r="L257" s="453">
        <v>0</v>
      </c>
      <c r="M257" s="453">
        <v>0</v>
      </c>
      <c r="N257" s="453">
        <v>0</v>
      </c>
      <c r="O257" s="14">
        <v>0</v>
      </c>
      <c r="P257" s="14">
        <v>0</v>
      </c>
      <c r="Q257" s="453">
        <v>0</v>
      </c>
      <c r="R257" s="453">
        <v>0</v>
      </c>
      <c r="S257" s="15">
        <v>0</v>
      </c>
      <c r="T257"/>
      <c r="U257"/>
    </row>
    <row r="258" spans="1:21" s="48" customFormat="1" ht="12.75">
      <c r="A258" s="50" t="s">
        <v>351</v>
      </c>
      <c r="B258" s="3" t="s">
        <v>593</v>
      </c>
      <c r="C258" s="11">
        <v>0</v>
      </c>
      <c r="D258" s="12">
        <v>0.9905961813222497</v>
      </c>
      <c r="E258" s="12">
        <v>0.9864595637252168</v>
      </c>
      <c r="F258" s="12">
        <v>0.9697680608714009</v>
      </c>
      <c r="G258" s="12">
        <v>0</v>
      </c>
      <c r="H258" s="12">
        <v>0</v>
      </c>
      <c r="I258" s="12">
        <v>0</v>
      </c>
      <c r="J258" s="11">
        <v>0.7809688152375024</v>
      </c>
      <c r="K258" s="11">
        <v>0</v>
      </c>
      <c r="L258" s="12">
        <v>0.8870002117696137</v>
      </c>
      <c r="M258" s="12">
        <v>0.8739591019767318</v>
      </c>
      <c r="N258" s="12">
        <v>0.841595309820364</v>
      </c>
      <c r="O258" s="11">
        <v>0.8765775950668037</v>
      </c>
      <c r="P258" s="11">
        <v>0</v>
      </c>
      <c r="Q258" s="12">
        <v>0</v>
      </c>
      <c r="R258" s="12">
        <v>0</v>
      </c>
      <c r="S258" s="13">
        <v>0</v>
      </c>
      <c r="T258"/>
      <c r="U258"/>
    </row>
    <row r="259" spans="1:19" ht="12.75">
      <c r="A259" s="51"/>
      <c r="B259" s="5" t="s">
        <v>595</v>
      </c>
      <c r="C259" s="14">
        <v>0.989398944358323</v>
      </c>
      <c r="D259" s="453">
        <v>0.990059752754895</v>
      </c>
      <c r="E259" s="453">
        <v>0.9895987633644229</v>
      </c>
      <c r="F259" s="453">
        <v>0.975059726462566</v>
      </c>
      <c r="G259" s="453">
        <v>0.9762349366148992</v>
      </c>
      <c r="H259" s="453">
        <v>0</v>
      </c>
      <c r="I259" s="453">
        <v>0</v>
      </c>
      <c r="J259" s="14">
        <v>0.8544971469666421</v>
      </c>
      <c r="K259" s="14">
        <v>0</v>
      </c>
      <c r="L259" s="453">
        <v>0.8681758508256434</v>
      </c>
      <c r="M259" s="453">
        <v>0.8784010300262365</v>
      </c>
      <c r="N259" s="453">
        <v>0.8298099748784254</v>
      </c>
      <c r="O259" s="14">
        <v>0.8644085341132642</v>
      </c>
      <c r="P259" s="14">
        <v>0</v>
      </c>
      <c r="Q259" s="453">
        <v>0</v>
      </c>
      <c r="R259" s="453">
        <v>0</v>
      </c>
      <c r="S259" s="15">
        <v>0</v>
      </c>
    </row>
    <row r="260" spans="1:19" ht="12.75">
      <c r="A260" s="51"/>
      <c r="B260" s="476" t="s">
        <v>641</v>
      </c>
      <c r="C260" s="455">
        <v>0</v>
      </c>
      <c r="D260" s="530">
        <v>-0.053642856735469646</v>
      </c>
      <c r="E260" s="530">
        <v>0.31391996392060584</v>
      </c>
      <c r="F260" s="530">
        <v>0.5291665591165118</v>
      </c>
      <c r="G260" s="530">
        <v>0</v>
      </c>
      <c r="H260" s="530">
        <v>0</v>
      </c>
      <c r="I260" s="530">
        <v>0</v>
      </c>
      <c r="J260" s="455">
        <v>7.352833172913975</v>
      </c>
      <c r="K260" s="455">
        <v>0</v>
      </c>
      <c r="L260" s="530">
        <v>-1.882436094397033</v>
      </c>
      <c r="M260" s="530">
        <v>0.44419280495047175</v>
      </c>
      <c r="N260" s="530">
        <v>-1.1785334941938563</v>
      </c>
      <c r="O260" s="455">
        <v>-1.2169060953539423</v>
      </c>
      <c r="P260" s="455">
        <v>0</v>
      </c>
      <c r="Q260" s="530">
        <v>0</v>
      </c>
      <c r="R260" s="530">
        <v>0</v>
      </c>
      <c r="S260" s="456">
        <v>0</v>
      </c>
    </row>
    <row r="261" spans="1:19" ht="12.75">
      <c r="A261" s="51"/>
      <c r="B261" s="5" t="s">
        <v>597</v>
      </c>
      <c r="C261" s="14">
        <v>0</v>
      </c>
      <c r="D261" s="453">
        <v>0.009403818677750357</v>
      </c>
      <c r="E261" s="453">
        <v>0.011320027780453308</v>
      </c>
      <c r="F261" s="453">
        <v>0.005327165422988316</v>
      </c>
      <c r="G261" s="453">
        <v>0</v>
      </c>
      <c r="H261" s="453">
        <v>0</v>
      </c>
      <c r="I261" s="544">
        <v>0.2602296057589854</v>
      </c>
      <c r="J261" s="14">
        <v>0.059350219639793374</v>
      </c>
      <c r="K261" s="14">
        <v>0</v>
      </c>
      <c r="L261" s="453">
        <v>0.0425179247851653</v>
      </c>
      <c r="M261" s="453">
        <v>0.036218628017992374</v>
      </c>
      <c r="N261" s="453">
        <v>0.09368345492279645</v>
      </c>
      <c r="O261" s="14">
        <v>0.04885312529197421</v>
      </c>
      <c r="P261" s="14">
        <v>0</v>
      </c>
      <c r="Q261" s="453">
        <v>0</v>
      </c>
      <c r="R261" s="453">
        <v>0</v>
      </c>
      <c r="S261" s="15">
        <v>0</v>
      </c>
    </row>
    <row r="262" spans="1:19" ht="12.75">
      <c r="A262" s="51"/>
      <c r="B262" s="5" t="s">
        <v>599</v>
      </c>
      <c r="C262" s="14">
        <v>0.01000045991564606</v>
      </c>
      <c r="D262" s="453">
        <v>0.009940247245104984</v>
      </c>
      <c r="E262" s="453">
        <v>0.009999280448801452</v>
      </c>
      <c r="F262" s="453">
        <v>0.010332515281511813</v>
      </c>
      <c r="G262" s="453">
        <v>0</v>
      </c>
      <c r="H262" s="453">
        <v>0</v>
      </c>
      <c r="I262" s="545">
        <v>0.23999950338936757</v>
      </c>
      <c r="J262" s="14">
        <v>0.040158092507034525</v>
      </c>
      <c r="K262" s="14">
        <v>0</v>
      </c>
      <c r="L262" s="453">
        <v>0.057194005910069554</v>
      </c>
      <c r="M262" s="453">
        <v>0.023028096672543276</v>
      </c>
      <c r="N262" s="453">
        <v>0.09124720551291803</v>
      </c>
      <c r="O262" s="14">
        <v>0.053200952113713756</v>
      </c>
      <c r="P262" s="14">
        <v>0</v>
      </c>
      <c r="Q262" s="453">
        <v>0</v>
      </c>
      <c r="R262" s="453">
        <v>0</v>
      </c>
      <c r="S262" s="15">
        <v>0</v>
      </c>
    </row>
    <row r="263" spans="1:19" ht="12.75">
      <c r="A263" s="51"/>
      <c r="B263" s="5" t="s">
        <v>649</v>
      </c>
      <c r="C263" s="14">
        <v>0</v>
      </c>
      <c r="D263" s="453">
        <v>0.05364285673546271</v>
      </c>
      <c r="E263" s="453">
        <v>-0.1320747331651856</v>
      </c>
      <c r="F263" s="453">
        <v>0.5005349858523497</v>
      </c>
      <c r="G263" s="453">
        <v>0</v>
      </c>
      <c r="H263" s="453">
        <v>0</v>
      </c>
      <c r="I263" s="546">
        <v>-2.0230102369617837</v>
      </c>
      <c r="J263" s="14">
        <v>-1.919212713275885</v>
      </c>
      <c r="K263" s="14">
        <v>0</v>
      </c>
      <c r="L263" s="453">
        <v>1.4676081124904254</v>
      </c>
      <c r="M263" s="453">
        <v>-1.31905313454491</v>
      </c>
      <c r="N263" s="453">
        <v>-0.24362494098784243</v>
      </c>
      <c r="O263" s="14">
        <v>0.4347826821739543</v>
      </c>
      <c r="P263" s="14">
        <v>0</v>
      </c>
      <c r="Q263" s="453">
        <v>0</v>
      </c>
      <c r="R263" s="453">
        <v>0</v>
      </c>
      <c r="S263" s="15">
        <v>0</v>
      </c>
    </row>
    <row r="264" spans="1:19" ht="12.75">
      <c r="A264" s="51"/>
      <c r="B264" s="5" t="s">
        <v>603</v>
      </c>
      <c r="C264" s="14">
        <v>0</v>
      </c>
      <c r="D264" s="453">
        <v>0</v>
      </c>
      <c r="E264" s="453">
        <v>0.0020455133047079755</v>
      </c>
      <c r="F264" s="453">
        <v>0.019210470762085707</v>
      </c>
      <c r="G264" s="453">
        <v>0</v>
      </c>
      <c r="H264" s="453">
        <v>0</v>
      </c>
      <c r="I264" s="545">
        <v>0.7397703942410145</v>
      </c>
      <c r="J264" s="14">
        <v>0.15759006814042703</v>
      </c>
      <c r="K264" s="14">
        <v>0</v>
      </c>
      <c r="L264" s="453">
        <v>0.06441139989268217</v>
      </c>
      <c r="M264" s="453">
        <v>0.07367192018376734</v>
      </c>
      <c r="N264" s="453">
        <v>0.039291066853681174</v>
      </c>
      <c r="O264" s="14">
        <v>0.0628903111277212</v>
      </c>
      <c r="P264" s="14">
        <v>0</v>
      </c>
      <c r="Q264" s="453">
        <v>0</v>
      </c>
      <c r="R264" s="453">
        <v>0</v>
      </c>
      <c r="S264" s="15">
        <v>0</v>
      </c>
    </row>
    <row r="265" spans="1:19" ht="12.75">
      <c r="A265" s="51"/>
      <c r="B265" s="5" t="s">
        <v>605</v>
      </c>
      <c r="C265" s="14">
        <v>0.00030029786301547754</v>
      </c>
      <c r="D265" s="453">
        <v>0</v>
      </c>
      <c r="E265" s="453">
        <v>0.00020097809338782074</v>
      </c>
      <c r="F265" s="453">
        <v>0.014184628003411082</v>
      </c>
      <c r="G265" s="453">
        <v>0.023765063385100732</v>
      </c>
      <c r="H265" s="453">
        <v>0</v>
      </c>
      <c r="I265" s="545">
        <v>0.7600004966106324</v>
      </c>
      <c r="J265" s="14">
        <v>0.10511352785080523</v>
      </c>
      <c r="K265" s="14">
        <v>0</v>
      </c>
      <c r="L265" s="453">
        <v>0.07017897294639405</v>
      </c>
      <c r="M265" s="453">
        <v>0.08241077501839332</v>
      </c>
      <c r="N265" s="453">
        <v>0.055209845813455026</v>
      </c>
      <c r="O265" s="14">
        <v>0.07111930191858727</v>
      </c>
      <c r="P265" s="14">
        <v>0</v>
      </c>
      <c r="Q265" s="453">
        <v>0</v>
      </c>
      <c r="R265" s="453">
        <v>0</v>
      </c>
      <c r="S265" s="15">
        <v>0</v>
      </c>
    </row>
    <row r="266" spans="1:19" ht="12.75">
      <c r="A266" s="51"/>
      <c r="B266" s="5" t="s">
        <v>651</v>
      </c>
      <c r="C266" s="14">
        <v>0</v>
      </c>
      <c r="D266" s="453">
        <v>0</v>
      </c>
      <c r="E266" s="453">
        <v>-0.18445352113201546</v>
      </c>
      <c r="F266" s="453">
        <v>-0.5025842758674626</v>
      </c>
      <c r="G266" s="453">
        <v>0</v>
      </c>
      <c r="H266" s="453">
        <v>0</v>
      </c>
      <c r="I266" s="546">
        <v>2.0230102369617864</v>
      </c>
      <c r="J266" s="14">
        <v>-5.24765402896218</v>
      </c>
      <c r="K266" s="14">
        <v>0</v>
      </c>
      <c r="L266" s="453">
        <v>0.5767573053711881</v>
      </c>
      <c r="M266" s="453">
        <v>0.8738854834625984</v>
      </c>
      <c r="N266" s="453">
        <v>1.5918778959773852</v>
      </c>
      <c r="O266" s="14">
        <v>0.8228990790866073</v>
      </c>
      <c r="P266" s="14">
        <v>0</v>
      </c>
      <c r="Q266" s="453">
        <v>0</v>
      </c>
      <c r="R266" s="453">
        <v>0</v>
      </c>
      <c r="S266" s="15">
        <v>0</v>
      </c>
    </row>
    <row r="267" spans="1:19" ht="12.75">
      <c r="A267" s="51"/>
      <c r="B267" s="5" t="s">
        <v>607</v>
      </c>
      <c r="C267" s="14">
        <v>0</v>
      </c>
      <c r="D267" s="453">
        <v>0</v>
      </c>
      <c r="E267" s="453">
        <v>0.00017489518962187153</v>
      </c>
      <c r="F267" s="453">
        <v>0.005694302943525071</v>
      </c>
      <c r="G267" s="453">
        <v>0</v>
      </c>
      <c r="H267" s="453">
        <v>0</v>
      </c>
      <c r="I267" s="453">
        <v>0</v>
      </c>
      <c r="J267" s="14">
        <v>0.002090896982277159</v>
      </c>
      <c r="K267" s="14">
        <v>0</v>
      </c>
      <c r="L267" s="453">
        <v>0.001970412759676518</v>
      </c>
      <c r="M267" s="453">
        <v>0.004639508890125769</v>
      </c>
      <c r="N267" s="453">
        <v>0.016410823214226718</v>
      </c>
      <c r="O267" s="14">
        <v>0.004904232458189293</v>
      </c>
      <c r="P267" s="14">
        <v>0</v>
      </c>
      <c r="Q267" s="453">
        <v>0</v>
      </c>
      <c r="R267" s="453">
        <v>0</v>
      </c>
      <c r="S267" s="15">
        <v>0</v>
      </c>
    </row>
    <row r="268" spans="1:19" ht="12.75">
      <c r="A268" s="51"/>
      <c r="B268" s="5" t="s">
        <v>609</v>
      </c>
      <c r="C268" s="14">
        <v>0.00030029786301547754</v>
      </c>
      <c r="D268" s="453">
        <v>0</v>
      </c>
      <c r="E268" s="485">
        <v>0.00020097809338782074</v>
      </c>
      <c r="F268" s="453">
        <v>0.0004231302525111153</v>
      </c>
      <c r="G268" s="453">
        <v>0</v>
      </c>
      <c r="H268" s="453">
        <v>0</v>
      </c>
      <c r="I268" s="453">
        <v>0</v>
      </c>
      <c r="J268" s="14">
        <v>0.00023123267551812754</v>
      </c>
      <c r="K268" s="14">
        <v>0</v>
      </c>
      <c r="L268" s="453">
        <v>0.00043537830651205645</v>
      </c>
      <c r="M268" s="453">
        <v>0.005708871829754154</v>
      </c>
      <c r="N268" s="453">
        <v>0.01513632487496831</v>
      </c>
      <c r="O268" s="14">
        <v>0.004566735996484628</v>
      </c>
      <c r="P268" s="14">
        <v>0</v>
      </c>
      <c r="Q268" s="453">
        <v>0</v>
      </c>
      <c r="R268" s="453">
        <v>0</v>
      </c>
      <c r="S268" s="15">
        <v>0</v>
      </c>
    </row>
    <row r="269" spans="1:19" ht="12.75">
      <c r="A269" s="51"/>
      <c r="B269" s="5" t="s">
        <v>657</v>
      </c>
      <c r="C269" s="14">
        <v>0</v>
      </c>
      <c r="D269" s="453">
        <v>0</v>
      </c>
      <c r="E269" s="453">
        <v>0.0026082903765949203</v>
      </c>
      <c r="F269" s="453">
        <v>-0.5271172691013956</v>
      </c>
      <c r="G269" s="453">
        <v>0</v>
      </c>
      <c r="H269" s="453">
        <v>0</v>
      </c>
      <c r="I269" s="453">
        <v>0</v>
      </c>
      <c r="J269" s="14">
        <v>-0.18596643067590313</v>
      </c>
      <c r="K269" s="14">
        <v>0</v>
      </c>
      <c r="L269" s="453">
        <v>-0.15350344531644614</v>
      </c>
      <c r="M269" s="453">
        <v>0.10693629396283855</v>
      </c>
      <c r="N269" s="453">
        <v>-0.12744983392584086</v>
      </c>
      <c r="O269" s="14">
        <v>-0.033749646170466455</v>
      </c>
      <c r="P269" s="14">
        <v>0</v>
      </c>
      <c r="Q269" s="453">
        <v>0</v>
      </c>
      <c r="R269" s="453">
        <v>0</v>
      </c>
      <c r="S269" s="15">
        <v>0</v>
      </c>
    </row>
    <row r="270" spans="1:19" ht="12.75">
      <c r="A270" s="51"/>
      <c r="B270" s="5" t="s">
        <v>611</v>
      </c>
      <c r="C270" s="14">
        <v>0</v>
      </c>
      <c r="D270" s="453">
        <v>0</v>
      </c>
      <c r="E270" s="453">
        <v>0</v>
      </c>
      <c r="F270" s="453">
        <v>0</v>
      </c>
      <c r="G270" s="453">
        <v>0</v>
      </c>
      <c r="H270" s="453">
        <v>0</v>
      </c>
      <c r="I270" s="453">
        <v>0</v>
      </c>
      <c r="J270" s="14">
        <v>0</v>
      </c>
      <c r="K270" s="14">
        <v>0</v>
      </c>
      <c r="L270" s="453">
        <v>0.00410005079286225</v>
      </c>
      <c r="M270" s="453">
        <v>0.009795727445623107</v>
      </c>
      <c r="N270" s="453">
        <v>0.008181384047502486</v>
      </c>
      <c r="O270" s="14">
        <v>0.006202466598150051</v>
      </c>
      <c r="P270" s="14">
        <v>0</v>
      </c>
      <c r="Q270" s="453">
        <v>0</v>
      </c>
      <c r="R270" s="453">
        <v>0</v>
      </c>
      <c r="S270" s="15">
        <v>0</v>
      </c>
    </row>
    <row r="271" spans="1:19" ht="12.75">
      <c r="A271" s="51"/>
      <c r="B271" s="5" t="s">
        <v>613</v>
      </c>
      <c r="C271" s="14">
        <v>0</v>
      </c>
      <c r="D271" s="453">
        <v>0</v>
      </c>
      <c r="E271" s="453">
        <v>0</v>
      </c>
      <c r="F271" s="453">
        <v>0</v>
      </c>
      <c r="G271" s="453">
        <v>0</v>
      </c>
      <c r="H271" s="453">
        <v>0</v>
      </c>
      <c r="I271" s="453">
        <v>0</v>
      </c>
      <c r="J271" s="14">
        <v>0</v>
      </c>
      <c r="K271" s="14">
        <v>0</v>
      </c>
      <c r="L271" s="453">
        <v>0.004015792011380942</v>
      </c>
      <c r="M271" s="453">
        <v>0.008731624026541917</v>
      </c>
      <c r="N271" s="453">
        <v>0.00713602525985849</v>
      </c>
      <c r="O271" s="14">
        <v>0.005944368022090824</v>
      </c>
      <c r="P271" s="14">
        <v>0</v>
      </c>
      <c r="Q271" s="453">
        <v>0</v>
      </c>
      <c r="R271" s="453">
        <v>0</v>
      </c>
      <c r="S271" s="15">
        <v>0</v>
      </c>
    </row>
    <row r="272" spans="1:19" ht="12.75">
      <c r="A272" s="51"/>
      <c r="B272" s="5" t="s">
        <v>659</v>
      </c>
      <c r="C272" s="14">
        <v>0</v>
      </c>
      <c r="D272" s="453">
        <v>0</v>
      </c>
      <c r="E272" s="453">
        <v>0</v>
      </c>
      <c r="F272" s="453">
        <v>0</v>
      </c>
      <c r="G272" s="453">
        <v>0</v>
      </c>
      <c r="H272" s="453">
        <v>0</v>
      </c>
      <c r="I272" s="453">
        <v>0</v>
      </c>
      <c r="J272" s="14">
        <v>0</v>
      </c>
      <c r="K272" s="14">
        <v>0</v>
      </c>
      <c r="L272" s="453">
        <v>-0.008425878148130787</v>
      </c>
      <c r="M272" s="453">
        <v>-0.10641034190811902</v>
      </c>
      <c r="N272" s="453">
        <v>-0.10453587876439965</v>
      </c>
      <c r="O272" s="14">
        <v>-0.025809857605922724</v>
      </c>
      <c r="P272" s="14">
        <v>0</v>
      </c>
      <c r="Q272" s="453">
        <v>0</v>
      </c>
      <c r="R272" s="453">
        <v>0</v>
      </c>
      <c r="S272" s="15">
        <v>0</v>
      </c>
    </row>
    <row r="273" spans="1:19" ht="12.75">
      <c r="A273" s="51"/>
      <c r="B273" s="5" t="s">
        <v>615</v>
      </c>
      <c r="C273" s="14">
        <v>0</v>
      </c>
      <c r="D273" s="453">
        <v>0</v>
      </c>
      <c r="E273" s="453">
        <v>0</v>
      </c>
      <c r="F273" s="453">
        <v>0</v>
      </c>
      <c r="G273" s="453">
        <v>0</v>
      </c>
      <c r="H273" s="453">
        <v>0</v>
      </c>
      <c r="I273" s="453">
        <v>0</v>
      </c>
      <c r="J273" s="14">
        <v>0</v>
      </c>
      <c r="K273" s="14">
        <v>0</v>
      </c>
      <c r="L273" s="453">
        <v>0</v>
      </c>
      <c r="M273" s="453">
        <v>0.0017151134857596628</v>
      </c>
      <c r="N273" s="453">
        <v>0.0008379611414292193</v>
      </c>
      <c r="O273" s="14">
        <v>0.0005722694571615435</v>
      </c>
      <c r="P273" s="14">
        <v>0</v>
      </c>
      <c r="Q273" s="453">
        <v>0</v>
      </c>
      <c r="R273" s="453">
        <v>0</v>
      </c>
      <c r="S273" s="15">
        <v>0</v>
      </c>
    </row>
    <row r="274" spans="1:19" ht="12.75">
      <c r="A274" s="51"/>
      <c r="B274" s="5" t="s">
        <v>617</v>
      </c>
      <c r="C274" s="14">
        <v>0</v>
      </c>
      <c r="D274" s="453">
        <v>0</v>
      </c>
      <c r="E274" s="453">
        <v>0</v>
      </c>
      <c r="F274" s="453">
        <v>0</v>
      </c>
      <c r="G274" s="453">
        <v>0</v>
      </c>
      <c r="H274" s="453">
        <v>0</v>
      </c>
      <c r="I274" s="453">
        <v>0</v>
      </c>
      <c r="J274" s="14">
        <v>0</v>
      </c>
      <c r="K274" s="14">
        <v>0</v>
      </c>
      <c r="L274" s="453">
        <v>0</v>
      </c>
      <c r="M274" s="453">
        <v>0.0017196024265308107</v>
      </c>
      <c r="N274" s="453">
        <v>0.0014606236603747493</v>
      </c>
      <c r="O274" s="14">
        <v>0.0007601078358593303</v>
      </c>
      <c r="P274" s="14">
        <v>0</v>
      </c>
      <c r="Q274" s="453">
        <v>0</v>
      </c>
      <c r="R274" s="453">
        <v>0</v>
      </c>
      <c r="S274" s="15">
        <v>0</v>
      </c>
    </row>
    <row r="275" spans="1:19" ht="12.75">
      <c r="A275" s="51"/>
      <c r="B275" s="5" t="s">
        <v>645</v>
      </c>
      <c r="C275" s="14">
        <v>0</v>
      </c>
      <c r="D275" s="453">
        <v>0</v>
      </c>
      <c r="E275" s="453">
        <v>0</v>
      </c>
      <c r="F275" s="453">
        <v>0</v>
      </c>
      <c r="G275" s="453">
        <v>0</v>
      </c>
      <c r="H275" s="453">
        <v>0</v>
      </c>
      <c r="I275" s="453">
        <v>0</v>
      </c>
      <c r="J275" s="14">
        <v>0</v>
      </c>
      <c r="K275" s="14">
        <v>0</v>
      </c>
      <c r="L275" s="453">
        <v>0</v>
      </c>
      <c r="M275" s="453">
        <v>0.00044889407711478074</v>
      </c>
      <c r="N275" s="453">
        <v>0.062266251894553</v>
      </c>
      <c r="O275" s="14">
        <v>0.018783837869778684</v>
      </c>
      <c r="P275" s="14">
        <v>0</v>
      </c>
      <c r="Q275" s="453">
        <v>0</v>
      </c>
      <c r="R275" s="453">
        <v>0</v>
      </c>
      <c r="S275" s="15">
        <v>0</v>
      </c>
    </row>
    <row r="276" spans="1:19" ht="12.75">
      <c r="A276" s="51"/>
      <c r="B276" s="5" t="s">
        <v>601</v>
      </c>
      <c r="C276" s="14">
        <v>0</v>
      </c>
      <c r="D276" s="453">
        <v>0.8489461358313818</v>
      </c>
      <c r="E276" s="515">
        <v>0.7520155872077399</v>
      </c>
      <c r="F276" s="453">
        <v>0.8843636435651407</v>
      </c>
      <c r="G276" s="453">
        <v>0</v>
      </c>
      <c r="H276" s="453">
        <v>0</v>
      </c>
      <c r="I276" s="453">
        <v>0</v>
      </c>
      <c r="J276" s="14">
        <v>0.5441910466098441</v>
      </c>
      <c r="K276" s="14">
        <v>0</v>
      </c>
      <c r="L276" s="453">
        <v>0</v>
      </c>
      <c r="M276" s="453">
        <v>0</v>
      </c>
      <c r="N276" s="453">
        <v>0</v>
      </c>
      <c r="O276" s="14">
        <v>0</v>
      </c>
      <c r="P276" s="14">
        <v>0</v>
      </c>
      <c r="Q276" s="453">
        <v>0</v>
      </c>
      <c r="R276" s="453">
        <v>0</v>
      </c>
      <c r="S276" s="15">
        <v>0</v>
      </c>
    </row>
    <row r="277" spans="1:19" ht="12.75">
      <c r="A277" s="51"/>
      <c r="B277" s="5" t="s">
        <v>619</v>
      </c>
      <c r="C277" s="14">
        <v>0.8192026909366931</v>
      </c>
      <c r="D277" s="453">
        <v>0.8500135489115708</v>
      </c>
      <c r="E277" s="516">
        <v>0.6899974920581843</v>
      </c>
      <c r="F277" s="453">
        <v>0.8634974647130592</v>
      </c>
      <c r="G277" s="453">
        <v>0.6898994046397043</v>
      </c>
      <c r="H277" s="453">
        <v>0</v>
      </c>
      <c r="I277" s="453">
        <v>0</v>
      </c>
      <c r="J277" s="14">
        <v>0.6112621272299057</v>
      </c>
      <c r="K277" s="14">
        <v>0</v>
      </c>
      <c r="L277" s="453">
        <v>0</v>
      </c>
      <c r="M277" s="453">
        <v>0</v>
      </c>
      <c r="N277" s="453">
        <v>0</v>
      </c>
      <c r="O277" s="14">
        <v>0</v>
      </c>
      <c r="P277" s="14">
        <v>0</v>
      </c>
      <c r="Q277" s="453">
        <v>0</v>
      </c>
      <c r="R277" s="453">
        <v>0</v>
      </c>
      <c r="S277" s="15">
        <v>0</v>
      </c>
    </row>
    <row r="278" spans="1:19" ht="12.75">
      <c r="A278" s="51"/>
      <c r="B278" s="5" t="s">
        <v>643</v>
      </c>
      <c r="C278" s="14">
        <v>0</v>
      </c>
      <c r="D278" s="453">
        <v>0.10674130801889836</v>
      </c>
      <c r="E278" s="517">
        <v>-6.201809514955558</v>
      </c>
      <c r="F278" s="453">
        <v>-2.086617885208153</v>
      </c>
      <c r="G278" s="453">
        <v>0</v>
      </c>
      <c r="H278" s="453">
        <v>0</v>
      </c>
      <c r="I278" s="453">
        <v>0</v>
      </c>
      <c r="J278" s="14">
        <v>6.707108062006162</v>
      </c>
      <c r="K278" s="14">
        <v>0</v>
      </c>
      <c r="L278" s="453">
        <v>0</v>
      </c>
      <c r="M278" s="453">
        <v>0</v>
      </c>
      <c r="N278" s="453">
        <v>0</v>
      </c>
      <c r="O278" s="14">
        <v>0</v>
      </c>
      <c r="P278" s="14">
        <v>0</v>
      </c>
      <c r="Q278" s="453">
        <v>0</v>
      </c>
      <c r="R278" s="453">
        <v>0</v>
      </c>
      <c r="S278" s="15">
        <v>0</v>
      </c>
    </row>
    <row r="279" spans="1:19" ht="12.75">
      <c r="A279" s="51"/>
      <c r="B279" s="5" t="s">
        <v>621</v>
      </c>
      <c r="C279" s="14">
        <v>0</v>
      </c>
      <c r="D279" s="453">
        <v>0.024725274725274724</v>
      </c>
      <c r="E279" s="516">
        <v>0.24187046492878259</v>
      </c>
      <c r="F279" s="453">
        <v>0.06005604570794839</v>
      </c>
      <c r="G279" s="453">
        <v>0</v>
      </c>
      <c r="H279" s="453">
        <v>0</v>
      </c>
      <c r="I279" s="453">
        <v>0.1756410948550451</v>
      </c>
      <c r="J279" s="14">
        <v>0.12931352222990095</v>
      </c>
      <c r="K279" s="14">
        <v>0</v>
      </c>
      <c r="L279" s="453">
        <v>0</v>
      </c>
      <c r="M279" s="453">
        <v>0</v>
      </c>
      <c r="N279" s="453">
        <v>0</v>
      </c>
      <c r="O279" s="14">
        <v>0</v>
      </c>
      <c r="P279" s="14">
        <v>0</v>
      </c>
      <c r="Q279" s="453">
        <v>0</v>
      </c>
      <c r="R279" s="453">
        <v>0</v>
      </c>
      <c r="S279" s="15">
        <v>0</v>
      </c>
    </row>
    <row r="280" spans="1:19" ht="12.75">
      <c r="A280" s="51"/>
      <c r="B280" s="5" t="s">
        <v>623</v>
      </c>
      <c r="C280" s="14">
        <v>0.17139837918691442</v>
      </c>
      <c r="D280" s="453">
        <v>0.029988257609971997</v>
      </c>
      <c r="E280" s="516">
        <v>0.2900016719612105</v>
      </c>
      <c r="F280" s="453">
        <v>0.06626445337422626</v>
      </c>
      <c r="G280" s="453">
        <v>0.3101005953602956</v>
      </c>
      <c r="H280" s="453">
        <v>0</v>
      </c>
      <c r="I280" s="453">
        <v>0.16999685735429781</v>
      </c>
      <c r="J280" s="14">
        <v>0.15738228410981595</v>
      </c>
      <c r="K280" s="14">
        <v>0</v>
      </c>
      <c r="L280" s="453">
        <v>0</v>
      </c>
      <c r="M280" s="453">
        <v>0</v>
      </c>
      <c r="N280" s="453">
        <v>0</v>
      </c>
      <c r="O280" s="14">
        <v>0</v>
      </c>
      <c r="P280" s="14">
        <v>0</v>
      </c>
      <c r="Q280" s="453">
        <v>0</v>
      </c>
      <c r="R280" s="453">
        <v>0</v>
      </c>
      <c r="S280" s="15">
        <v>0</v>
      </c>
    </row>
    <row r="281" spans="1:19" ht="12.75">
      <c r="A281" s="51"/>
      <c r="B281" s="5" t="s">
        <v>647</v>
      </c>
      <c r="C281" s="14">
        <v>0</v>
      </c>
      <c r="D281" s="453">
        <v>0.5262982884697274</v>
      </c>
      <c r="E281" s="517">
        <v>4.813120703242793</v>
      </c>
      <c r="F281" s="453">
        <v>0.6208407666277872</v>
      </c>
      <c r="G281" s="453">
        <v>0</v>
      </c>
      <c r="H281" s="453">
        <v>0</v>
      </c>
      <c r="I281" s="453">
        <v>-0.5644237500747273</v>
      </c>
      <c r="J281" s="14">
        <v>2.8068761879915</v>
      </c>
      <c r="K281" s="14">
        <v>0</v>
      </c>
      <c r="L281" s="453">
        <v>0</v>
      </c>
      <c r="M281" s="453">
        <v>0</v>
      </c>
      <c r="N281" s="453">
        <v>0</v>
      </c>
      <c r="O281" s="14">
        <v>0</v>
      </c>
      <c r="P281" s="14">
        <v>0</v>
      </c>
      <c r="Q281" s="453">
        <v>0</v>
      </c>
      <c r="R281" s="453">
        <v>0</v>
      </c>
      <c r="S281" s="15">
        <v>0</v>
      </c>
    </row>
    <row r="282" spans="1:19" ht="12.75">
      <c r="A282" s="51"/>
      <c r="B282" s="5" t="s">
        <v>625</v>
      </c>
      <c r="C282" s="14">
        <v>0</v>
      </c>
      <c r="D282" s="453">
        <v>0.12605836786164654</v>
      </c>
      <c r="E282" s="453">
        <v>0.00611394786347756</v>
      </c>
      <c r="F282" s="453">
        <v>0.04859935240471735</v>
      </c>
      <c r="G282" s="453">
        <v>0</v>
      </c>
      <c r="H282" s="453">
        <v>0</v>
      </c>
      <c r="I282" s="453">
        <v>0.8243589051449549</v>
      </c>
      <c r="J282" s="14">
        <v>0.323765645396606</v>
      </c>
      <c r="K282" s="14">
        <v>0</v>
      </c>
      <c r="L282" s="453">
        <v>0</v>
      </c>
      <c r="M282" s="453">
        <v>0</v>
      </c>
      <c r="N282" s="453">
        <v>0</v>
      </c>
      <c r="O282" s="14">
        <v>0</v>
      </c>
      <c r="P282" s="14">
        <v>0</v>
      </c>
      <c r="Q282" s="453">
        <v>0</v>
      </c>
      <c r="R282" s="453">
        <v>0</v>
      </c>
      <c r="S282" s="15">
        <v>0</v>
      </c>
    </row>
    <row r="283" spans="1:19" ht="12.75">
      <c r="A283" s="51"/>
      <c r="B283" s="5" t="s">
        <v>627</v>
      </c>
      <c r="C283" s="14">
        <v>0.008498478162185493</v>
      </c>
      <c r="D283" s="453">
        <v>0.11999819347845724</v>
      </c>
      <c r="E283" s="453">
        <v>0.02000083598060525</v>
      </c>
      <c r="F283" s="453">
        <v>0.06246991795296567</v>
      </c>
      <c r="G283" s="453">
        <v>0</v>
      </c>
      <c r="H283" s="453">
        <v>0</v>
      </c>
      <c r="I283" s="453">
        <v>0.8300031426457022</v>
      </c>
      <c r="J283" s="14">
        <v>0.2293286843028071</v>
      </c>
      <c r="K283" s="14">
        <v>0</v>
      </c>
      <c r="L283" s="453">
        <v>0</v>
      </c>
      <c r="M283" s="453">
        <v>0</v>
      </c>
      <c r="N283" s="453">
        <v>0</v>
      </c>
      <c r="O283" s="14">
        <v>0</v>
      </c>
      <c r="P283" s="14">
        <v>0</v>
      </c>
      <c r="Q283" s="453">
        <v>0</v>
      </c>
      <c r="R283" s="453">
        <v>0</v>
      </c>
      <c r="S283" s="15">
        <v>0</v>
      </c>
    </row>
    <row r="284" spans="1:19" ht="12.75">
      <c r="A284" s="51"/>
      <c r="B284" s="5" t="s">
        <v>653</v>
      </c>
      <c r="C284" s="14">
        <v>0</v>
      </c>
      <c r="D284" s="453">
        <v>-0.6060174383189301</v>
      </c>
      <c r="E284" s="453">
        <v>1.3886888117127691</v>
      </c>
      <c r="F284" s="453">
        <v>1.3870565548248324</v>
      </c>
      <c r="G284" s="453">
        <v>0</v>
      </c>
      <c r="H284" s="453">
        <v>0</v>
      </c>
      <c r="I284" s="453">
        <v>0.5644237500747273</v>
      </c>
      <c r="J284" s="14">
        <v>-9.443696109379893</v>
      </c>
      <c r="K284" s="14">
        <v>0</v>
      </c>
      <c r="L284" s="453">
        <v>0</v>
      </c>
      <c r="M284" s="453">
        <v>0</v>
      </c>
      <c r="N284" s="453">
        <v>0</v>
      </c>
      <c r="O284" s="14">
        <v>0</v>
      </c>
      <c r="P284" s="14">
        <v>0</v>
      </c>
      <c r="Q284" s="453">
        <v>0</v>
      </c>
      <c r="R284" s="453">
        <v>0</v>
      </c>
      <c r="S284" s="15">
        <v>0</v>
      </c>
    </row>
    <row r="285" spans="1:19" ht="12.75">
      <c r="A285" s="51"/>
      <c r="B285" s="5" t="s">
        <v>629</v>
      </c>
      <c r="C285" s="14">
        <v>0</v>
      </c>
      <c r="D285" s="453">
        <v>0.00027022158169699153</v>
      </c>
      <c r="E285" s="453">
        <v>0</v>
      </c>
      <c r="F285" s="453">
        <v>0.006980958322193506</v>
      </c>
      <c r="G285" s="453">
        <v>0</v>
      </c>
      <c r="H285" s="453">
        <v>0</v>
      </c>
      <c r="I285" s="453">
        <v>0</v>
      </c>
      <c r="J285" s="14">
        <v>0.002729785763648929</v>
      </c>
      <c r="K285" s="14">
        <v>0</v>
      </c>
      <c r="L285" s="453">
        <v>0</v>
      </c>
      <c r="M285" s="453">
        <v>0</v>
      </c>
      <c r="N285" s="453">
        <v>0</v>
      </c>
      <c r="O285" s="14">
        <v>0</v>
      </c>
      <c r="P285" s="14">
        <v>0</v>
      </c>
      <c r="Q285" s="453">
        <v>0</v>
      </c>
      <c r="R285" s="453">
        <v>0</v>
      </c>
      <c r="S285" s="15">
        <v>0</v>
      </c>
    </row>
    <row r="286" spans="1:19" ht="12.75">
      <c r="A286" s="51"/>
      <c r="B286" s="5" t="s">
        <v>631</v>
      </c>
      <c r="C286" s="14">
        <v>0.0009004517142070443</v>
      </c>
      <c r="D286" s="485">
        <v>0</v>
      </c>
      <c r="E286" s="453">
        <v>0</v>
      </c>
      <c r="F286" s="453">
        <v>0.007768163959748822</v>
      </c>
      <c r="G286" s="453">
        <v>0</v>
      </c>
      <c r="H286" s="453">
        <v>0</v>
      </c>
      <c r="I286" s="453">
        <v>0</v>
      </c>
      <c r="J286" s="14">
        <v>0.0020269043574713186</v>
      </c>
      <c r="K286" s="14">
        <v>0</v>
      </c>
      <c r="L286" s="453">
        <v>0</v>
      </c>
      <c r="M286" s="453">
        <v>0</v>
      </c>
      <c r="N286" s="453">
        <v>0</v>
      </c>
      <c r="O286" s="14">
        <v>0</v>
      </c>
      <c r="P286" s="14">
        <v>0</v>
      </c>
      <c r="Q286" s="453">
        <v>0</v>
      </c>
      <c r="R286" s="453">
        <v>0</v>
      </c>
      <c r="S286" s="15">
        <v>0</v>
      </c>
    </row>
    <row r="287" spans="1:19" ht="12.75">
      <c r="A287" s="51"/>
      <c r="B287" s="5" t="s">
        <v>655</v>
      </c>
      <c r="C287" s="14">
        <v>0</v>
      </c>
      <c r="D287" s="453">
        <v>-0.027022158169699155</v>
      </c>
      <c r="E287" s="453">
        <v>0</v>
      </c>
      <c r="F287" s="453">
        <v>0.07872056375553159</v>
      </c>
      <c r="G287" s="453">
        <v>0</v>
      </c>
      <c r="H287" s="453">
        <v>0</v>
      </c>
      <c r="I287" s="453">
        <v>0</v>
      </c>
      <c r="J287" s="14">
        <v>-0.07028814061776105</v>
      </c>
      <c r="K287" s="14">
        <v>0</v>
      </c>
      <c r="L287" s="453">
        <v>0</v>
      </c>
      <c r="M287" s="453">
        <v>0</v>
      </c>
      <c r="N287" s="453">
        <v>0</v>
      </c>
      <c r="O287" s="14">
        <v>0</v>
      </c>
      <c r="P287" s="14">
        <v>0</v>
      </c>
      <c r="Q287" s="453">
        <v>0</v>
      </c>
      <c r="R287" s="453">
        <v>0</v>
      </c>
      <c r="S287" s="15">
        <v>0</v>
      </c>
    </row>
    <row r="288" spans="1:19" ht="12.75">
      <c r="A288" s="51"/>
      <c r="B288" s="5" t="s">
        <v>633</v>
      </c>
      <c r="C288" s="14">
        <v>0</v>
      </c>
      <c r="D288" s="453">
        <v>0</v>
      </c>
      <c r="E288" s="453">
        <v>0</v>
      </c>
      <c r="F288" s="453">
        <v>0</v>
      </c>
      <c r="G288" s="453">
        <v>0</v>
      </c>
      <c r="H288" s="453">
        <v>0</v>
      </c>
      <c r="I288" s="453">
        <v>0</v>
      </c>
      <c r="J288" s="14">
        <v>0</v>
      </c>
      <c r="K288" s="14">
        <v>0</v>
      </c>
      <c r="L288" s="453">
        <v>0</v>
      </c>
      <c r="M288" s="453">
        <v>0</v>
      </c>
      <c r="N288" s="453">
        <v>0</v>
      </c>
      <c r="O288" s="14">
        <v>0</v>
      </c>
      <c r="P288" s="14">
        <v>0</v>
      </c>
      <c r="Q288" s="453">
        <v>0</v>
      </c>
      <c r="R288" s="453">
        <v>0</v>
      </c>
      <c r="S288" s="15">
        <v>0</v>
      </c>
    </row>
    <row r="289" spans="1:19" ht="12.75">
      <c r="A289" s="51"/>
      <c r="B289" s="5" t="s">
        <v>635</v>
      </c>
      <c r="C289" s="14">
        <v>0</v>
      </c>
      <c r="D289" s="453">
        <v>0</v>
      </c>
      <c r="E289" s="453">
        <v>0</v>
      </c>
      <c r="F289" s="453">
        <v>0</v>
      </c>
      <c r="G289" s="453">
        <v>0</v>
      </c>
      <c r="H289" s="453">
        <v>0</v>
      </c>
      <c r="I289" s="453">
        <v>0</v>
      </c>
      <c r="J289" s="14">
        <v>0</v>
      </c>
      <c r="K289" s="14">
        <v>0</v>
      </c>
      <c r="L289" s="453">
        <v>0</v>
      </c>
      <c r="M289" s="453">
        <v>0</v>
      </c>
      <c r="N289" s="453">
        <v>0</v>
      </c>
      <c r="O289" s="14">
        <v>0</v>
      </c>
      <c r="P289" s="14">
        <v>0</v>
      </c>
      <c r="Q289" s="453">
        <v>0</v>
      </c>
      <c r="R289" s="453">
        <v>0</v>
      </c>
      <c r="S289" s="15">
        <v>0</v>
      </c>
    </row>
    <row r="290" spans="1:19" ht="12.75">
      <c r="A290" s="51"/>
      <c r="B290" s="5" t="s">
        <v>661</v>
      </c>
      <c r="C290" s="14">
        <v>0</v>
      </c>
      <c r="D290" s="453">
        <v>0</v>
      </c>
      <c r="E290" s="453">
        <v>0</v>
      </c>
      <c r="F290" s="453">
        <v>0</v>
      </c>
      <c r="G290" s="453">
        <v>0</v>
      </c>
      <c r="H290" s="453">
        <v>0</v>
      </c>
      <c r="I290" s="453">
        <v>0</v>
      </c>
      <c r="J290" s="14">
        <v>0</v>
      </c>
      <c r="K290" s="14">
        <v>0</v>
      </c>
      <c r="L290" s="453">
        <v>0</v>
      </c>
      <c r="M290" s="453">
        <v>0</v>
      </c>
      <c r="N290" s="453">
        <v>0</v>
      </c>
      <c r="O290" s="14">
        <v>0</v>
      </c>
      <c r="P290" s="14">
        <v>0</v>
      </c>
      <c r="Q290" s="453">
        <v>0</v>
      </c>
      <c r="R290" s="453">
        <v>0</v>
      </c>
      <c r="S290" s="15">
        <v>0</v>
      </c>
    </row>
    <row r="291" spans="1:19" ht="12.75">
      <c r="A291" s="51"/>
      <c r="B291" s="5" t="s">
        <v>637</v>
      </c>
      <c r="C291" s="14">
        <v>0</v>
      </c>
      <c r="D291" s="453">
        <v>0</v>
      </c>
      <c r="E291" s="453">
        <v>0</v>
      </c>
      <c r="F291" s="453">
        <v>0</v>
      </c>
      <c r="G291" s="453">
        <v>0</v>
      </c>
      <c r="H291" s="453">
        <v>0</v>
      </c>
      <c r="I291" s="453">
        <v>0</v>
      </c>
      <c r="J291" s="14">
        <v>0</v>
      </c>
      <c r="K291" s="14">
        <v>0</v>
      </c>
      <c r="L291" s="453">
        <v>0</v>
      </c>
      <c r="M291" s="453">
        <v>0</v>
      </c>
      <c r="N291" s="453">
        <v>0</v>
      </c>
      <c r="O291" s="14">
        <v>0</v>
      </c>
      <c r="P291" s="14">
        <v>0</v>
      </c>
      <c r="Q291" s="453">
        <v>0</v>
      </c>
      <c r="R291" s="453">
        <v>0</v>
      </c>
      <c r="S291" s="15">
        <v>0</v>
      </c>
    </row>
    <row r="292" spans="1:19" ht="12.75">
      <c r="A292" s="51"/>
      <c r="B292" s="5" t="s">
        <v>639</v>
      </c>
      <c r="C292" s="14">
        <v>0</v>
      </c>
      <c r="D292" s="453">
        <v>0</v>
      </c>
      <c r="E292" s="453">
        <v>0</v>
      </c>
      <c r="F292" s="453">
        <v>0</v>
      </c>
      <c r="G292" s="453">
        <v>0</v>
      </c>
      <c r="H292" s="453">
        <v>0</v>
      </c>
      <c r="I292" s="453">
        <v>0</v>
      </c>
      <c r="J292" s="14">
        <v>0</v>
      </c>
      <c r="K292" s="14">
        <v>0</v>
      </c>
      <c r="L292" s="453">
        <v>0</v>
      </c>
      <c r="M292" s="453">
        <v>0</v>
      </c>
      <c r="N292" s="453">
        <v>0</v>
      </c>
      <c r="O292" s="14">
        <v>0</v>
      </c>
      <c r="P292" s="14">
        <v>0</v>
      </c>
      <c r="Q292" s="453">
        <v>0</v>
      </c>
      <c r="R292" s="453">
        <v>0</v>
      </c>
      <c r="S292" s="15">
        <v>0</v>
      </c>
    </row>
    <row r="293" spans="1:21" s="196" customFormat="1" ht="12.75">
      <c r="A293" s="454"/>
      <c r="B293" s="5" t="s">
        <v>663</v>
      </c>
      <c r="C293" s="14">
        <v>0</v>
      </c>
      <c r="D293" s="453">
        <v>0</v>
      </c>
      <c r="E293" s="453">
        <v>0</v>
      </c>
      <c r="F293" s="453">
        <v>0</v>
      </c>
      <c r="G293" s="453">
        <v>0</v>
      </c>
      <c r="H293" s="453">
        <v>0</v>
      </c>
      <c r="I293" s="453">
        <v>0</v>
      </c>
      <c r="J293" s="14">
        <v>0</v>
      </c>
      <c r="K293" s="14">
        <v>0</v>
      </c>
      <c r="L293" s="453">
        <v>0</v>
      </c>
      <c r="M293" s="453">
        <v>0</v>
      </c>
      <c r="N293" s="453">
        <v>0</v>
      </c>
      <c r="O293" s="14">
        <v>0</v>
      </c>
      <c r="P293" s="14">
        <v>0</v>
      </c>
      <c r="Q293" s="453">
        <v>0</v>
      </c>
      <c r="R293" s="453">
        <v>0</v>
      </c>
      <c r="S293" s="15">
        <v>0</v>
      </c>
      <c r="T293"/>
      <c r="U293"/>
    </row>
    <row r="294" spans="1:21" s="48" customFormat="1" ht="12.75">
      <c r="A294" s="50" t="s">
        <v>24</v>
      </c>
      <c r="B294" s="3" t="s">
        <v>593</v>
      </c>
      <c r="C294" s="11">
        <v>0.8102492994604108</v>
      </c>
      <c r="D294" s="12">
        <v>0.9307985023521355</v>
      </c>
      <c r="E294" s="12">
        <v>0</v>
      </c>
      <c r="F294" s="12">
        <v>0.9690280980958016</v>
      </c>
      <c r="G294" s="12">
        <v>0.9437561267835748</v>
      </c>
      <c r="H294" s="12">
        <v>0</v>
      </c>
      <c r="I294" s="12">
        <v>0</v>
      </c>
      <c r="J294" s="11">
        <v>0.9086424059783372</v>
      </c>
      <c r="K294" s="11">
        <v>0</v>
      </c>
      <c r="L294" s="12">
        <v>0.9313160223119831</v>
      </c>
      <c r="M294" s="12">
        <v>0.9224384729747994</v>
      </c>
      <c r="N294" s="12">
        <v>0.8997250021262723</v>
      </c>
      <c r="O294" s="11">
        <v>0.9243813851569382</v>
      </c>
      <c r="P294" s="11">
        <v>0</v>
      </c>
      <c r="Q294" s="12">
        <v>0</v>
      </c>
      <c r="R294" s="12">
        <v>0</v>
      </c>
      <c r="S294" s="13">
        <v>0</v>
      </c>
      <c r="T294"/>
      <c r="U294"/>
    </row>
    <row r="295" spans="1:19" ht="12.75">
      <c r="A295" s="51"/>
      <c r="B295" s="5" t="s">
        <v>595</v>
      </c>
      <c r="C295" s="14">
        <v>0.8238135437040384</v>
      </c>
      <c r="D295" s="453">
        <v>0.9161063154694068</v>
      </c>
      <c r="E295" s="453">
        <v>0</v>
      </c>
      <c r="F295" s="453">
        <v>0.972354499696106</v>
      </c>
      <c r="G295" s="453">
        <v>0.9379428276012911</v>
      </c>
      <c r="H295" s="453">
        <v>0</v>
      </c>
      <c r="I295" s="453">
        <v>0</v>
      </c>
      <c r="J295" s="14">
        <v>0.9041054300895399</v>
      </c>
      <c r="K295" s="14">
        <v>0</v>
      </c>
      <c r="L295" s="453">
        <v>0.9159010151275467</v>
      </c>
      <c r="M295" s="453">
        <v>0.9004236878842754</v>
      </c>
      <c r="N295" s="453">
        <v>0.8838004579587837</v>
      </c>
      <c r="O295" s="14">
        <v>0.9051375736422927</v>
      </c>
      <c r="P295" s="14">
        <v>0</v>
      </c>
      <c r="Q295" s="453">
        <v>0</v>
      </c>
      <c r="R295" s="453">
        <v>0</v>
      </c>
      <c r="S295" s="15">
        <v>0</v>
      </c>
    </row>
    <row r="296" spans="1:19" ht="12.75">
      <c r="A296" s="51"/>
      <c r="B296" s="476" t="s">
        <v>641</v>
      </c>
      <c r="C296" s="455">
        <v>1.3564244243627566</v>
      </c>
      <c r="D296" s="530">
        <v>-1.4692186882728664</v>
      </c>
      <c r="E296" s="530">
        <v>0</v>
      </c>
      <c r="F296" s="530">
        <v>0.3326401600304396</v>
      </c>
      <c r="G296" s="530">
        <v>-0.5813299182283682</v>
      </c>
      <c r="H296" s="530">
        <v>0</v>
      </c>
      <c r="I296" s="530">
        <v>0</v>
      </c>
      <c r="J296" s="455">
        <v>-0.4536975888797312</v>
      </c>
      <c r="K296" s="455">
        <v>0</v>
      </c>
      <c r="L296" s="530">
        <v>-1.5415007184436336</v>
      </c>
      <c r="M296" s="530">
        <v>-2.2014785090524014</v>
      </c>
      <c r="N296" s="530">
        <v>-1.5924544167488563</v>
      </c>
      <c r="O296" s="455">
        <v>-1.9243811514645492</v>
      </c>
      <c r="P296" s="455">
        <v>0</v>
      </c>
      <c r="Q296" s="530">
        <v>0</v>
      </c>
      <c r="R296" s="530">
        <v>0</v>
      </c>
      <c r="S296" s="456">
        <v>0</v>
      </c>
    </row>
    <row r="297" spans="1:19" ht="12.75">
      <c r="A297" s="51"/>
      <c r="B297" s="5" t="s">
        <v>597</v>
      </c>
      <c r="C297" s="14">
        <v>0.11472348949769574</v>
      </c>
      <c r="D297" s="453">
        <v>0.034192449162573864</v>
      </c>
      <c r="E297" s="453">
        <v>0</v>
      </c>
      <c r="F297" s="453">
        <v>0.008669717570064118</v>
      </c>
      <c r="G297" s="453">
        <v>0.03127382638056857</v>
      </c>
      <c r="H297" s="453">
        <v>0</v>
      </c>
      <c r="I297" s="453">
        <v>0</v>
      </c>
      <c r="J297" s="14">
        <v>0.049554197914373106</v>
      </c>
      <c r="K297" s="14">
        <v>0</v>
      </c>
      <c r="L297" s="453">
        <v>0</v>
      </c>
      <c r="M297" s="453">
        <v>0</v>
      </c>
      <c r="N297" s="453">
        <v>0</v>
      </c>
      <c r="O297" s="14">
        <v>0</v>
      </c>
      <c r="P297" s="14">
        <v>0</v>
      </c>
      <c r="Q297" s="453">
        <v>0</v>
      </c>
      <c r="R297" s="453">
        <v>0</v>
      </c>
      <c r="S297" s="15">
        <v>0</v>
      </c>
    </row>
    <row r="298" spans="1:19" ht="12.75">
      <c r="A298" s="51"/>
      <c r="B298" s="5" t="s">
        <v>599</v>
      </c>
      <c r="C298" s="14">
        <v>0.1068925337819762</v>
      </c>
      <c r="D298" s="453">
        <v>0.03635532262070278</v>
      </c>
      <c r="E298" s="453">
        <v>0</v>
      </c>
      <c r="F298" s="453">
        <v>0.009541680681194568</v>
      </c>
      <c r="G298" s="453">
        <v>0.039489120276781746</v>
      </c>
      <c r="H298" s="453">
        <v>0</v>
      </c>
      <c r="I298" s="453">
        <v>0</v>
      </c>
      <c r="J298" s="14">
        <v>0.049302304752019854</v>
      </c>
      <c r="K298" s="14">
        <v>0</v>
      </c>
      <c r="L298" s="453">
        <v>0</v>
      </c>
      <c r="M298" s="453">
        <v>0</v>
      </c>
      <c r="N298" s="453">
        <v>0</v>
      </c>
      <c r="O298" s="14">
        <v>0</v>
      </c>
      <c r="P298" s="14">
        <v>0</v>
      </c>
      <c r="Q298" s="453">
        <v>0</v>
      </c>
      <c r="R298" s="453">
        <v>0</v>
      </c>
      <c r="S298" s="15">
        <v>0</v>
      </c>
    </row>
    <row r="299" spans="1:19" ht="12.75">
      <c r="A299" s="51"/>
      <c r="B299" s="5" t="s">
        <v>649</v>
      </c>
      <c r="C299" s="14">
        <v>-0.783095571571954</v>
      </c>
      <c r="D299" s="453">
        <v>0.21628734581289194</v>
      </c>
      <c r="E299" s="453">
        <v>0</v>
      </c>
      <c r="F299" s="453">
        <v>0.08719631111304502</v>
      </c>
      <c r="G299" s="453">
        <v>0.8215293896213178</v>
      </c>
      <c r="H299" s="453">
        <v>0</v>
      </c>
      <c r="I299" s="453">
        <v>0</v>
      </c>
      <c r="J299" s="14">
        <v>-0.025189316235325193</v>
      </c>
      <c r="K299" s="14">
        <v>0</v>
      </c>
      <c r="L299" s="453">
        <v>0</v>
      </c>
      <c r="M299" s="453">
        <v>0</v>
      </c>
      <c r="N299" s="453">
        <v>0</v>
      </c>
      <c r="O299" s="14">
        <v>0</v>
      </c>
      <c r="P299" s="14">
        <v>0</v>
      </c>
      <c r="Q299" s="453">
        <v>0</v>
      </c>
      <c r="R299" s="453">
        <v>0</v>
      </c>
      <c r="S299" s="15">
        <v>0</v>
      </c>
    </row>
    <row r="300" spans="1:19" ht="12.75">
      <c r="A300" s="51"/>
      <c r="B300" s="5" t="s">
        <v>603</v>
      </c>
      <c r="C300" s="14">
        <v>0.06266645052222042</v>
      </c>
      <c r="D300" s="453">
        <v>0.02077974645414689</v>
      </c>
      <c r="E300" s="453">
        <v>0</v>
      </c>
      <c r="F300" s="453">
        <v>0.014471666445295048</v>
      </c>
      <c r="G300" s="453">
        <v>0.012641596775950332</v>
      </c>
      <c r="H300" s="453">
        <v>0</v>
      </c>
      <c r="I300" s="453">
        <v>0</v>
      </c>
      <c r="J300" s="14">
        <v>0.028890256551738776</v>
      </c>
      <c r="K300" s="14">
        <v>0</v>
      </c>
      <c r="L300" s="453">
        <v>0.06868397768801693</v>
      </c>
      <c r="M300" s="453">
        <v>0.07756152702520058</v>
      </c>
      <c r="N300" s="453">
        <v>0.10027499787372778</v>
      </c>
      <c r="O300" s="14">
        <v>0.0756186148430618</v>
      </c>
      <c r="P300" s="14">
        <v>0</v>
      </c>
      <c r="Q300" s="453">
        <v>0</v>
      </c>
      <c r="R300" s="453">
        <v>0</v>
      </c>
      <c r="S300" s="15">
        <v>0</v>
      </c>
    </row>
    <row r="301" spans="1:19" ht="12.75">
      <c r="A301" s="51"/>
      <c r="B301" s="5" t="s">
        <v>605</v>
      </c>
      <c r="C301" s="14">
        <v>0.061051298666555696</v>
      </c>
      <c r="D301" s="453">
        <v>0.03150887470957289</v>
      </c>
      <c r="E301" s="453">
        <v>0</v>
      </c>
      <c r="F301" s="453">
        <v>0.014876052564806128</v>
      </c>
      <c r="G301" s="453">
        <v>0.01270571392591316</v>
      </c>
      <c r="H301" s="453">
        <v>0</v>
      </c>
      <c r="I301" s="453">
        <v>0</v>
      </c>
      <c r="J301" s="14">
        <v>0.03432958296343323</v>
      </c>
      <c r="K301" s="14">
        <v>0</v>
      </c>
      <c r="L301" s="453">
        <v>0.08409898487245324</v>
      </c>
      <c r="M301" s="453">
        <v>0.09957631211572465</v>
      </c>
      <c r="N301" s="453">
        <v>0.1161995420412163</v>
      </c>
      <c r="O301" s="14">
        <v>0.09486242635770724</v>
      </c>
      <c r="P301" s="14">
        <v>0</v>
      </c>
      <c r="Q301" s="453">
        <v>0</v>
      </c>
      <c r="R301" s="453">
        <v>0</v>
      </c>
      <c r="S301" s="15">
        <v>0</v>
      </c>
    </row>
    <row r="302" spans="1:19" ht="12.75">
      <c r="A302" s="51"/>
      <c r="B302" s="5" t="s">
        <v>651</v>
      </c>
      <c r="C302" s="14">
        <v>-0.16151518556647218</v>
      </c>
      <c r="D302" s="453">
        <v>1.0729128255426004</v>
      </c>
      <c r="E302" s="453">
        <v>0</v>
      </c>
      <c r="F302" s="453">
        <v>0.04043861195110795</v>
      </c>
      <c r="G302" s="453">
        <v>0.00641171499628293</v>
      </c>
      <c r="H302" s="453">
        <v>0</v>
      </c>
      <c r="I302" s="453">
        <v>0</v>
      </c>
      <c r="J302" s="14">
        <v>0.5439326411694457</v>
      </c>
      <c r="K302" s="14">
        <v>0</v>
      </c>
      <c r="L302" s="453">
        <v>1.541500718443631</v>
      </c>
      <c r="M302" s="453">
        <v>2.201478509052407</v>
      </c>
      <c r="N302" s="453">
        <v>1.5924544167488521</v>
      </c>
      <c r="O302" s="14">
        <v>1.9243811514645437</v>
      </c>
      <c r="P302" s="14">
        <v>0</v>
      </c>
      <c r="Q302" s="453">
        <v>0</v>
      </c>
      <c r="R302" s="453">
        <v>0</v>
      </c>
      <c r="S302" s="15">
        <v>0</v>
      </c>
    </row>
    <row r="303" spans="1:19" ht="12.75">
      <c r="A303" s="51"/>
      <c r="B303" s="5" t="s">
        <v>607</v>
      </c>
      <c r="C303" s="14">
        <v>0.0091707000764225</v>
      </c>
      <c r="D303" s="453">
        <v>0.010374576697973563</v>
      </c>
      <c r="E303" s="453">
        <v>0</v>
      </c>
      <c r="F303" s="453">
        <v>0.00012678556335051982</v>
      </c>
      <c r="G303" s="453">
        <v>0</v>
      </c>
      <c r="H303" s="453">
        <v>0</v>
      </c>
      <c r="I303" s="453">
        <v>0</v>
      </c>
      <c r="J303" s="14">
        <v>0.0079623621541751</v>
      </c>
      <c r="K303" s="14">
        <v>0</v>
      </c>
      <c r="L303" s="453">
        <v>0</v>
      </c>
      <c r="M303" s="453">
        <v>0</v>
      </c>
      <c r="N303" s="453">
        <v>0</v>
      </c>
      <c r="O303" s="14">
        <v>0</v>
      </c>
      <c r="P303" s="14">
        <v>0</v>
      </c>
      <c r="Q303" s="453">
        <v>0</v>
      </c>
      <c r="R303" s="453">
        <v>0</v>
      </c>
      <c r="S303" s="15">
        <v>0</v>
      </c>
    </row>
    <row r="304" spans="1:19" ht="12.75">
      <c r="A304" s="51"/>
      <c r="B304" s="5" t="s">
        <v>609</v>
      </c>
      <c r="C304" s="14">
        <v>0.005876547907092878</v>
      </c>
      <c r="D304" s="453">
        <v>0.009811271705146566</v>
      </c>
      <c r="E304" s="453">
        <v>0</v>
      </c>
      <c r="F304" s="485">
        <v>0.0018941740869903875</v>
      </c>
      <c r="G304" s="453">
        <v>0</v>
      </c>
      <c r="H304" s="453">
        <v>0</v>
      </c>
      <c r="I304" s="453">
        <v>0</v>
      </c>
      <c r="J304" s="14">
        <v>0.007081007462981452</v>
      </c>
      <c r="K304" s="14">
        <v>0</v>
      </c>
      <c r="L304" s="453">
        <v>0</v>
      </c>
      <c r="M304" s="453">
        <v>0</v>
      </c>
      <c r="N304" s="453">
        <v>0</v>
      </c>
      <c r="O304" s="14">
        <v>0</v>
      </c>
      <c r="P304" s="14">
        <v>0</v>
      </c>
      <c r="Q304" s="453">
        <v>0</v>
      </c>
      <c r="R304" s="453">
        <v>0</v>
      </c>
      <c r="S304" s="15">
        <v>0</v>
      </c>
    </row>
    <row r="305" spans="1:19" ht="12.75">
      <c r="A305" s="51"/>
      <c r="B305" s="5" t="s">
        <v>657</v>
      </c>
      <c r="C305" s="14">
        <v>-0.32941521693296233</v>
      </c>
      <c r="D305" s="453">
        <v>-0.056330499282699655</v>
      </c>
      <c r="E305" s="453">
        <v>0</v>
      </c>
      <c r="F305" s="453">
        <v>0.1767388523639868</v>
      </c>
      <c r="G305" s="453">
        <v>0</v>
      </c>
      <c r="H305" s="453">
        <v>0</v>
      </c>
      <c r="I305" s="453">
        <v>0</v>
      </c>
      <c r="J305" s="14">
        <v>-0.08813546911936483</v>
      </c>
      <c r="K305" s="14">
        <v>0</v>
      </c>
      <c r="L305" s="453">
        <v>0</v>
      </c>
      <c r="M305" s="453">
        <v>0</v>
      </c>
      <c r="N305" s="453">
        <v>0</v>
      </c>
      <c r="O305" s="14">
        <v>0</v>
      </c>
      <c r="P305" s="14">
        <v>0</v>
      </c>
      <c r="Q305" s="453">
        <v>0</v>
      </c>
      <c r="R305" s="453">
        <v>0</v>
      </c>
      <c r="S305" s="15">
        <v>0</v>
      </c>
    </row>
    <row r="306" spans="1:19" ht="12.75">
      <c r="A306" s="51"/>
      <c r="B306" s="5" t="s">
        <v>611</v>
      </c>
      <c r="C306" s="482">
        <v>6.079062550658855E-05</v>
      </c>
      <c r="D306" s="486">
        <v>0.0038547253331701705</v>
      </c>
      <c r="E306" s="453">
        <v>0</v>
      </c>
      <c r="F306" s="485">
        <v>0.0077037323254887284</v>
      </c>
      <c r="G306" s="453">
        <v>0.003832643502886396</v>
      </c>
      <c r="H306" s="453">
        <v>0</v>
      </c>
      <c r="I306" s="453">
        <v>0</v>
      </c>
      <c r="J306" s="14">
        <v>0.0034061879080329264</v>
      </c>
      <c r="K306" s="14">
        <v>0</v>
      </c>
      <c r="L306" s="453">
        <v>0</v>
      </c>
      <c r="M306" s="453">
        <v>0</v>
      </c>
      <c r="N306" s="453">
        <v>0</v>
      </c>
      <c r="O306" s="14">
        <v>0</v>
      </c>
      <c r="P306" s="14">
        <v>0</v>
      </c>
      <c r="Q306" s="453">
        <v>0</v>
      </c>
      <c r="R306" s="453">
        <v>0</v>
      </c>
      <c r="S306" s="15">
        <v>0</v>
      </c>
    </row>
    <row r="307" spans="1:19" ht="12.75">
      <c r="A307" s="51"/>
      <c r="B307" s="5" t="s">
        <v>613</v>
      </c>
      <c r="C307" s="482">
        <v>0.00017834743268870646</v>
      </c>
      <c r="D307" s="453">
        <v>0.003589574566361288</v>
      </c>
      <c r="E307" s="453">
        <v>0</v>
      </c>
      <c r="F307" s="453">
        <v>0.0013335929709028897</v>
      </c>
      <c r="G307" s="453">
        <v>0.0035326789371474777</v>
      </c>
      <c r="H307" s="453">
        <v>0</v>
      </c>
      <c r="I307" s="453">
        <v>0</v>
      </c>
      <c r="J307" s="14">
        <v>0.002576348697468698</v>
      </c>
      <c r="K307" s="14">
        <v>0</v>
      </c>
      <c r="L307" s="453">
        <v>0</v>
      </c>
      <c r="M307" s="453">
        <v>0</v>
      </c>
      <c r="N307" s="453">
        <v>0</v>
      </c>
      <c r="O307" s="14">
        <v>0</v>
      </c>
      <c r="P307" s="14">
        <v>0</v>
      </c>
      <c r="Q307" s="453">
        <v>0</v>
      </c>
      <c r="R307" s="453">
        <v>0</v>
      </c>
      <c r="S307" s="15">
        <v>0</v>
      </c>
    </row>
    <row r="308" spans="1:19" ht="12.75">
      <c r="A308" s="51"/>
      <c r="B308" s="5" t="s">
        <v>659</v>
      </c>
      <c r="C308" s="14">
        <v>0.011755680718211791</v>
      </c>
      <c r="D308" s="453">
        <v>-0.026515076680888247</v>
      </c>
      <c r="E308" s="453">
        <v>0</v>
      </c>
      <c r="F308" s="453">
        <v>-0.6370139354585839</v>
      </c>
      <c r="G308" s="453">
        <v>-0.029996456573891817</v>
      </c>
      <c r="H308" s="453">
        <v>0</v>
      </c>
      <c r="I308" s="453">
        <v>0</v>
      </c>
      <c r="J308" s="14">
        <v>-0.08298392105642285</v>
      </c>
      <c r="K308" s="14">
        <v>0</v>
      </c>
      <c r="L308" s="453">
        <v>0</v>
      </c>
      <c r="M308" s="453">
        <v>0</v>
      </c>
      <c r="N308" s="453">
        <v>0</v>
      </c>
      <c r="O308" s="14">
        <v>0</v>
      </c>
      <c r="P308" s="14">
        <v>0</v>
      </c>
      <c r="Q308" s="453">
        <v>0</v>
      </c>
      <c r="R308" s="453">
        <v>0</v>
      </c>
      <c r="S308" s="15">
        <v>0</v>
      </c>
    </row>
    <row r="309" spans="1:19" ht="12.75">
      <c r="A309" s="51"/>
      <c r="B309" s="5" t="s">
        <v>615</v>
      </c>
      <c r="C309" s="14">
        <v>0.003129269817743915</v>
      </c>
      <c r="D309" s="453">
        <v>0</v>
      </c>
      <c r="E309" s="453">
        <v>0</v>
      </c>
      <c r="F309" s="453">
        <v>0</v>
      </c>
      <c r="G309" s="453">
        <v>0.008495806557019932</v>
      </c>
      <c r="H309" s="453">
        <v>0</v>
      </c>
      <c r="I309" s="453">
        <v>0</v>
      </c>
      <c r="J309" s="14">
        <v>0.0015445894933428126</v>
      </c>
      <c r="K309" s="14">
        <v>0</v>
      </c>
      <c r="L309" s="453">
        <v>0</v>
      </c>
      <c r="M309" s="453">
        <v>0</v>
      </c>
      <c r="N309" s="453">
        <v>0</v>
      </c>
      <c r="O309" s="14">
        <v>0</v>
      </c>
      <c r="P309" s="14">
        <v>0</v>
      </c>
      <c r="Q309" s="453">
        <v>0</v>
      </c>
      <c r="R309" s="453">
        <v>0</v>
      </c>
      <c r="S309" s="15">
        <v>0</v>
      </c>
    </row>
    <row r="310" spans="1:19" ht="12.75">
      <c r="A310" s="51"/>
      <c r="B310" s="5" t="s">
        <v>617</v>
      </c>
      <c r="C310" s="14">
        <v>0.002187728507648132</v>
      </c>
      <c r="D310" s="453">
        <v>0.0026286409288096726</v>
      </c>
      <c r="E310" s="453">
        <v>0</v>
      </c>
      <c r="F310" s="453">
        <v>0</v>
      </c>
      <c r="G310" s="453">
        <v>0.006329659258866494</v>
      </c>
      <c r="H310" s="453">
        <v>0</v>
      </c>
      <c r="I310" s="453">
        <v>0</v>
      </c>
      <c r="J310" s="14">
        <v>0.0026053260345567917</v>
      </c>
      <c r="K310" s="14">
        <v>0</v>
      </c>
      <c r="L310" s="453">
        <v>0</v>
      </c>
      <c r="M310" s="453">
        <v>0</v>
      </c>
      <c r="N310" s="453">
        <v>0</v>
      </c>
      <c r="O310" s="14">
        <v>0</v>
      </c>
      <c r="P310" s="14">
        <v>0</v>
      </c>
      <c r="Q310" s="453">
        <v>0</v>
      </c>
      <c r="R310" s="453">
        <v>0</v>
      </c>
      <c r="S310" s="15">
        <v>0</v>
      </c>
    </row>
    <row r="311" spans="1:19" ht="12.75">
      <c r="A311" s="51"/>
      <c r="B311" s="5" t="s">
        <v>645</v>
      </c>
      <c r="C311" s="14">
        <v>-0.0941541310095783</v>
      </c>
      <c r="D311" s="453">
        <v>0</v>
      </c>
      <c r="E311" s="453">
        <v>0</v>
      </c>
      <c r="F311" s="453">
        <v>0</v>
      </c>
      <c r="G311" s="453">
        <v>-0.2166147298153438</v>
      </c>
      <c r="H311" s="453">
        <v>0</v>
      </c>
      <c r="I311" s="453">
        <v>0</v>
      </c>
      <c r="J311" s="14">
        <v>0.10607365412139791</v>
      </c>
      <c r="K311" s="14">
        <v>0</v>
      </c>
      <c r="L311" s="453">
        <v>0</v>
      </c>
      <c r="M311" s="453">
        <v>0</v>
      </c>
      <c r="N311" s="453">
        <v>0</v>
      </c>
      <c r="O311" s="14">
        <v>0</v>
      </c>
      <c r="P311" s="14">
        <v>0</v>
      </c>
      <c r="Q311" s="453">
        <v>0</v>
      </c>
      <c r="R311" s="453">
        <v>0</v>
      </c>
      <c r="S311" s="15">
        <v>0</v>
      </c>
    </row>
    <row r="312" spans="1:19" ht="12.75">
      <c r="A312" s="51"/>
      <c r="B312" s="5" t="s">
        <v>601</v>
      </c>
      <c r="C312" s="14">
        <v>0.7401769853815942</v>
      </c>
      <c r="D312" s="453">
        <v>0.8406031045831217</v>
      </c>
      <c r="E312" s="453">
        <v>0</v>
      </c>
      <c r="F312" s="453">
        <v>0.8698587061339147</v>
      </c>
      <c r="G312" s="453">
        <v>0.5950801100501699</v>
      </c>
      <c r="H312" s="453">
        <v>0</v>
      </c>
      <c r="I312" s="453">
        <v>0</v>
      </c>
      <c r="J312" s="14">
        <v>0.8053818386774585</v>
      </c>
      <c r="K312" s="14">
        <v>0</v>
      </c>
      <c r="L312" s="453">
        <v>0</v>
      </c>
      <c r="M312" s="453">
        <v>0</v>
      </c>
      <c r="N312" s="453">
        <v>0</v>
      </c>
      <c r="O312" s="14">
        <v>0</v>
      </c>
      <c r="P312" s="14">
        <v>0</v>
      </c>
      <c r="Q312" s="453">
        <v>0</v>
      </c>
      <c r="R312" s="453">
        <v>0</v>
      </c>
      <c r="S312" s="15">
        <v>0</v>
      </c>
    </row>
    <row r="313" spans="1:19" ht="12.75">
      <c r="A313" s="51"/>
      <c r="B313" s="5" t="s">
        <v>619</v>
      </c>
      <c r="C313" s="14">
        <v>0.7459597247004843</v>
      </c>
      <c r="D313" s="453">
        <v>0.8261297129706141</v>
      </c>
      <c r="E313" s="453">
        <v>0</v>
      </c>
      <c r="F313" s="453">
        <v>0.8580097584976834</v>
      </c>
      <c r="G313" s="453">
        <v>0.6964769647696477</v>
      </c>
      <c r="H313" s="453">
        <v>0</v>
      </c>
      <c r="I313" s="453">
        <v>0</v>
      </c>
      <c r="J313" s="14">
        <v>0.8038008598666584</v>
      </c>
      <c r="K313" s="14">
        <v>0</v>
      </c>
      <c r="L313" s="453">
        <v>0</v>
      </c>
      <c r="M313" s="453">
        <v>0</v>
      </c>
      <c r="N313" s="453">
        <v>0</v>
      </c>
      <c r="O313" s="14">
        <v>0</v>
      </c>
      <c r="P313" s="14">
        <v>0</v>
      </c>
      <c r="Q313" s="453">
        <v>0</v>
      </c>
      <c r="R313" s="453">
        <v>0</v>
      </c>
      <c r="S313" s="15">
        <v>0</v>
      </c>
    </row>
    <row r="314" spans="1:19" ht="13.5" thickBot="1">
      <c r="A314" s="51"/>
      <c r="B314" s="5" t="s">
        <v>643</v>
      </c>
      <c r="C314" s="14">
        <v>0.5782739318890173</v>
      </c>
      <c r="D314" s="453">
        <v>-1.4473391612507602</v>
      </c>
      <c r="E314" s="453">
        <v>0</v>
      </c>
      <c r="F314" s="453">
        <v>-1.1848947636231344</v>
      </c>
      <c r="G314" s="453">
        <v>10.139685471947779</v>
      </c>
      <c r="H314" s="453">
        <v>0</v>
      </c>
      <c r="I314" s="453">
        <v>0</v>
      </c>
      <c r="J314" s="14">
        <v>-0.15809788108001044</v>
      </c>
      <c r="K314" s="14">
        <v>0</v>
      </c>
      <c r="L314" s="453">
        <v>0</v>
      </c>
      <c r="M314" s="453">
        <v>0</v>
      </c>
      <c r="N314" s="453">
        <v>0</v>
      </c>
      <c r="O314" s="14">
        <v>0</v>
      </c>
      <c r="P314" s="14">
        <v>0</v>
      </c>
      <c r="Q314" s="453">
        <v>0</v>
      </c>
      <c r="R314" s="453">
        <v>0</v>
      </c>
      <c r="S314" s="15">
        <v>0</v>
      </c>
    </row>
    <row r="315" spans="1:19" ht="12.75">
      <c r="A315" s="51"/>
      <c r="B315" s="5" t="s">
        <v>621</v>
      </c>
      <c r="C315" s="14">
        <v>0.15151317612164078</v>
      </c>
      <c r="D315" s="453">
        <v>0.09396547525448258</v>
      </c>
      <c r="E315" s="483">
        <v>0</v>
      </c>
      <c r="F315" s="453">
        <v>0.0496834514276131</v>
      </c>
      <c r="G315" s="453">
        <v>0.36802071532610453</v>
      </c>
      <c r="H315" s="453">
        <v>0</v>
      </c>
      <c r="I315" s="453">
        <v>0</v>
      </c>
      <c r="J315" s="14">
        <v>0.11825871450891655</v>
      </c>
      <c r="K315" s="14">
        <v>0</v>
      </c>
      <c r="L315" s="453">
        <v>0</v>
      </c>
      <c r="M315" s="453">
        <v>0</v>
      </c>
      <c r="N315" s="453">
        <v>0</v>
      </c>
      <c r="O315" s="14">
        <v>0</v>
      </c>
      <c r="P315" s="14">
        <v>0</v>
      </c>
      <c r="Q315" s="453">
        <v>0</v>
      </c>
      <c r="R315" s="453">
        <v>0</v>
      </c>
      <c r="S315" s="15">
        <v>0</v>
      </c>
    </row>
    <row r="316" spans="1:19" ht="12.75">
      <c r="A316" s="51"/>
      <c r="B316" s="5" t="s">
        <v>623</v>
      </c>
      <c r="C316" s="14">
        <v>0.1485937632764041</v>
      </c>
      <c r="D316" s="453">
        <v>0.08800049169916206</v>
      </c>
      <c r="E316" s="479">
        <v>0</v>
      </c>
      <c r="F316" s="453">
        <v>0.04711140268153676</v>
      </c>
      <c r="G316" s="453">
        <v>0.27018970189701896</v>
      </c>
      <c r="H316" s="453">
        <v>0</v>
      </c>
      <c r="I316" s="453">
        <v>0</v>
      </c>
      <c r="J316" s="14">
        <v>0.10704716804785346</v>
      </c>
      <c r="K316" s="14">
        <v>0</v>
      </c>
      <c r="L316" s="453">
        <v>0</v>
      </c>
      <c r="M316" s="453">
        <v>0</v>
      </c>
      <c r="N316" s="453">
        <v>0</v>
      </c>
      <c r="O316" s="14">
        <v>0</v>
      </c>
      <c r="P316" s="14">
        <v>0</v>
      </c>
      <c r="Q316" s="453">
        <v>0</v>
      </c>
      <c r="R316" s="453">
        <v>0</v>
      </c>
      <c r="S316" s="15">
        <v>0</v>
      </c>
    </row>
    <row r="317" spans="1:19" ht="13.5" thickBot="1">
      <c r="A317" s="51"/>
      <c r="B317" s="5" t="s">
        <v>647</v>
      </c>
      <c r="C317" s="14">
        <v>-0.29194128452366686</v>
      </c>
      <c r="D317" s="453">
        <v>-0.5964983555320519</v>
      </c>
      <c r="E317" s="484">
        <v>0</v>
      </c>
      <c r="F317" s="453">
        <v>-0.25720487460763397</v>
      </c>
      <c r="G317" s="453">
        <v>-9.783101342908557</v>
      </c>
      <c r="H317" s="453">
        <v>0</v>
      </c>
      <c r="I317" s="453">
        <v>0</v>
      </c>
      <c r="J317" s="14">
        <v>-1.1211546461063093</v>
      </c>
      <c r="K317" s="14">
        <v>0</v>
      </c>
      <c r="L317" s="453">
        <v>0</v>
      </c>
      <c r="M317" s="453">
        <v>0</v>
      </c>
      <c r="N317" s="453">
        <v>0</v>
      </c>
      <c r="O317" s="14">
        <v>0</v>
      </c>
      <c r="P317" s="14">
        <v>0</v>
      </c>
      <c r="Q317" s="453">
        <v>0</v>
      </c>
      <c r="R317" s="453">
        <v>0</v>
      </c>
      <c r="S317" s="15">
        <v>0</v>
      </c>
    </row>
    <row r="318" spans="1:19" ht="12.75">
      <c r="A318" s="51"/>
      <c r="B318" s="5" t="s">
        <v>625</v>
      </c>
      <c r="C318" s="14">
        <v>0.08102866641677939</v>
      </c>
      <c r="D318" s="502">
        <v>0.04229664006456865</v>
      </c>
      <c r="E318" s="453">
        <v>0</v>
      </c>
      <c r="F318" s="453">
        <v>0.07211437675569159</v>
      </c>
      <c r="G318" s="453">
        <v>0.015050979122835411</v>
      </c>
      <c r="H318" s="453">
        <v>0</v>
      </c>
      <c r="I318" s="453">
        <v>0</v>
      </c>
      <c r="J318" s="14">
        <v>0.0536982009424227</v>
      </c>
      <c r="K318" s="14">
        <v>0</v>
      </c>
      <c r="L318" s="453">
        <v>0</v>
      </c>
      <c r="M318" s="453">
        <v>0</v>
      </c>
      <c r="N318" s="453">
        <v>0</v>
      </c>
      <c r="O318" s="14">
        <v>0</v>
      </c>
      <c r="P318" s="14">
        <v>0</v>
      </c>
      <c r="Q318" s="453">
        <v>0</v>
      </c>
      <c r="R318" s="453">
        <v>0</v>
      </c>
      <c r="S318" s="15">
        <v>0</v>
      </c>
    </row>
    <row r="319" spans="1:19" ht="12.75">
      <c r="A319" s="51"/>
      <c r="B319" s="5" t="s">
        <v>627</v>
      </c>
      <c r="C319" s="14">
        <v>0.08296371824284136</v>
      </c>
      <c r="D319" s="503">
        <v>0.07837138310876796</v>
      </c>
      <c r="E319" s="453">
        <v>0</v>
      </c>
      <c r="F319" s="453">
        <v>0.08995858788798229</v>
      </c>
      <c r="G319" s="453">
        <v>0.014905149051490514</v>
      </c>
      <c r="H319" s="453">
        <v>0</v>
      </c>
      <c r="I319" s="453">
        <v>0</v>
      </c>
      <c r="J319" s="14">
        <v>0.07774939248551312</v>
      </c>
      <c r="K319" s="14">
        <v>0</v>
      </c>
      <c r="L319" s="453">
        <v>0</v>
      </c>
      <c r="M319" s="453">
        <v>0</v>
      </c>
      <c r="N319" s="453">
        <v>0</v>
      </c>
      <c r="O319" s="14">
        <v>0</v>
      </c>
      <c r="P319" s="14">
        <v>0</v>
      </c>
      <c r="Q319" s="453">
        <v>0</v>
      </c>
      <c r="R319" s="453">
        <v>0</v>
      </c>
      <c r="S319" s="15">
        <v>0</v>
      </c>
    </row>
    <row r="320" spans="1:19" ht="12.75">
      <c r="A320" s="51"/>
      <c r="B320" s="5" t="s">
        <v>653</v>
      </c>
      <c r="C320" s="14">
        <v>0.1935051826061976</v>
      </c>
      <c r="D320" s="505">
        <v>3.6074743044199304</v>
      </c>
      <c r="E320" s="453">
        <v>0</v>
      </c>
      <c r="F320" s="453">
        <v>1.7844211132290706</v>
      </c>
      <c r="G320" s="453">
        <v>-0.014583007134489658</v>
      </c>
      <c r="H320" s="453">
        <v>0</v>
      </c>
      <c r="I320" s="453">
        <v>0</v>
      </c>
      <c r="J320" s="14">
        <v>2.405119154309042</v>
      </c>
      <c r="K320" s="14">
        <v>0</v>
      </c>
      <c r="L320" s="453">
        <v>0</v>
      </c>
      <c r="M320" s="453">
        <v>0</v>
      </c>
      <c r="N320" s="453">
        <v>0</v>
      </c>
      <c r="O320" s="14">
        <v>0</v>
      </c>
      <c r="P320" s="14">
        <v>0</v>
      </c>
      <c r="Q320" s="453">
        <v>0</v>
      </c>
      <c r="R320" s="453">
        <v>0</v>
      </c>
      <c r="S320" s="15">
        <v>0</v>
      </c>
    </row>
    <row r="321" spans="1:19" ht="12.75">
      <c r="A321" s="51"/>
      <c r="B321" s="5" t="s">
        <v>629</v>
      </c>
      <c r="C321" s="14">
        <v>0.026710777203761346</v>
      </c>
      <c r="D321" s="453">
        <v>0.008544213521844103</v>
      </c>
      <c r="E321" s="453">
        <v>0</v>
      </c>
      <c r="F321" s="453">
        <v>0.002012494235042556</v>
      </c>
      <c r="G321" s="453">
        <v>0</v>
      </c>
      <c r="H321" s="453">
        <v>0</v>
      </c>
      <c r="I321" s="453">
        <v>0</v>
      </c>
      <c r="J321" s="14">
        <v>0.012080748301857078</v>
      </c>
      <c r="K321" s="14">
        <v>0</v>
      </c>
      <c r="L321" s="453">
        <v>0</v>
      </c>
      <c r="M321" s="453">
        <v>0</v>
      </c>
      <c r="N321" s="453">
        <v>0</v>
      </c>
      <c r="O321" s="14">
        <v>0</v>
      </c>
      <c r="P321" s="14">
        <v>0</v>
      </c>
      <c r="Q321" s="453">
        <v>0</v>
      </c>
      <c r="R321" s="453">
        <v>0</v>
      </c>
      <c r="S321" s="15">
        <v>0</v>
      </c>
    </row>
    <row r="322" spans="1:19" ht="12.75">
      <c r="A322" s="51"/>
      <c r="B322" s="5" t="s">
        <v>631</v>
      </c>
      <c r="C322" s="14">
        <v>0.02238083099668621</v>
      </c>
      <c r="D322" s="453">
        <v>0.005572590503377017</v>
      </c>
      <c r="E322" s="453">
        <v>0</v>
      </c>
      <c r="F322" s="453">
        <v>0</v>
      </c>
      <c r="G322" s="453">
        <v>0</v>
      </c>
      <c r="H322" s="453">
        <v>0</v>
      </c>
      <c r="I322" s="453">
        <v>0</v>
      </c>
      <c r="J322" s="14">
        <v>0.008860365131783912</v>
      </c>
      <c r="K322" s="14">
        <v>0</v>
      </c>
      <c r="L322" s="453">
        <v>0</v>
      </c>
      <c r="M322" s="453">
        <v>0</v>
      </c>
      <c r="N322" s="453">
        <v>0</v>
      </c>
      <c r="O322" s="14">
        <v>0</v>
      </c>
      <c r="P322" s="14">
        <v>0</v>
      </c>
      <c r="Q322" s="453">
        <v>0</v>
      </c>
      <c r="R322" s="453">
        <v>0</v>
      </c>
      <c r="S322" s="15">
        <v>0</v>
      </c>
    </row>
    <row r="323" spans="1:19" ht="12.75">
      <c r="A323" s="51"/>
      <c r="B323" s="5" t="s">
        <v>655</v>
      </c>
      <c r="C323" s="14">
        <v>-0.4329946207075136</v>
      </c>
      <c r="D323" s="453">
        <v>-0.2971623018467086</v>
      </c>
      <c r="E323" s="453">
        <v>0</v>
      </c>
      <c r="F323" s="453">
        <v>-0.2012494235042556</v>
      </c>
      <c r="G323" s="453">
        <v>0</v>
      </c>
      <c r="H323" s="453">
        <v>0</v>
      </c>
      <c r="I323" s="453">
        <v>0</v>
      </c>
      <c r="J323" s="14">
        <v>-0.3220383170073166</v>
      </c>
      <c r="K323" s="14">
        <v>0</v>
      </c>
      <c r="L323" s="453">
        <v>0</v>
      </c>
      <c r="M323" s="453">
        <v>0</v>
      </c>
      <c r="N323" s="453">
        <v>0</v>
      </c>
      <c r="O323" s="14">
        <v>0</v>
      </c>
      <c r="P323" s="14">
        <v>0</v>
      </c>
      <c r="Q323" s="453">
        <v>0</v>
      </c>
      <c r="R323" s="453">
        <v>0</v>
      </c>
      <c r="S323" s="15">
        <v>0</v>
      </c>
    </row>
    <row r="324" spans="1:19" ht="12.75">
      <c r="A324" s="51"/>
      <c r="B324" s="5" t="s">
        <v>633</v>
      </c>
      <c r="C324" s="14">
        <v>0</v>
      </c>
      <c r="D324" s="453">
        <v>0.014590566575982967</v>
      </c>
      <c r="E324" s="453">
        <v>0</v>
      </c>
      <c r="F324" s="453">
        <v>0.0063309714477380406</v>
      </c>
      <c r="G324" s="453">
        <v>0.02184819550089011</v>
      </c>
      <c r="H324" s="453">
        <v>0</v>
      </c>
      <c r="I324" s="453">
        <v>0</v>
      </c>
      <c r="J324" s="14">
        <v>0.010435445702942065</v>
      </c>
      <c r="K324" s="14">
        <v>0</v>
      </c>
      <c r="L324" s="453">
        <v>0</v>
      </c>
      <c r="M324" s="453">
        <v>0</v>
      </c>
      <c r="N324" s="453">
        <v>0</v>
      </c>
      <c r="O324" s="14">
        <v>0</v>
      </c>
      <c r="P324" s="14">
        <v>0</v>
      </c>
      <c r="Q324" s="453">
        <v>0</v>
      </c>
      <c r="R324" s="453">
        <v>0</v>
      </c>
      <c r="S324" s="15">
        <v>0</v>
      </c>
    </row>
    <row r="325" spans="1:19" ht="12.75">
      <c r="A325" s="51"/>
      <c r="B325" s="5" t="s">
        <v>635</v>
      </c>
      <c r="C325" s="14">
        <v>0</v>
      </c>
      <c r="D325" s="453">
        <v>0.0017209470672193729</v>
      </c>
      <c r="E325" s="485">
        <v>0</v>
      </c>
      <c r="F325" s="453">
        <v>0.004920250932797573</v>
      </c>
      <c r="G325" s="453">
        <v>0.01842818428184282</v>
      </c>
      <c r="H325" s="453">
        <v>0</v>
      </c>
      <c r="I325" s="453">
        <v>0</v>
      </c>
      <c r="J325" s="14">
        <v>0.0023926724406505076</v>
      </c>
      <c r="K325" s="14">
        <v>0</v>
      </c>
      <c r="L325" s="453">
        <v>0</v>
      </c>
      <c r="M325" s="453">
        <v>0</v>
      </c>
      <c r="N325" s="453">
        <v>0</v>
      </c>
      <c r="O325" s="14">
        <v>0</v>
      </c>
      <c r="P325" s="14">
        <v>0</v>
      </c>
      <c r="Q325" s="453">
        <v>0</v>
      </c>
      <c r="R325" s="453">
        <v>0</v>
      </c>
      <c r="S325" s="15">
        <v>0</v>
      </c>
    </row>
    <row r="326" spans="1:19" ht="12.75">
      <c r="A326" s="51"/>
      <c r="B326" s="5" t="s">
        <v>661</v>
      </c>
      <c r="C326" s="14">
        <v>0</v>
      </c>
      <c r="D326" s="453">
        <v>-1.2869619508763595</v>
      </c>
      <c r="E326" s="453">
        <v>0</v>
      </c>
      <c r="F326" s="453">
        <v>-0.14107205149404678</v>
      </c>
      <c r="G326" s="453">
        <v>-0.34200112190472914</v>
      </c>
      <c r="H326" s="453">
        <v>0</v>
      </c>
      <c r="I326" s="453">
        <v>0</v>
      </c>
      <c r="J326" s="14">
        <v>-0.8042773262291558</v>
      </c>
      <c r="K326" s="14">
        <v>0</v>
      </c>
      <c r="L326" s="453">
        <v>0</v>
      </c>
      <c r="M326" s="453">
        <v>0</v>
      </c>
      <c r="N326" s="453">
        <v>0</v>
      </c>
      <c r="O326" s="14">
        <v>0</v>
      </c>
      <c r="P326" s="14">
        <v>0</v>
      </c>
      <c r="Q326" s="453">
        <v>0</v>
      </c>
      <c r="R326" s="453">
        <v>0</v>
      </c>
      <c r="S326" s="15">
        <v>0</v>
      </c>
    </row>
    <row r="327" spans="1:19" ht="12.75">
      <c r="A327" s="51"/>
      <c r="B327" s="5" t="s">
        <v>637</v>
      </c>
      <c r="C327" s="482">
        <v>0.0005703948762243119</v>
      </c>
      <c r="D327" s="453">
        <v>0</v>
      </c>
      <c r="E327" s="453">
        <v>0</v>
      </c>
      <c r="F327" s="453">
        <v>0</v>
      </c>
      <c r="G327" s="453">
        <v>0</v>
      </c>
      <c r="H327" s="453">
        <v>0</v>
      </c>
      <c r="I327" s="453">
        <v>0</v>
      </c>
      <c r="J327" s="14">
        <v>0.00014505186640308672</v>
      </c>
      <c r="K327" s="14">
        <v>0</v>
      </c>
      <c r="L327" s="453">
        <v>0</v>
      </c>
      <c r="M327" s="453">
        <v>0</v>
      </c>
      <c r="N327" s="453">
        <v>0</v>
      </c>
      <c r="O327" s="14">
        <v>0</v>
      </c>
      <c r="P327" s="14">
        <v>0</v>
      </c>
      <c r="Q327" s="453">
        <v>0</v>
      </c>
      <c r="R327" s="453">
        <v>0</v>
      </c>
      <c r="S327" s="15">
        <v>0</v>
      </c>
    </row>
    <row r="328" spans="1:19" ht="12.75">
      <c r="A328" s="51"/>
      <c r="B328" s="5" t="s">
        <v>639</v>
      </c>
      <c r="C328" s="14">
        <v>0.00010196278358399184</v>
      </c>
      <c r="D328" s="453">
        <v>0.00020487465085944917</v>
      </c>
      <c r="E328" s="453">
        <v>0</v>
      </c>
      <c r="F328" s="453">
        <v>0</v>
      </c>
      <c r="G328" s="453">
        <v>0</v>
      </c>
      <c r="H328" s="453">
        <v>0</v>
      </c>
      <c r="I328" s="453">
        <v>0</v>
      </c>
      <c r="J328" s="14">
        <v>0.00014954202754065673</v>
      </c>
      <c r="K328" s="14">
        <v>0</v>
      </c>
      <c r="L328" s="453">
        <v>0</v>
      </c>
      <c r="M328" s="453">
        <v>0</v>
      </c>
      <c r="N328" s="453">
        <v>0</v>
      </c>
      <c r="O328" s="14">
        <v>0</v>
      </c>
      <c r="P328" s="14">
        <v>0</v>
      </c>
      <c r="Q328" s="453">
        <v>0</v>
      </c>
      <c r="R328" s="453">
        <v>0</v>
      </c>
      <c r="S328" s="15">
        <v>0</v>
      </c>
    </row>
    <row r="329" spans="1:21" s="196" customFormat="1" ht="12.75">
      <c r="A329" s="454"/>
      <c r="B329" s="5" t="s">
        <v>663</v>
      </c>
      <c r="C329" s="14">
        <v>-0.046843209264032</v>
      </c>
      <c r="D329" s="453">
        <v>0</v>
      </c>
      <c r="E329" s="453">
        <v>0</v>
      </c>
      <c r="F329" s="453">
        <v>0</v>
      </c>
      <c r="G329" s="453">
        <v>0</v>
      </c>
      <c r="H329" s="453">
        <v>0</v>
      </c>
      <c r="I329" s="453">
        <v>0</v>
      </c>
      <c r="J329" s="14">
        <v>0.0004490161137570009</v>
      </c>
      <c r="K329" s="14">
        <v>0</v>
      </c>
      <c r="L329" s="453">
        <v>0</v>
      </c>
      <c r="M329" s="453">
        <v>0</v>
      </c>
      <c r="N329" s="453">
        <v>0</v>
      </c>
      <c r="O329" s="14">
        <v>0</v>
      </c>
      <c r="P329" s="14">
        <v>0</v>
      </c>
      <c r="Q329" s="453">
        <v>0</v>
      </c>
      <c r="R329" s="453">
        <v>0</v>
      </c>
      <c r="S329" s="15">
        <v>0</v>
      </c>
      <c r="T329"/>
      <c r="U329"/>
    </row>
    <row r="330" spans="1:21" s="48" customFormat="1" ht="12.75">
      <c r="A330" s="50" t="s">
        <v>34</v>
      </c>
      <c r="B330" s="3" t="s">
        <v>593</v>
      </c>
      <c r="C330" s="11">
        <v>0.9710906167942873</v>
      </c>
      <c r="D330" s="12">
        <v>0.955785336053979</v>
      </c>
      <c r="E330" s="12">
        <v>0.9575785820771759</v>
      </c>
      <c r="F330" s="12">
        <v>0.9511325103122293</v>
      </c>
      <c r="G330" s="12">
        <v>0.8716478483080317</v>
      </c>
      <c r="H330" s="12">
        <v>0.9630336332766812</v>
      </c>
      <c r="I330" s="12">
        <v>0</v>
      </c>
      <c r="J330" s="11">
        <v>0.9587339492315866</v>
      </c>
      <c r="K330" s="11">
        <v>0</v>
      </c>
      <c r="L330" s="12">
        <v>0.7280113589379186</v>
      </c>
      <c r="M330" s="12">
        <v>0.7269397212778466</v>
      </c>
      <c r="N330" s="12">
        <v>0.7047641353949692</v>
      </c>
      <c r="O330" s="11">
        <v>0.7254398115177112</v>
      </c>
      <c r="P330" s="11">
        <v>0</v>
      </c>
      <c r="Q330" s="12">
        <v>0</v>
      </c>
      <c r="R330" s="12">
        <v>0</v>
      </c>
      <c r="S330" s="13">
        <v>0</v>
      </c>
      <c r="T330"/>
      <c r="U330"/>
    </row>
    <row r="331" spans="1:19" ht="12.75">
      <c r="A331" s="51"/>
      <c r="B331" s="5" t="s">
        <v>595</v>
      </c>
      <c r="C331" s="14">
        <v>0.9563603629288794</v>
      </c>
      <c r="D331" s="453">
        <v>0.9202545100681189</v>
      </c>
      <c r="E331" s="453">
        <v>0.9482823502010183</v>
      </c>
      <c r="F331" s="453">
        <v>0.9077348639396978</v>
      </c>
      <c r="G331" s="453">
        <v>0.8702186111305674</v>
      </c>
      <c r="H331" s="453">
        <v>0.9516060177116134</v>
      </c>
      <c r="I331" s="453">
        <v>0</v>
      </c>
      <c r="J331" s="14">
        <v>0.9448301033554659</v>
      </c>
      <c r="K331" s="14">
        <v>0</v>
      </c>
      <c r="L331" s="453">
        <v>0.7525003893849709</v>
      </c>
      <c r="M331" s="453">
        <v>0.728984034498166</v>
      </c>
      <c r="N331" s="453">
        <v>0.7035396895713357</v>
      </c>
      <c r="O331" s="14">
        <v>0.7359044984367445</v>
      </c>
      <c r="P331" s="14">
        <v>0</v>
      </c>
      <c r="Q331" s="453">
        <v>0</v>
      </c>
      <c r="R331" s="453">
        <v>0</v>
      </c>
      <c r="S331" s="15">
        <v>0</v>
      </c>
    </row>
    <row r="332" spans="1:19" ht="12.75">
      <c r="A332" s="51"/>
      <c r="B332" s="476" t="s">
        <v>641</v>
      </c>
      <c r="C332" s="455">
        <v>-1.4730253865407938</v>
      </c>
      <c r="D332" s="530">
        <v>-3.5530825985860104</v>
      </c>
      <c r="E332" s="530">
        <v>-0.929623187615769</v>
      </c>
      <c r="F332" s="530">
        <v>-4.339764637253152</v>
      </c>
      <c r="G332" s="530">
        <v>-0.14292371774642376</v>
      </c>
      <c r="H332" s="530">
        <v>-1.1427615565067883</v>
      </c>
      <c r="I332" s="530">
        <v>0</v>
      </c>
      <c r="J332" s="455">
        <v>-1.3903845876120702</v>
      </c>
      <c r="K332" s="455">
        <v>0</v>
      </c>
      <c r="L332" s="530">
        <v>2.4489030447052307</v>
      </c>
      <c r="M332" s="530">
        <v>0.20443132203193937</v>
      </c>
      <c r="N332" s="530">
        <v>-0.12244458236334577</v>
      </c>
      <c r="O332" s="455">
        <v>1.046468691903335</v>
      </c>
      <c r="P332" s="455">
        <v>0</v>
      </c>
      <c r="Q332" s="530">
        <v>0</v>
      </c>
      <c r="R332" s="530">
        <v>0</v>
      </c>
      <c r="S332" s="456">
        <v>0</v>
      </c>
    </row>
    <row r="333" spans="1:19" ht="12.75">
      <c r="A333" s="51"/>
      <c r="B333" s="5" t="s">
        <v>597</v>
      </c>
      <c r="C333" s="14">
        <v>0.022904911444873405</v>
      </c>
      <c r="D333" s="453">
        <v>0.024147816181164954</v>
      </c>
      <c r="E333" s="453">
        <v>0.022911033284585824</v>
      </c>
      <c r="F333" s="453">
        <v>0.026510870043891195</v>
      </c>
      <c r="G333" s="453">
        <v>0.06101863312199517</v>
      </c>
      <c r="H333" s="453">
        <v>0.024840036007104105</v>
      </c>
      <c r="I333" s="453">
        <v>0</v>
      </c>
      <c r="J333" s="14">
        <v>0.024321551429318633</v>
      </c>
      <c r="K333" s="14">
        <v>0</v>
      </c>
      <c r="L333" s="453">
        <v>0.17153691273041935</v>
      </c>
      <c r="M333" s="453">
        <v>0.19624509625814532</v>
      </c>
      <c r="N333" s="453">
        <v>0.21351749287666713</v>
      </c>
      <c r="O333" s="14">
        <v>0.18829755970090353</v>
      </c>
      <c r="P333" s="14">
        <v>0</v>
      </c>
      <c r="Q333" s="453">
        <v>0</v>
      </c>
      <c r="R333" s="453">
        <v>0</v>
      </c>
      <c r="S333" s="15">
        <v>0</v>
      </c>
    </row>
    <row r="334" spans="1:19" ht="12.75">
      <c r="A334" s="51"/>
      <c r="B334" s="5" t="s">
        <v>599</v>
      </c>
      <c r="C334" s="14">
        <v>0.014731336362140439</v>
      </c>
      <c r="D334" s="453">
        <v>0.01718392095216708</v>
      </c>
      <c r="E334" s="453">
        <v>0.012752880565805872</v>
      </c>
      <c r="F334" s="453">
        <v>0.05213512672452543</v>
      </c>
      <c r="G334" s="453">
        <v>0.029441292521771613</v>
      </c>
      <c r="H334" s="453">
        <v>0.03068878852949956</v>
      </c>
      <c r="I334" s="453">
        <v>0</v>
      </c>
      <c r="J334" s="14">
        <v>0.016690903456468467</v>
      </c>
      <c r="K334" s="14">
        <v>0</v>
      </c>
      <c r="L334" s="453">
        <v>0.13926970033321742</v>
      </c>
      <c r="M334" s="453">
        <v>0.1879948041384957</v>
      </c>
      <c r="N334" s="453">
        <v>0.20349913376967219</v>
      </c>
      <c r="O334" s="14">
        <v>0.17049180603246356</v>
      </c>
      <c r="P334" s="14">
        <v>0</v>
      </c>
      <c r="Q334" s="453">
        <v>0</v>
      </c>
      <c r="R334" s="453">
        <v>0</v>
      </c>
      <c r="S334" s="15">
        <v>0</v>
      </c>
    </row>
    <row r="335" spans="1:19" ht="12.75">
      <c r="A335" s="51"/>
      <c r="B335" s="5" t="s">
        <v>649</v>
      </c>
      <c r="C335" s="14">
        <v>-0.8173575082732967</v>
      </c>
      <c r="D335" s="453">
        <v>-0.6963895228997874</v>
      </c>
      <c r="E335" s="453">
        <v>-1.0158152718779951</v>
      </c>
      <c r="F335" s="453">
        <v>2.5624256680634234</v>
      </c>
      <c r="G335" s="453">
        <v>-3.1577340600223556</v>
      </c>
      <c r="H335" s="453">
        <v>0.5848752522395455</v>
      </c>
      <c r="I335" s="453">
        <v>0</v>
      </c>
      <c r="J335" s="14">
        <v>-0.7630647972850166</v>
      </c>
      <c r="K335" s="14">
        <v>0</v>
      </c>
      <c r="L335" s="453">
        <v>-3.2267212397201925</v>
      </c>
      <c r="M335" s="453">
        <v>-0.8250292119649616</v>
      </c>
      <c r="N335" s="453">
        <v>-1.0018359106994945</v>
      </c>
      <c r="O335" s="14">
        <v>-1.7805753668439976</v>
      </c>
      <c r="P335" s="14">
        <v>0</v>
      </c>
      <c r="Q335" s="453">
        <v>0</v>
      </c>
      <c r="R335" s="453">
        <v>0</v>
      </c>
      <c r="S335" s="15">
        <v>0</v>
      </c>
    </row>
    <row r="336" spans="1:19" ht="12.75">
      <c r="A336" s="51"/>
      <c r="B336" s="5" t="s">
        <v>603</v>
      </c>
      <c r="C336" s="14">
        <v>0.006004471760839326</v>
      </c>
      <c r="D336" s="453">
        <v>0.019750760487212547</v>
      </c>
      <c r="E336" s="453">
        <v>0.01716154699582025</v>
      </c>
      <c r="F336" s="453">
        <v>0.022356619643879454</v>
      </c>
      <c r="G336" s="453">
        <v>0.06733351856997315</v>
      </c>
      <c r="H336" s="453">
        <v>0.010906398907274756</v>
      </c>
      <c r="I336" s="453">
        <v>0</v>
      </c>
      <c r="J336" s="14">
        <v>0.015583874620881767</v>
      </c>
      <c r="K336" s="14">
        <v>0</v>
      </c>
      <c r="L336" s="453">
        <v>0.08263253426627125</v>
      </c>
      <c r="M336" s="453">
        <v>0.058910819758821606</v>
      </c>
      <c r="N336" s="453">
        <v>0.0495602063426211</v>
      </c>
      <c r="O336" s="14">
        <v>0.06716367330505507</v>
      </c>
      <c r="P336" s="14">
        <v>0</v>
      </c>
      <c r="Q336" s="453">
        <v>0</v>
      </c>
      <c r="R336" s="453">
        <v>0</v>
      </c>
      <c r="S336" s="15">
        <v>0</v>
      </c>
    </row>
    <row r="337" spans="1:19" ht="12.75">
      <c r="A337" s="51"/>
      <c r="B337" s="5" t="s">
        <v>605</v>
      </c>
      <c r="C337" s="14">
        <v>0.02498281886730358</v>
      </c>
      <c r="D337" s="453">
        <v>0.062172318287296954</v>
      </c>
      <c r="E337" s="453">
        <v>0.030264843452611673</v>
      </c>
      <c r="F337" s="453">
        <v>0.04013000933577677</v>
      </c>
      <c r="G337" s="453">
        <v>0.09944510595907949</v>
      </c>
      <c r="H337" s="453">
        <v>0.01747408898175877</v>
      </c>
      <c r="I337" s="453">
        <v>0</v>
      </c>
      <c r="J337" s="14">
        <v>0.032786350880616114</v>
      </c>
      <c r="K337" s="14">
        <v>0</v>
      </c>
      <c r="L337" s="453">
        <v>0.08617315426087867</v>
      </c>
      <c r="M337" s="453">
        <v>0.0637874271923887</v>
      </c>
      <c r="N337" s="453">
        <v>0.05456055189166818</v>
      </c>
      <c r="O337" s="14">
        <v>0.07164995491276671</v>
      </c>
      <c r="P337" s="14">
        <v>0</v>
      </c>
      <c r="Q337" s="453">
        <v>0</v>
      </c>
      <c r="R337" s="453">
        <v>0</v>
      </c>
      <c r="S337" s="15">
        <v>0</v>
      </c>
    </row>
    <row r="338" spans="1:19" ht="12.75">
      <c r="A338" s="51"/>
      <c r="B338" s="5" t="s">
        <v>651</v>
      </c>
      <c r="C338" s="14">
        <v>1.8978347106464253</v>
      </c>
      <c r="D338" s="453">
        <v>4.24215578000844</v>
      </c>
      <c r="E338" s="453">
        <v>1.3103296456791425</v>
      </c>
      <c r="F338" s="453">
        <v>1.7773389691897314</v>
      </c>
      <c r="G338" s="453">
        <v>3.211158738910634</v>
      </c>
      <c r="H338" s="453">
        <v>0.6567690074484014</v>
      </c>
      <c r="I338" s="453">
        <v>0</v>
      </c>
      <c r="J338" s="14">
        <v>1.7202476259734347</v>
      </c>
      <c r="K338" s="14">
        <v>0</v>
      </c>
      <c r="L338" s="453">
        <v>0.3540619994607419</v>
      </c>
      <c r="M338" s="453">
        <v>0.487660743356709</v>
      </c>
      <c r="N338" s="453">
        <v>0.5000345549047082</v>
      </c>
      <c r="O338" s="14">
        <v>0.44862816077116396</v>
      </c>
      <c r="P338" s="14">
        <v>0</v>
      </c>
      <c r="Q338" s="453">
        <v>0</v>
      </c>
      <c r="R338" s="453">
        <v>0</v>
      </c>
      <c r="S338" s="15">
        <v>0</v>
      </c>
    </row>
    <row r="339" spans="1:19" ht="12.75">
      <c r="A339" s="51"/>
      <c r="B339" s="5" t="s">
        <v>607</v>
      </c>
      <c r="C339" s="14">
        <v>0</v>
      </c>
      <c r="D339" s="485">
        <v>0.0003160872776435537</v>
      </c>
      <c r="E339" s="485">
        <v>0.0004305685011870565</v>
      </c>
      <c r="F339" s="453">
        <v>0</v>
      </c>
      <c r="G339" s="453">
        <v>0</v>
      </c>
      <c r="H339" s="453">
        <v>0.0012199318089399106</v>
      </c>
      <c r="I339" s="453">
        <v>0</v>
      </c>
      <c r="J339" s="14">
        <v>0.0003367836100220933</v>
      </c>
      <c r="K339" s="14">
        <v>0</v>
      </c>
      <c r="L339" s="453">
        <v>0.0019896873400746034</v>
      </c>
      <c r="M339" s="453">
        <v>0.0048671124256133074</v>
      </c>
      <c r="N339" s="453">
        <v>0.006273921902057111</v>
      </c>
      <c r="O339" s="14">
        <v>0.0038895149865238593</v>
      </c>
      <c r="P339" s="14">
        <v>0</v>
      </c>
      <c r="Q339" s="453">
        <v>0</v>
      </c>
      <c r="R339" s="453">
        <v>0</v>
      </c>
      <c r="S339" s="15">
        <v>0</v>
      </c>
    </row>
    <row r="340" spans="1:19" ht="12.75">
      <c r="A340" s="51"/>
      <c r="B340" s="5" t="s">
        <v>609</v>
      </c>
      <c r="C340" s="14">
        <v>0</v>
      </c>
      <c r="D340" s="485">
        <v>0.0003892506924170971</v>
      </c>
      <c r="E340" s="485">
        <v>0.000492333844931786</v>
      </c>
      <c r="F340" s="453">
        <v>0</v>
      </c>
      <c r="G340" s="453">
        <v>0.0008949903885814792</v>
      </c>
      <c r="H340" s="453">
        <v>0.00023110477712833056</v>
      </c>
      <c r="I340" s="453">
        <v>0</v>
      </c>
      <c r="J340" s="14">
        <v>0.00033284936270824606</v>
      </c>
      <c r="K340" s="14">
        <v>0</v>
      </c>
      <c r="L340" s="453">
        <v>0.0016219700785258739</v>
      </c>
      <c r="M340" s="453">
        <v>0.004440361302336532</v>
      </c>
      <c r="N340" s="453">
        <v>0.006065172133380753</v>
      </c>
      <c r="O340" s="14">
        <v>0.003489834518647868</v>
      </c>
      <c r="P340" s="14">
        <v>0</v>
      </c>
      <c r="Q340" s="453">
        <v>0</v>
      </c>
      <c r="R340" s="453">
        <v>0</v>
      </c>
      <c r="S340" s="15">
        <v>0</v>
      </c>
    </row>
    <row r="341" spans="1:19" ht="12.75">
      <c r="A341" s="51"/>
      <c r="B341" s="5" t="s">
        <v>657</v>
      </c>
      <c r="C341" s="14">
        <v>0</v>
      </c>
      <c r="D341" s="453">
        <v>0.007316341477354337</v>
      </c>
      <c r="E341" s="453">
        <v>0.006176534374472943</v>
      </c>
      <c r="F341" s="453">
        <v>0</v>
      </c>
      <c r="G341" s="453">
        <v>0</v>
      </c>
      <c r="H341" s="453">
        <v>-0.098882703181158</v>
      </c>
      <c r="I341" s="453">
        <v>0</v>
      </c>
      <c r="J341" s="14">
        <v>-0.0003934247313847224</v>
      </c>
      <c r="K341" s="14">
        <v>0</v>
      </c>
      <c r="L341" s="453">
        <v>-0.03677172615487295</v>
      </c>
      <c r="M341" s="453">
        <v>-0.042675112327677546</v>
      </c>
      <c r="N341" s="453">
        <v>-0.020874976867635807</v>
      </c>
      <c r="O341" s="14">
        <v>-0.03996804678759913</v>
      </c>
      <c r="P341" s="14">
        <v>0</v>
      </c>
      <c r="Q341" s="453">
        <v>0</v>
      </c>
      <c r="R341" s="453">
        <v>0</v>
      </c>
      <c r="S341" s="15">
        <v>0</v>
      </c>
    </row>
    <row r="342" spans="1:19" ht="12.75">
      <c r="A342" s="51"/>
      <c r="B342" s="5" t="s">
        <v>611</v>
      </c>
      <c r="C342" s="14">
        <v>0</v>
      </c>
      <c r="D342" s="453">
        <v>0</v>
      </c>
      <c r="E342" s="485">
        <v>0.0019182691412309026</v>
      </c>
      <c r="F342" s="453">
        <v>0</v>
      </c>
      <c r="G342" s="453">
        <v>0</v>
      </c>
      <c r="H342" s="453">
        <v>0</v>
      </c>
      <c r="I342" s="453">
        <v>0</v>
      </c>
      <c r="J342" s="14">
        <v>0.0010238411081908473</v>
      </c>
      <c r="K342" s="14">
        <v>0</v>
      </c>
      <c r="L342" s="453">
        <v>0.015829506725316297</v>
      </c>
      <c r="M342" s="453">
        <v>0.013037250279573281</v>
      </c>
      <c r="N342" s="453">
        <v>0.02588424348368536</v>
      </c>
      <c r="O342" s="14">
        <v>0.015209440489806061</v>
      </c>
      <c r="P342" s="14">
        <v>0</v>
      </c>
      <c r="Q342" s="453">
        <v>0</v>
      </c>
      <c r="R342" s="453">
        <v>0</v>
      </c>
      <c r="S342" s="15">
        <v>0</v>
      </c>
    </row>
    <row r="343" spans="1:19" ht="12.75">
      <c r="A343" s="51"/>
      <c r="B343" s="5" t="s">
        <v>613</v>
      </c>
      <c r="C343" s="14">
        <v>0.003925481841676632</v>
      </c>
      <c r="D343" s="453">
        <v>0</v>
      </c>
      <c r="E343" s="453">
        <v>0.008207591935632455</v>
      </c>
      <c r="F343" s="453">
        <v>0</v>
      </c>
      <c r="G343" s="453">
        <v>0</v>
      </c>
      <c r="H343" s="453">
        <v>0</v>
      </c>
      <c r="I343" s="453">
        <v>0</v>
      </c>
      <c r="J343" s="14">
        <v>0.005359792944741267</v>
      </c>
      <c r="K343" s="14">
        <v>0</v>
      </c>
      <c r="L343" s="453">
        <v>0.02043478594240719</v>
      </c>
      <c r="M343" s="453">
        <v>0.0147933728686132</v>
      </c>
      <c r="N343" s="453">
        <v>0.032335452633943336</v>
      </c>
      <c r="O343" s="14">
        <v>0.018463906099377213</v>
      </c>
      <c r="P343" s="14">
        <v>0</v>
      </c>
      <c r="Q343" s="453">
        <v>0</v>
      </c>
      <c r="R343" s="453">
        <v>0</v>
      </c>
      <c r="S343" s="15">
        <v>0</v>
      </c>
    </row>
    <row r="344" spans="1:19" ht="12.75">
      <c r="A344" s="51"/>
      <c r="B344" s="5" t="s">
        <v>659</v>
      </c>
      <c r="C344" s="14">
        <v>0</v>
      </c>
      <c r="D344" s="453">
        <v>0</v>
      </c>
      <c r="E344" s="453">
        <v>0.6289322794401553</v>
      </c>
      <c r="F344" s="453">
        <v>0</v>
      </c>
      <c r="G344" s="453">
        <v>0</v>
      </c>
      <c r="H344" s="453">
        <v>0</v>
      </c>
      <c r="I344" s="453">
        <v>0</v>
      </c>
      <c r="J344" s="14">
        <v>0.433595183655042</v>
      </c>
      <c r="K344" s="14">
        <v>0</v>
      </c>
      <c r="L344" s="453">
        <v>0.4605279217090894</v>
      </c>
      <c r="M344" s="453">
        <v>0.17561225890399182</v>
      </c>
      <c r="N344" s="453">
        <v>0.6451209150257976</v>
      </c>
      <c r="O344" s="14">
        <v>0.3254465609571152</v>
      </c>
      <c r="P344" s="14">
        <v>0</v>
      </c>
      <c r="Q344" s="453">
        <v>0</v>
      </c>
      <c r="R344" s="453">
        <v>0</v>
      </c>
      <c r="S344" s="15">
        <v>0</v>
      </c>
    </row>
    <row r="345" spans="1:19" ht="12.75">
      <c r="A345" s="51"/>
      <c r="B345" s="5" t="s">
        <v>615</v>
      </c>
      <c r="C345" s="14">
        <v>0</v>
      </c>
      <c r="D345" s="453">
        <v>0</v>
      </c>
      <c r="E345" s="453">
        <v>0</v>
      </c>
      <c r="F345" s="453">
        <v>0</v>
      </c>
      <c r="G345" s="453">
        <v>0</v>
      </c>
      <c r="H345" s="453">
        <v>0</v>
      </c>
      <c r="I345" s="453">
        <v>0</v>
      </c>
      <c r="J345" s="14">
        <v>0</v>
      </c>
      <c r="K345" s="14">
        <v>0</v>
      </c>
      <c r="L345" s="453">
        <v>0</v>
      </c>
      <c r="M345" s="453">
        <v>0</v>
      </c>
      <c r="N345" s="453">
        <v>0</v>
      </c>
      <c r="O345" s="14">
        <v>0</v>
      </c>
      <c r="P345" s="14">
        <v>0</v>
      </c>
      <c r="Q345" s="453">
        <v>0</v>
      </c>
      <c r="R345" s="453">
        <v>0</v>
      </c>
      <c r="S345" s="15">
        <v>0</v>
      </c>
    </row>
    <row r="346" spans="1:19" ht="12.75">
      <c r="A346" s="51"/>
      <c r="B346" s="5" t="s">
        <v>617</v>
      </c>
      <c r="C346" s="14">
        <v>0</v>
      </c>
      <c r="D346" s="453">
        <v>0</v>
      </c>
      <c r="E346" s="453">
        <v>0</v>
      </c>
      <c r="F346" s="453">
        <v>0</v>
      </c>
      <c r="G346" s="453">
        <v>0</v>
      </c>
      <c r="H346" s="453">
        <v>0</v>
      </c>
      <c r="I346" s="453">
        <v>0</v>
      </c>
      <c r="J346" s="14">
        <v>0</v>
      </c>
      <c r="K346" s="14">
        <v>0</v>
      </c>
      <c r="L346" s="453">
        <v>0</v>
      </c>
      <c r="M346" s="453">
        <v>0</v>
      </c>
      <c r="N346" s="453">
        <v>0</v>
      </c>
      <c r="O346" s="14">
        <v>0</v>
      </c>
      <c r="P346" s="14">
        <v>0</v>
      </c>
      <c r="Q346" s="453">
        <v>0</v>
      </c>
      <c r="R346" s="453">
        <v>0</v>
      </c>
      <c r="S346" s="15">
        <v>0</v>
      </c>
    </row>
    <row r="347" spans="1:19" ht="12.75">
      <c r="A347" s="51"/>
      <c r="B347" s="5" t="s">
        <v>645</v>
      </c>
      <c r="C347" s="14">
        <v>0</v>
      </c>
      <c r="D347" s="453">
        <v>0</v>
      </c>
      <c r="E347" s="453">
        <v>0</v>
      </c>
      <c r="F347" s="453">
        <v>0</v>
      </c>
      <c r="G347" s="453">
        <v>0</v>
      </c>
      <c r="H347" s="453">
        <v>0</v>
      </c>
      <c r="I347" s="453">
        <v>0</v>
      </c>
      <c r="J347" s="14">
        <v>0</v>
      </c>
      <c r="K347" s="14">
        <v>0</v>
      </c>
      <c r="L347" s="453">
        <v>0</v>
      </c>
      <c r="M347" s="453">
        <v>0</v>
      </c>
      <c r="N347" s="453">
        <v>0</v>
      </c>
      <c r="O347" s="14">
        <v>0</v>
      </c>
      <c r="P347" s="14">
        <v>0</v>
      </c>
      <c r="Q347" s="453">
        <v>0</v>
      </c>
      <c r="R347" s="453">
        <v>0</v>
      </c>
      <c r="S347" s="15">
        <v>0</v>
      </c>
    </row>
    <row r="348" spans="1:19" ht="12.75">
      <c r="A348" s="51"/>
      <c r="B348" s="5" t="s">
        <v>601</v>
      </c>
      <c r="C348" s="14">
        <v>0.9057328631850442</v>
      </c>
      <c r="D348" s="453">
        <v>0.8258858115426273</v>
      </c>
      <c r="E348" s="453">
        <v>0.7085965233302837</v>
      </c>
      <c r="F348" s="521">
        <v>0.7536130536130536</v>
      </c>
      <c r="G348" s="502">
        <v>0.7335379464285714</v>
      </c>
      <c r="H348" s="453">
        <v>0.9613453815261044</v>
      </c>
      <c r="I348" s="453">
        <v>0</v>
      </c>
      <c r="J348" s="14">
        <v>0.8004052440924837</v>
      </c>
      <c r="K348" s="14">
        <v>0</v>
      </c>
      <c r="L348" s="453">
        <v>0</v>
      </c>
      <c r="M348" s="453">
        <v>0</v>
      </c>
      <c r="N348" s="453">
        <v>0</v>
      </c>
      <c r="O348" s="14">
        <v>0</v>
      </c>
      <c r="P348" s="14">
        <v>0</v>
      </c>
      <c r="Q348" s="453">
        <v>0</v>
      </c>
      <c r="R348" s="453">
        <v>0</v>
      </c>
      <c r="S348" s="15">
        <v>0</v>
      </c>
    </row>
    <row r="349" spans="1:19" ht="12.75">
      <c r="A349" s="51"/>
      <c r="B349" s="5" t="s">
        <v>619</v>
      </c>
      <c r="C349" s="14">
        <v>0.9060104449242466</v>
      </c>
      <c r="D349" s="453">
        <v>0.773128871737585</v>
      </c>
      <c r="E349" s="453">
        <v>0.7133347824692563</v>
      </c>
      <c r="F349" s="522">
        <v>0.6609718670076726</v>
      </c>
      <c r="G349" s="503">
        <v>0.5713986380303824</v>
      </c>
      <c r="H349" s="453">
        <v>0.9734289329396879</v>
      </c>
      <c r="I349" s="453">
        <v>0</v>
      </c>
      <c r="J349" s="14">
        <v>0.8003753087641089</v>
      </c>
      <c r="K349" s="14">
        <v>0</v>
      </c>
      <c r="L349" s="453">
        <v>0</v>
      </c>
      <c r="M349" s="453">
        <v>0</v>
      </c>
      <c r="N349" s="453">
        <v>0</v>
      </c>
      <c r="O349" s="14">
        <v>0</v>
      </c>
      <c r="P349" s="14">
        <v>0</v>
      </c>
      <c r="Q349" s="453">
        <v>0</v>
      </c>
      <c r="R349" s="453">
        <v>0</v>
      </c>
      <c r="S349" s="15">
        <v>0</v>
      </c>
    </row>
    <row r="350" spans="1:19" ht="12.75">
      <c r="A350" s="51"/>
      <c r="B350" s="5" t="s">
        <v>643</v>
      </c>
      <c r="C350" s="14">
        <v>0.027758173920244822</v>
      </c>
      <c r="D350" s="453">
        <v>-5.275693980504226</v>
      </c>
      <c r="E350" s="453">
        <v>0.47382591389726336</v>
      </c>
      <c r="F350" s="522">
        <v>-9.2641186605381</v>
      </c>
      <c r="G350" s="505">
        <v>-16.2139308398189</v>
      </c>
      <c r="H350" s="453">
        <v>1.2083551413583526</v>
      </c>
      <c r="I350" s="453">
        <v>0</v>
      </c>
      <c r="J350" s="14">
        <v>-0.002993532837480828</v>
      </c>
      <c r="K350" s="14">
        <v>0</v>
      </c>
      <c r="L350" s="453">
        <v>0</v>
      </c>
      <c r="M350" s="453">
        <v>0</v>
      </c>
      <c r="N350" s="453">
        <v>0</v>
      </c>
      <c r="O350" s="14">
        <v>0</v>
      </c>
      <c r="P350" s="14">
        <v>0</v>
      </c>
      <c r="Q350" s="453">
        <v>0</v>
      </c>
      <c r="R350" s="453">
        <v>0</v>
      </c>
      <c r="S350" s="15">
        <v>0</v>
      </c>
    </row>
    <row r="351" spans="1:19" ht="12.75">
      <c r="A351" s="51"/>
      <c r="B351" s="5" t="s">
        <v>621</v>
      </c>
      <c r="C351" s="14">
        <v>0.08226843543427093</v>
      </c>
      <c r="D351" s="453">
        <v>0.08947857032337923</v>
      </c>
      <c r="E351" s="502">
        <v>0.19125343092406222</v>
      </c>
      <c r="F351" s="518">
        <v>0.06923076923076923</v>
      </c>
      <c r="G351" s="453">
        <v>0.18610491071428573</v>
      </c>
      <c r="H351" s="453">
        <v>0.038654618473895584</v>
      </c>
      <c r="I351" s="453">
        <v>0</v>
      </c>
      <c r="J351" s="14">
        <v>0.13493286639673327</v>
      </c>
      <c r="K351" s="14">
        <v>0</v>
      </c>
      <c r="L351" s="453">
        <v>0</v>
      </c>
      <c r="M351" s="453">
        <v>0</v>
      </c>
      <c r="N351" s="453">
        <v>0</v>
      </c>
      <c r="O351" s="14">
        <v>0</v>
      </c>
      <c r="P351" s="14">
        <v>0</v>
      </c>
      <c r="Q351" s="453">
        <v>0</v>
      </c>
      <c r="R351" s="453">
        <v>0</v>
      </c>
      <c r="S351" s="15">
        <v>0</v>
      </c>
    </row>
    <row r="352" spans="1:19" ht="12.75">
      <c r="A352" s="51"/>
      <c r="B352" s="5" t="s">
        <v>623</v>
      </c>
      <c r="C352" s="14">
        <v>0.05194412150067357</v>
      </c>
      <c r="D352" s="453">
        <v>0.10637032308607408</v>
      </c>
      <c r="E352" s="503">
        <v>0.12638840881312205</v>
      </c>
      <c r="F352" s="519">
        <v>0.2267007672634271</v>
      </c>
      <c r="G352" s="453">
        <v>0.1429020429544264</v>
      </c>
      <c r="H352" s="453">
        <v>0.018557570645297342</v>
      </c>
      <c r="I352" s="453">
        <v>0</v>
      </c>
      <c r="J352" s="14">
        <v>0.09365097521540064</v>
      </c>
      <c r="K352" s="14">
        <v>0</v>
      </c>
      <c r="L352" s="453">
        <v>0</v>
      </c>
      <c r="M352" s="453">
        <v>0</v>
      </c>
      <c r="N352" s="453">
        <v>0</v>
      </c>
      <c r="O352" s="14">
        <v>0</v>
      </c>
      <c r="P352" s="14">
        <v>0</v>
      </c>
      <c r="Q352" s="453">
        <v>0</v>
      </c>
      <c r="R352" s="453">
        <v>0</v>
      </c>
      <c r="S352" s="15">
        <v>0</v>
      </c>
    </row>
    <row r="353" spans="1:19" ht="12.75">
      <c r="A353" s="51"/>
      <c r="B353" s="5" t="s">
        <v>647</v>
      </c>
      <c r="C353" s="14">
        <v>-3.0324313933597358</v>
      </c>
      <c r="D353" s="453">
        <v>1.6891752762694847</v>
      </c>
      <c r="E353" s="505">
        <v>-6.486502211094017</v>
      </c>
      <c r="F353" s="520">
        <v>15.746999803265787</v>
      </c>
      <c r="G353" s="453">
        <v>-4.320286775985932</v>
      </c>
      <c r="H353" s="453">
        <v>-2.0097047828598242</v>
      </c>
      <c r="I353" s="453">
        <v>0</v>
      </c>
      <c r="J353" s="14">
        <v>-4.128189118133263</v>
      </c>
      <c r="K353" s="14">
        <v>0</v>
      </c>
      <c r="L353" s="453">
        <v>0</v>
      </c>
      <c r="M353" s="453">
        <v>0</v>
      </c>
      <c r="N353" s="453">
        <v>0</v>
      </c>
      <c r="O353" s="14">
        <v>0</v>
      </c>
      <c r="P353" s="14">
        <v>0</v>
      </c>
      <c r="Q353" s="453">
        <v>0</v>
      </c>
      <c r="R353" s="453">
        <v>0</v>
      </c>
      <c r="S353" s="15">
        <v>0</v>
      </c>
    </row>
    <row r="354" spans="1:19" ht="12.75">
      <c r="A354" s="51"/>
      <c r="B354" s="5" t="s">
        <v>625</v>
      </c>
      <c r="C354" s="14">
        <v>0.011525246422033241</v>
      </c>
      <c r="D354" s="453">
        <v>0.07437722419928826</v>
      </c>
      <c r="E354" s="453">
        <v>0.09720402561756633</v>
      </c>
      <c r="F354" s="479">
        <v>0.17715617715617715</v>
      </c>
      <c r="G354" s="502">
        <v>0.08035714285714286</v>
      </c>
      <c r="H354" s="453">
        <v>0</v>
      </c>
      <c r="I354" s="453">
        <v>0</v>
      </c>
      <c r="J354" s="14">
        <v>0.06195624877446343</v>
      </c>
      <c r="K354" s="14">
        <v>0</v>
      </c>
      <c r="L354" s="453">
        <v>0</v>
      </c>
      <c r="M354" s="453">
        <v>0</v>
      </c>
      <c r="N354" s="453">
        <v>0</v>
      </c>
      <c r="O354" s="14">
        <v>0</v>
      </c>
      <c r="P354" s="14">
        <v>0</v>
      </c>
      <c r="Q354" s="453">
        <v>0</v>
      </c>
      <c r="R354" s="453">
        <v>0</v>
      </c>
      <c r="S354" s="15">
        <v>0</v>
      </c>
    </row>
    <row r="355" spans="1:19" ht="12.75">
      <c r="A355" s="51"/>
      <c r="B355" s="5" t="s">
        <v>627</v>
      </c>
      <c r="C355" s="14">
        <v>0.03941021240473159</v>
      </c>
      <c r="D355" s="453">
        <v>0.11014232035862989</v>
      </c>
      <c r="E355" s="453">
        <v>0.153613159104434</v>
      </c>
      <c r="F355" s="479">
        <v>0.11232736572890026</v>
      </c>
      <c r="G355" s="503">
        <v>0.2856993190151912</v>
      </c>
      <c r="H355" s="453">
        <v>0.008013496415014762</v>
      </c>
      <c r="I355" s="453">
        <v>0</v>
      </c>
      <c r="J355" s="14">
        <v>0.10087582349976969</v>
      </c>
      <c r="K355" s="14">
        <v>0</v>
      </c>
      <c r="L355" s="453">
        <v>0</v>
      </c>
      <c r="M355" s="453">
        <v>0</v>
      </c>
      <c r="N355" s="453">
        <v>0</v>
      </c>
      <c r="O355" s="14">
        <v>0</v>
      </c>
      <c r="P355" s="14">
        <v>0</v>
      </c>
      <c r="Q355" s="453">
        <v>0</v>
      </c>
      <c r="R355" s="453">
        <v>0</v>
      </c>
      <c r="S355" s="15">
        <v>0</v>
      </c>
    </row>
    <row r="356" spans="1:19" ht="13.5" thickBot="1">
      <c r="A356" s="51"/>
      <c r="B356" s="5" t="s">
        <v>653</v>
      </c>
      <c r="C356" s="14">
        <v>2.788496598269835</v>
      </c>
      <c r="D356" s="453">
        <v>3.5765096159341634</v>
      </c>
      <c r="E356" s="453">
        <v>5.640913348686766</v>
      </c>
      <c r="F356" s="484">
        <v>-6.482881142727689</v>
      </c>
      <c r="G356" s="505">
        <v>20.534217615804835</v>
      </c>
      <c r="H356" s="453">
        <v>0</v>
      </c>
      <c r="I356" s="453">
        <v>0</v>
      </c>
      <c r="J356" s="14">
        <v>3.891957472530626</v>
      </c>
      <c r="K356" s="14">
        <v>0</v>
      </c>
      <c r="L356" s="453">
        <v>0</v>
      </c>
      <c r="M356" s="453">
        <v>0</v>
      </c>
      <c r="N356" s="453">
        <v>0</v>
      </c>
      <c r="O356" s="14">
        <v>0</v>
      </c>
      <c r="P356" s="14">
        <v>0</v>
      </c>
      <c r="Q356" s="453">
        <v>0</v>
      </c>
      <c r="R356" s="453">
        <v>0</v>
      </c>
      <c r="S356" s="15">
        <v>0</v>
      </c>
    </row>
    <row r="357" spans="1:19" ht="12.75">
      <c r="A357" s="51"/>
      <c r="B357" s="5" t="s">
        <v>629</v>
      </c>
      <c r="C357" s="14">
        <v>0</v>
      </c>
      <c r="D357" s="453">
        <v>0.009654958997369643</v>
      </c>
      <c r="E357" s="453">
        <v>0.0017785910338517842</v>
      </c>
      <c r="F357" s="453">
        <v>0</v>
      </c>
      <c r="G357" s="453">
        <v>0</v>
      </c>
      <c r="H357" s="453">
        <v>0</v>
      </c>
      <c r="I357" s="453">
        <v>0</v>
      </c>
      <c r="J357" s="14">
        <v>0.0019092569722280513</v>
      </c>
      <c r="K357" s="14">
        <v>0</v>
      </c>
      <c r="L357" s="453">
        <v>0</v>
      </c>
      <c r="M357" s="453">
        <v>0</v>
      </c>
      <c r="N357" s="453">
        <v>0</v>
      </c>
      <c r="O357" s="14">
        <v>0</v>
      </c>
      <c r="P357" s="14">
        <v>0</v>
      </c>
      <c r="Q357" s="453">
        <v>0</v>
      </c>
      <c r="R357" s="453">
        <v>0</v>
      </c>
      <c r="S357" s="15">
        <v>0</v>
      </c>
    </row>
    <row r="358" spans="1:19" ht="12.75">
      <c r="A358" s="51"/>
      <c r="B358" s="5" t="s">
        <v>631</v>
      </c>
      <c r="C358" s="14">
        <v>0</v>
      </c>
      <c r="D358" s="453">
        <v>0.01018439263590071</v>
      </c>
      <c r="E358" s="453">
        <v>0.0025443025795807246</v>
      </c>
      <c r="F358" s="453">
        <v>0</v>
      </c>
      <c r="G358" s="453">
        <v>0</v>
      </c>
      <c r="H358" s="453">
        <v>0</v>
      </c>
      <c r="I358" s="453">
        <v>0</v>
      </c>
      <c r="J358" s="14">
        <v>0.0021887858730566022</v>
      </c>
      <c r="K358" s="14">
        <v>0</v>
      </c>
      <c r="L358" s="453">
        <v>0</v>
      </c>
      <c r="M358" s="453">
        <v>0</v>
      </c>
      <c r="N358" s="453">
        <v>0</v>
      </c>
      <c r="O358" s="14">
        <v>0</v>
      </c>
      <c r="P358" s="14">
        <v>0</v>
      </c>
      <c r="Q358" s="453">
        <v>0</v>
      </c>
      <c r="R358" s="453">
        <v>0</v>
      </c>
      <c r="S358" s="15">
        <v>0</v>
      </c>
    </row>
    <row r="359" spans="1:19" ht="12.75">
      <c r="A359" s="51"/>
      <c r="B359" s="5" t="s">
        <v>655</v>
      </c>
      <c r="C359" s="14">
        <v>0</v>
      </c>
      <c r="D359" s="453">
        <v>0.052943363853106586</v>
      </c>
      <c r="E359" s="453">
        <v>0.07657115457289404</v>
      </c>
      <c r="F359" s="453">
        <v>0</v>
      </c>
      <c r="G359" s="453">
        <v>0</v>
      </c>
      <c r="H359" s="453">
        <v>0</v>
      </c>
      <c r="I359" s="453">
        <v>0</v>
      </c>
      <c r="J359" s="14">
        <v>0.02795289008285509</v>
      </c>
      <c r="K359" s="14">
        <v>0</v>
      </c>
      <c r="L359" s="453">
        <v>0</v>
      </c>
      <c r="M359" s="453">
        <v>0</v>
      </c>
      <c r="N359" s="453">
        <v>0</v>
      </c>
      <c r="O359" s="14">
        <v>0</v>
      </c>
      <c r="P359" s="14">
        <v>0</v>
      </c>
      <c r="Q359" s="453">
        <v>0</v>
      </c>
      <c r="R359" s="453">
        <v>0</v>
      </c>
      <c r="S359" s="15">
        <v>0</v>
      </c>
    </row>
    <row r="360" spans="1:19" ht="12.75">
      <c r="A360" s="51"/>
      <c r="B360" s="5" t="s">
        <v>633</v>
      </c>
      <c r="C360" s="14">
        <v>0.00047345495865160027</v>
      </c>
      <c r="D360" s="453">
        <v>0.0006034349373356027</v>
      </c>
      <c r="E360" s="453">
        <v>0.0011674290942360476</v>
      </c>
      <c r="F360" s="453">
        <v>0</v>
      </c>
      <c r="G360" s="453">
        <v>0</v>
      </c>
      <c r="H360" s="453">
        <v>0</v>
      </c>
      <c r="I360" s="453">
        <v>0</v>
      </c>
      <c r="J360" s="14">
        <v>0.0007963837640915205</v>
      </c>
      <c r="K360" s="14">
        <v>0</v>
      </c>
      <c r="L360" s="453">
        <v>0</v>
      </c>
      <c r="M360" s="453">
        <v>0</v>
      </c>
      <c r="N360" s="453">
        <v>0</v>
      </c>
      <c r="O360" s="14">
        <v>0</v>
      </c>
      <c r="P360" s="14">
        <v>0</v>
      </c>
      <c r="Q360" s="453">
        <v>0</v>
      </c>
      <c r="R360" s="453">
        <v>0</v>
      </c>
      <c r="S360" s="15">
        <v>0</v>
      </c>
    </row>
    <row r="361" spans="1:19" ht="12.75">
      <c r="A361" s="51"/>
      <c r="B361" s="5" t="s">
        <v>635</v>
      </c>
      <c r="C361" s="482">
        <v>0.0026352211703482256</v>
      </c>
      <c r="D361" s="453">
        <v>0.00017409218181026854</v>
      </c>
      <c r="E361" s="453">
        <v>0.004119347033606887</v>
      </c>
      <c r="F361" s="453">
        <v>0</v>
      </c>
      <c r="G361" s="453">
        <v>0</v>
      </c>
      <c r="H361" s="453">
        <v>0</v>
      </c>
      <c r="I361" s="453">
        <v>0</v>
      </c>
      <c r="J361" s="14">
        <v>0.002909106647664213</v>
      </c>
      <c r="K361" s="14">
        <v>0</v>
      </c>
      <c r="L361" s="453">
        <v>0</v>
      </c>
      <c r="M361" s="453">
        <v>0</v>
      </c>
      <c r="N361" s="453">
        <v>0</v>
      </c>
      <c r="O361" s="14">
        <v>0</v>
      </c>
      <c r="P361" s="14">
        <v>0</v>
      </c>
      <c r="Q361" s="453">
        <v>0</v>
      </c>
      <c r="R361" s="453">
        <v>0</v>
      </c>
      <c r="S361" s="15">
        <v>0</v>
      </c>
    </row>
    <row r="362" spans="1:19" ht="12.75">
      <c r="A362" s="51"/>
      <c r="B362" s="5" t="s">
        <v>661</v>
      </c>
      <c r="C362" s="14">
        <v>0.21617662116966255</v>
      </c>
      <c r="D362" s="453">
        <v>-0.042934275552533416</v>
      </c>
      <c r="E362" s="453">
        <v>0.29519179393708395</v>
      </c>
      <c r="F362" s="453">
        <v>0</v>
      </c>
      <c r="G362" s="453">
        <v>0</v>
      </c>
      <c r="H362" s="453">
        <v>0</v>
      </c>
      <c r="I362" s="453">
        <v>0</v>
      </c>
      <c r="J362" s="14">
        <v>0.21127228835726924</v>
      </c>
      <c r="K362" s="14">
        <v>0</v>
      </c>
      <c r="L362" s="453">
        <v>0</v>
      </c>
      <c r="M362" s="453">
        <v>0</v>
      </c>
      <c r="N362" s="453">
        <v>0</v>
      </c>
      <c r="O362" s="14">
        <v>0</v>
      </c>
      <c r="P362" s="14">
        <v>0</v>
      </c>
      <c r="Q362" s="453">
        <v>0</v>
      </c>
      <c r="R362" s="453">
        <v>0</v>
      </c>
      <c r="S362" s="15">
        <v>0</v>
      </c>
    </row>
    <row r="363" spans="1:19" ht="12.75">
      <c r="A363" s="51"/>
      <c r="B363" s="5" t="s">
        <v>637</v>
      </c>
      <c r="C363" s="14">
        <v>0</v>
      </c>
      <c r="D363" s="453">
        <v>0</v>
      </c>
      <c r="E363" s="453">
        <v>0</v>
      </c>
      <c r="F363" s="453">
        <v>0</v>
      </c>
      <c r="G363" s="453">
        <v>0</v>
      </c>
      <c r="H363" s="453">
        <v>0</v>
      </c>
      <c r="I363" s="453">
        <v>0</v>
      </c>
      <c r="J363" s="14">
        <v>0</v>
      </c>
      <c r="K363" s="14">
        <v>0</v>
      </c>
      <c r="L363" s="453">
        <v>0</v>
      </c>
      <c r="M363" s="453">
        <v>0</v>
      </c>
      <c r="N363" s="453">
        <v>0</v>
      </c>
      <c r="O363" s="14">
        <v>0</v>
      </c>
      <c r="P363" s="14">
        <v>0</v>
      </c>
      <c r="Q363" s="453">
        <v>0</v>
      </c>
      <c r="R363" s="453">
        <v>0</v>
      </c>
      <c r="S363" s="15">
        <v>0</v>
      </c>
    </row>
    <row r="364" spans="1:19" ht="12.75">
      <c r="A364" s="51"/>
      <c r="B364" s="5" t="s">
        <v>639</v>
      </c>
      <c r="C364" s="14">
        <v>0</v>
      </c>
      <c r="D364" s="453">
        <v>0</v>
      </c>
      <c r="E364" s="453">
        <v>0</v>
      </c>
      <c r="F364" s="453">
        <v>0</v>
      </c>
      <c r="G364" s="453">
        <v>0</v>
      </c>
      <c r="H364" s="453">
        <v>0</v>
      </c>
      <c r="I364" s="453">
        <v>0</v>
      </c>
      <c r="J364" s="14">
        <v>0</v>
      </c>
      <c r="K364" s="14">
        <v>0</v>
      </c>
      <c r="L364" s="453">
        <v>0</v>
      </c>
      <c r="M364" s="453">
        <v>0</v>
      </c>
      <c r="N364" s="453">
        <v>0</v>
      </c>
      <c r="O364" s="14">
        <v>0</v>
      </c>
      <c r="P364" s="14">
        <v>0</v>
      </c>
      <c r="Q364" s="453">
        <v>0</v>
      </c>
      <c r="R364" s="453">
        <v>0</v>
      </c>
      <c r="S364" s="15">
        <v>0</v>
      </c>
    </row>
    <row r="365" spans="1:21" s="196" customFormat="1" ht="12.75">
      <c r="A365" s="454"/>
      <c r="B365" s="5" t="s">
        <v>663</v>
      </c>
      <c r="C365" s="14">
        <v>0</v>
      </c>
      <c r="D365" s="453">
        <v>0</v>
      </c>
      <c r="E365" s="453">
        <v>0</v>
      </c>
      <c r="F365" s="453">
        <v>0</v>
      </c>
      <c r="G365" s="453">
        <v>0</v>
      </c>
      <c r="H365" s="453">
        <v>0</v>
      </c>
      <c r="I365" s="453">
        <v>0</v>
      </c>
      <c r="J365" s="14">
        <v>0</v>
      </c>
      <c r="K365" s="14">
        <v>0</v>
      </c>
      <c r="L365" s="453">
        <v>0</v>
      </c>
      <c r="M365" s="453">
        <v>0</v>
      </c>
      <c r="N365" s="453">
        <v>0</v>
      </c>
      <c r="O365" s="14">
        <v>0</v>
      </c>
      <c r="P365" s="14">
        <v>0</v>
      </c>
      <c r="Q365" s="453">
        <v>0</v>
      </c>
      <c r="R365" s="453">
        <v>0</v>
      </c>
      <c r="S365" s="15">
        <v>0</v>
      </c>
      <c r="T365"/>
      <c r="U365"/>
    </row>
    <row r="366" spans="1:21" s="48" customFormat="1" ht="12.75">
      <c r="A366" s="50" t="s">
        <v>92</v>
      </c>
      <c r="B366" s="3" t="s">
        <v>593</v>
      </c>
      <c r="C366" s="11">
        <v>0.9694132137300565</v>
      </c>
      <c r="D366" s="12">
        <v>0</v>
      </c>
      <c r="E366" s="12">
        <v>0.9914590791413247</v>
      </c>
      <c r="F366" s="12">
        <v>0.9689823606662699</v>
      </c>
      <c r="G366" s="12">
        <v>0.9300626105159934</v>
      </c>
      <c r="H366" s="12">
        <v>0.9872597625772809</v>
      </c>
      <c r="I366" s="12">
        <v>0</v>
      </c>
      <c r="J366" s="11">
        <v>0.9629307733316401</v>
      </c>
      <c r="K366" s="11">
        <v>0.700098709282421</v>
      </c>
      <c r="L366" s="12">
        <v>0.8108062660412426</v>
      </c>
      <c r="M366" s="12">
        <v>0.8357872026819362</v>
      </c>
      <c r="N366" s="12">
        <v>0.8113651743217346</v>
      </c>
      <c r="O366" s="11">
        <v>0.812265125530373</v>
      </c>
      <c r="P366" s="11">
        <v>0</v>
      </c>
      <c r="Q366" s="12">
        <v>0</v>
      </c>
      <c r="R366" s="12">
        <v>0</v>
      </c>
      <c r="S366" s="13">
        <v>0</v>
      </c>
      <c r="T366"/>
      <c r="U366"/>
    </row>
    <row r="367" spans="1:19" ht="12.75">
      <c r="A367" s="51"/>
      <c r="B367" s="5" t="s">
        <v>595</v>
      </c>
      <c r="C367" s="14">
        <v>0.957462474652415</v>
      </c>
      <c r="D367" s="453">
        <v>0</v>
      </c>
      <c r="E367" s="453">
        <v>0.976002325074475</v>
      </c>
      <c r="F367" s="453">
        <v>0.9543654712526922</v>
      </c>
      <c r="G367" s="453">
        <v>0.9011068939293514</v>
      </c>
      <c r="H367" s="453">
        <v>0.9791731197545614</v>
      </c>
      <c r="I367" s="453">
        <v>0</v>
      </c>
      <c r="J367" s="14">
        <v>0.946525626611651</v>
      </c>
      <c r="K367" s="14">
        <v>0.6690251953978349</v>
      </c>
      <c r="L367" s="453">
        <v>0.790007573215067</v>
      </c>
      <c r="M367" s="453">
        <v>0.8146003311404592</v>
      </c>
      <c r="N367" s="453">
        <v>0.7939284304870975</v>
      </c>
      <c r="O367" s="14">
        <v>0.7906961446483628</v>
      </c>
      <c r="P367" s="14">
        <v>0</v>
      </c>
      <c r="Q367" s="453">
        <v>0</v>
      </c>
      <c r="R367" s="453">
        <v>0</v>
      </c>
      <c r="S367" s="15">
        <v>0</v>
      </c>
    </row>
    <row r="368" spans="1:19" ht="12.75">
      <c r="A368" s="51"/>
      <c r="B368" s="476" t="s">
        <v>641</v>
      </c>
      <c r="C368" s="455">
        <v>-1.1950739077641548</v>
      </c>
      <c r="D368" s="530">
        <v>0</v>
      </c>
      <c r="E368" s="530">
        <v>-1.5456754066849654</v>
      </c>
      <c r="F368" s="530">
        <v>-1.4616889413577638</v>
      </c>
      <c r="G368" s="530">
        <v>-2.8955716586641977</v>
      </c>
      <c r="H368" s="530">
        <v>-0.8086642822719425</v>
      </c>
      <c r="I368" s="530">
        <v>0</v>
      </c>
      <c r="J368" s="455">
        <v>-1.640514671998916</v>
      </c>
      <c r="K368" s="455">
        <v>-3.1073513884586124</v>
      </c>
      <c r="L368" s="530">
        <v>-2.0798692826175635</v>
      </c>
      <c r="M368" s="530">
        <v>-2.1186871541477026</v>
      </c>
      <c r="N368" s="530">
        <v>-1.7436743834637114</v>
      </c>
      <c r="O368" s="455">
        <v>-2.1568980882010202</v>
      </c>
      <c r="P368" s="455">
        <v>0</v>
      </c>
      <c r="Q368" s="530">
        <v>0</v>
      </c>
      <c r="R368" s="530">
        <v>0</v>
      </c>
      <c r="S368" s="456">
        <v>0</v>
      </c>
    </row>
    <row r="369" spans="1:19" ht="12.75">
      <c r="A369" s="51"/>
      <c r="B369" s="5" t="s">
        <v>597</v>
      </c>
      <c r="C369" s="14">
        <v>0.003276929925711484</v>
      </c>
      <c r="D369" s="453">
        <v>0</v>
      </c>
      <c r="E369" s="453">
        <v>0.00138426092234513</v>
      </c>
      <c r="F369" s="453">
        <v>0</v>
      </c>
      <c r="G369" s="453">
        <v>0.0009128164647748473</v>
      </c>
      <c r="H369" s="453">
        <v>0.006557765619136034</v>
      </c>
      <c r="I369" s="453">
        <v>0</v>
      </c>
      <c r="J369" s="14">
        <v>0.0021752253604907994</v>
      </c>
      <c r="K369" s="14">
        <v>0.07665587944972699</v>
      </c>
      <c r="L369" s="453">
        <v>0.04559695548278609</v>
      </c>
      <c r="M369" s="453">
        <v>0.05657499819824847</v>
      </c>
      <c r="N369" s="453">
        <v>0.06993909685930863</v>
      </c>
      <c r="O369" s="14">
        <v>0.05664881352035917</v>
      </c>
      <c r="P369" s="14">
        <v>0</v>
      </c>
      <c r="Q369" s="453">
        <v>0</v>
      </c>
      <c r="R369" s="453">
        <v>0</v>
      </c>
      <c r="S369" s="15">
        <v>0</v>
      </c>
    </row>
    <row r="370" spans="1:19" ht="12.75">
      <c r="A370" s="51"/>
      <c r="B370" s="5" t="s">
        <v>599</v>
      </c>
      <c r="C370" s="14">
        <v>0.0033839253534099557</v>
      </c>
      <c r="D370" s="453">
        <v>0</v>
      </c>
      <c r="E370" s="453">
        <v>0.002502361403763714</v>
      </c>
      <c r="F370" s="453">
        <v>0</v>
      </c>
      <c r="G370" s="453">
        <v>0.001269805831339087</v>
      </c>
      <c r="H370" s="453">
        <v>0.0046167234538401405</v>
      </c>
      <c r="I370" s="453">
        <v>0</v>
      </c>
      <c r="J370" s="14">
        <v>0.002447140459766311</v>
      </c>
      <c r="K370" s="14">
        <v>0.07035535705616777</v>
      </c>
      <c r="L370" s="453">
        <v>0.05499102986939279</v>
      </c>
      <c r="M370" s="453">
        <v>0.0543470632727802</v>
      </c>
      <c r="N370" s="453">
        <v>0.06409791213651761</v>
      </c>
      <c r="O370" s="14">
        <v>0.058143260614471205</v>
      </c>
      <c r="P370" s="14">
        <v>0</v>
      </c>
      <c r="Q370" s="453">
        <v>0</v>
      </c>
      <c r="R370" s="453">
        <v>0</v>
      </c>
      <c r="S370" s="15">
        <v>0</v>
      </c>
    </row>
    <row r="371" spans="1:19" ht="12.75">
      <c r="A371" s="51"/>
      <c r="B371" s="5" t="s">
        <v>649</v>
      </c>
      <c r="C371" s="14">
        <v>0.010699542769847161</v>
      </c>
      <c r="D371" s="453">
        <v>0</v>
      </c>
      <c r="E371" s="453">
        <v>0.11181004814185841</v>
      </c>
      <c r="F371" s="453">
        <v>0</v>
      </c>
      <c r="G371" s="453">
        <v>0.035698936656423964</v>
      </c>
      <c r="H371" s="453">
        <v>-0.19410421652958937</v>
      </c>
      <c r="I371" s="453">
        <v>0</v>
      </c>
      <c r="J371" s="14">
        <v>0.02719150992755116</v>
      </c>
      <c r="K371" s="14">
        <v>-0.6300522393559216</v>
      </c>
      <c r="L371" s="453">
        <v>0.93940743866067</v>
      </c>
      <c r="M371" s="453">
        <v>-0.22279349254682654</v>
      </c>
      <c r="N371" s="453">
        <v>-0.5841184722791021</v>
      </c>
      <c r="O371" s="14">
        <v>0.14944470941120336</v>
      </c>
      <c r="P371" s="14">
        <v>0</v>
      </c>
      <c r="Q371" s="453">
        <v>0</v>
      </c>
      <c r="R371" s="453">
        <v>0</v>
      </c>
      <c r="S371" s="15">
        <v>0</v>
      </c>
    </row>
    <row r="372" spans="1:19" ht="12.75">
      <c r="A372" s="51"/>
      <c r="B372" s="5" t="s">
        <v>603</v>
      </c>
      <c r="C372" s="14">
        <v>0.02144677946144212</v>
      </c>
      <c r="D372" s="453">
        <v>0</v>
      </c>
      <c r="E372" s="453">
        <v>0.0026136828153451672</v>
      </c>
      <c r="F372" s="453">
        <v>0.02456940940827452</v>
      </c>
      <c r="G372" s="453">
        <v>0.02770441438042365</v>
      </c>
      <c r="H372" s="453">
        <v>0.005767673375866632</v>
      </c>
      <c r="I372" s="453">
        <v>0</v>
      </c>
      <c r="J372" s="14">
        <v>0.020293578256741853</v>
      </c>
      <c r="K372" s="14">
        <v>0.17256631639448727</v>
      </c>
      <c r="L372" s="453">
        <v>0.10947871493052483</v>
      </c>
      <c r="M372" s="453">
        <v>0.07254897858124272</v>
      </c>
      <c r="N372" s="453">
        <v>0.07380596293495136</v>
      </c>
      <c r="O372" s="14">
        <v>0.09309123887565827</v>
      </c>
      <c r="P372" s="14">
        <v>0</v>
      </c>
      <c r="Q372" s="453">
        <v>0</v>
      </c>
      <c r="R372" s="453">
        <v>0</v>
      </c>
      <c r="S372" s="15">
        <v>0</v>
      </c>
    </row>
    <row r="373" spans="1:19" ht="12.75">
      <c r="A373" s="51"/>
      <c r="B373" s="5" t="s">
        <v>605</v>
      </c>
      <c r="C373" s="14">
        <v>0.03370182138553449</v>
      </c>
      <c r="D373" s="453">
        <v>0</v>
      </c>
      <c r="E373" s="453">
        <v>0.012395553295066482</v>
      </c>
      <c r="F373" s="453">
        <v>0.03900379033699199</v>
      </c>
      <c r="G373" s="453">
        <v>0.04098786707505111</v>
      </c>
      <c r="H373" s="453">
        <v>0.014145168665280174</v>
      </c>
      <c r="I373" s="453">
        <v>0</v>
      </c>
      <c r="J373" s="14">
        <v>0.03224216414303493</v>
      </c>
      <c r="K373" s="14">
        <v>0.210083013738531</v>
      </c>
      <c r="L373" s="453">
        <v>0.12235750143645088</v>
      </c>
      <c r="M373" s="453">
        <v>0.09388897697352176</v>
      </c>
      <c r="N373" s="453">
        <v>0.09219388552374042</v>
      </c>
      <c r="O373" s="14">
        <v>0.11166776653857226</v>
      </c>
      <c r="P373" s="14">
        <v>0</v>
      </c>
      <c r="Q373" s="453">
        <v>0</v>
      </c>
      <c r="R373" s="453">
        <v>0</v>
      </c>
      <c r="S373" s="15">
        <v>0</v>
      </c>
    </row>
    <row r="374" spans="1:19" ht="12.75">
      <c r="A374" s="51"/>
      <c r="B374" s="5" t="s">
        <v>651</v>
      </c>
      <c r="C374" s="14">
        <v>1.2255041924092374</v>
      </c>
      <c r="D374" s="453">
        <v>0</v>
      </c>
      <c r="E374" s="453">
        <v>0.9781870479721314</v>
      </c>
      <c r="F374" s="453">
        <v>1.4434380928717474</v>
      </c>
      <c r="G374" s="453">
        <v>1.3283452694627458</v>
      </c>
      <c r="H374" s="453">
        <v>0.8377495289413542</v>
      </c>
      <c r="I374" s="453">
        <v>0</v>
      </c>
      <c r="J374" s="14">
        <v>1.1948585886293075</v>
      </c>
      <c r="K374" s="14">
        <v>3.7516697344043726</v>
      </c>
      <c r="L374" s="453">
        <v>1.2878786505926054</v>
      </c>
      <c r="M374" s="453">
        <v>2.1339998392279043</v>
      </c>
      <c r="N374" s="453">
        <v>1.838792258878906</v>
      </c>
      <c r="O374" s="14">
        <v>1.8576527662913982</v>
      </c>
      <c r="P374" s="14">
        <v>0</v>
      </c>
      <c r="Q374" s="453">
        <v>0</v>
      </c>
      <c r="R374" s="453">
        <v>0</v>
      </c>
      <c r="S374" s="15">
        <v>0</v>
      </c>
    </row>
    <row r="375" spans="1:19" ht="12.75">
      <c r="A375" s="51"/>
      <c r="B375" s="5" t="s">
        <v>607</v>
      </c>
      <c r="C375" s="14">
        <v>0.0028091840724410104</v>
      </c>
      <c r="D375" s="453">
        <v>0</v>
      </c>
      <c r="E375" s="453">
        <v>0.0003437426451461061</v>
      </c>
      <c r="F375" s="453">
        <v>0.006448229925455628</v>
      </c>
      <c r="G375" s="453">
        <v>0.0344418692394761</v>
      </c>
      <c r="H375" s="453">
        <v>0</v>
      </c>
      <c r="I375" s="453">
        <v>0</v>
      </c>
      <c r="J375" s="14">
        <v>0.010757510215798407</v>
      </c>
      <c r="K375" s="14">
        <v>0.050679094873364736</v>
      </c>
      <c r="L375" s="453">
        <v>0.002108151163819807</v>
      </c>
      <c r="M375" s="453">
        <v>0.02525009473725813</v>
      </c>
      <c r="N375" s="453">
        <v>0.03521691412714028</v>
      </c>
      <c r="O375" s="14">
        <v>0.01997019958985889</v>
      </c>
      <c r="P375" s="14">
        <v>0</v>
      </c>
      <c r="Q375" s="453">
        <v>0</v>
      </c>
      <c r="R375" s="453">
        <v>0</v>
      </c>
      <c r="S375" s="15">
        <v>0</v>
      </c>
    </row>
    <row r="376" spans="1:19" ht="12.75">
      <c r="A376" s="51"/>
      <c r="B376" s="5" t="s">
        <v>609</v>
      </c>
      <c r="C376" s="14">
        <v>0.002924301280394348</v>
      </c>
      <c r="D376" s="453">
        <v>0</v>
      </c>
      <c r="E376" s="485">
        <v>0.0003749182591004868</v>
      </c>
      <c r="F376" s="453">
        <v>0.006630738410315736</v>
      </c>
      <c r="G376" s="453">
        <v>0.04244256221699726</v>
      </c>
      <c r="H376" s="453">
        <v>0.0020354882959422982</v>
      </c>
      <c r="I376" s="453">
        <v>0</v>
      </c>
      <c r="J376" s="14">
        <v>0.012724694956539308</v>
      </c>
      <c r="K376" s="14">
        <v>0.050536433807466384</v>
      </c>
      <c r="L376" s="453">
        <v>0.002233307737857817</v>
      </c>
      <c r="M376" s="453">
        <v>0.027606301545755347</v>
      </c>
      <c r="N376" s="453">
        <v>0.04115074835193067</v>
      </c>
      <c r="O376" s="14">
        <v>0.022346143481296165</v>
      </c>
      <c r="P376" s="14">
        <v>0</v>
      </c>
      <c r="Q376" s="453">
        <v>0</v>
      </c>
      <c r="R376" s="453">
        <v>0</v>
      </c>
      <c r="S376" s="15">
        <v>0</v>
      </c>
    </row>
    <row r="377" spans="1:19" ht="12.75">
      <c r="A377" s="51"/>
      <c r="B377" s="5" t="s">
        <v>657</v>
      </c>
      <c r="C377" s="14">
        <v>0.01151172079533378</v>
      </c>
      <c r="D377" s="453">
        <v>0</v>
      </c>
      <c r="E377" s="453">
        <v>0.00311756139543807</v>
      </c>
      <c r="F377" s="453">
        <v>0.01825084848601083</v>
      </c>
      <c r="G377" s="453">
        <v>0.8000692977521158</v>
      </c>
      <c r="H377" s="453">
        <v>0</v>
      </c>
      <c r="I377" s="453">
        <v>0</v>
      </c>
      <c r="J377" s="14">
        <v>0.19671847407409013</v>
      </c>
      <c r="K377" s="14">
        <v>-0.014266106589835154</v>
      </c>
      <c r="L377" s="453">
        <v>0.01251565740380098</v>
      </c>
      <c r="M377" s="453">
        <v>0.23562068084972165</v>
      </c>
      <c r="N377" s="453">
        <v>0.5933834224790393</v>
      </c>
      <c r="O377" s="14">
        <v>0.23759438914372766</v>
      </c>
      <c r="P377" s="14">
        <v>0</v>
      </c>
      <c r="Q377" s="453">
        <v>0</v>
      </c>
      <c r="R377" s="453">
        <v>0</v>
      </c>
      <c r="S377" s="15">
        <v>0</v>
      </c>
    </row>
    <row r="378" spans="1:19" ht="12.75">
      <c r="A378" s="51"/>
      <c r="B378" s="5" t="s">
        <v>611</v>
      </c>
      <c r="C378" s="14">
        <v>0.0008939544299956928</v>
      </c>
      <c r="D378" s="453">
        <v>0</v>
      </c>
      <c r="E378" s="453">
        <v>0.004199234475838918</v>
      </c>
      <c r="F378" s="453">
        <v>0</v>
      </c>
      <c r="G378" s="453">
        <v>0.006878289399331992</v>
      </c>
      <c r="H378" s="453">
        <v>0.0004147984277164359</v>
      </c>
      <c r="I378" s="453">
        <v>0</v>
      </c>
      <c r="J378" s="14">
        <v>0.0027881512171869702</v>
      </c>
      <c r="K378" s="14">
        <v>0</v>
      </c>
      <c r="L378" s="453">
        <v>0.02042304628728206</v>
      </c>
      <c r="M378" s="453">
        <v>0.009838725801314466</v>
      </c>
      <c r="N378" s="453">
        <v>0.009647262201952767</v>
      </c>
      <c r="O378" s="14">
        <v>0.013430509396380498</v>
      </c>
      <c r="P378" s="14">
        <v>0</v>
      </c>
      <c r="Q378" s="453">
        <v>0</v>
      </c>
      <c r="R378" s="453">
        <v>0</v>
      </c>
      <c r="S378" s="15">
        <v>0</v>
      </c>
    </row>
    <row r="379" spans="1:19" ht="12.75">
      <c r="A379" s="51"/>
      <c r="B379" s="5" t="s">
        <v>613</v>
      </c>
      <c r="C379" s="14">
        <v>0.0006170794485239241</v>
      </c>
      <c r="D379" s="453">
        <v>0</v>
      </c>
      <c r="E379" s="453">
        <v>0.008724841967594274</v>
      </c>
      <c r="F379" s="453">
        <v>0</v>
      </c>
      <c r="G379" s="453">
        <v>0.014192870947261196</v>
      </c>
      <c r="H379" s="485">
        <v>2.9499830375975337E-05</v>
      </c>
      <c r="I379" s="453">
        <v>0</v>
      </c>
      <c r="J379" s="14">
        <v>0.005146397347682924</v>
      </c>
      <c r="K379" s="14">
        <v>0</v>
      </c>
      <c r="L379" s="453">
        <v>0.017595864427150415</v>
      </c>
      <c r="M379" s="453">
        <v>0.009557327067483514</v>
      </c>
      <c r="N379" s="453">
        <v>0.008615780677661741</v>
      </c>
      <c r="O379" s="14">
        <v>0.011984713548795057</v>
      </c>
      <c r="P379" s="14">
        <v>0</v>
      </c>
      <c r="Q379" s="453">
        <v>0</v>
      </c>
      <c r="R379" s="453">
        <v>0</v>
      </c>
      <c r="S379" s="15">
        <v>0</v>
      </c>
    </row>
    <row r="380" spans="1:19" ht="12.75">
      <c r="A380" s="51"/>
      <c r="B380" s="5" t="s">
        <v>659</v>
      </c>
      <c r="C380" s="14">
        <v>-0.027687498147176862</v>
      </c>
      <c r="D380" s="453">
        <v>0</v>
      </c>
      <c r="E380" s="453">
        <v>0.4525607491755356</v>
      </c>
      <c r="F380" s="453">
        <v>0</v>
      </c>
      <c r="G380" s="453">
        <v>0.7314581547929204</v>
      </c>
      <c r="H380" s="453">
        <v>-0.03852985973404606</v>
      </c>
      <c r="I380" s="453">
        <v>0</v>
      </c>
      <c r="J380" s="14">
        <v>0.23582461304959534</v>
      </c>
      <c r="K380" s="14">
        <v>0</v>
      </c>
      <c r="L380" s="453">
        <v>-0.28271818601316445</v>
      </c>
      <c r="M380" s="453">
        <v>-0.028139873383095128</v>
      </c>
      <c r="N380" s="453">
        <v>-0.10314815242910264</v>
      </c>
      <c r="O380" s="14">
        <v>-0.14457958475854407</v>
      </c>
      <c r="P380" s="14">
        <v>0</v>
      </c>
      <c r="Q380" s="453">
        <v>0</v>
      </c>
      <c r="R380" s="453">
        <v>0</v>
      </c>
      <c r="S380" s="15">
        <v>0</v>
      </c>
    </row>
    <row r="381" spans="1:19" ht="12.75">
      <c r="A381" s="51"/>
      <c r="B381" s="5" t="s">
        <v>615</v>
      </c>
      <c r="C381" s="14">
        <v>0.0021599383803532295</v>
      </c>
      <c r="D381" s="453">
        <v>0</v>
      </c>
      <c r="E381" s="453">
        <v>0</v>
      </c>
      <c r="F381" s="453">
        <v>0</v>
      </c>
      <c r="G381" s="453">
        <v>0</v>
      </c>
      <c r="H381" s="453">
        <v>0</v>
      </c>
      <c r="I381" s="453">
        <v>0</v>
      </c>
      <c r="J381" s="14">
        <v>0.0010547616181418998</v>
      </c>
      <c r="K381" s="14">
        <v>0</v>
      </c>
      <c r="L381" s="453">
        <v>0.011586866094344632</v>
      </c>
      <c r="M381" s="453">
        <v>0</v>
      </c>
      <c r="N381" s="453">
        <v>2.5589554912341556E-05</v>
      </c>
      <c r="O381" s="14">
        <v>0.004594113087370149</v>
      </c>
      <c r="P381" s="14">
        <v>0</v>
      </c>
      <c r="Q381" s="453">
        <v>0</v>
      </c>
      <c r="R381" s="453">
        <v>0</v>
      </c>
      <c r="S381" s="15">
        <v>0</v>
      </c>
    </row>
    <row r="382" spans="1:19" ht="12.75">
      <c r="A382" s="51"/>
      <c r="B382" s="5" t="s">
        <v>617</v>
      </c>
      <c r="C382" s="14">
        <v>0.001910397879722296</v>
      </c>
      <c r="D382" s="453">
        <v>0</v>
      </c>
      <c r="E382" s="453">
        <v>0</v>
      </c>
      <c r="F382" s="453">
        <v>0</v>
      </c>
      <c r="G382" s="453">
        <v>0</v>
      </c>
      <c r="H382" s="453">
        <v>0</v>
      </c>
      <c r="I382" s="453">
        <v>0</v>
      </c>
      <c r="J382" s="14">
        <v>0.0009139764813255316</v>
      </c>
      <c r="K382" s="14">
        <v>0</v>
      </c>
      <c r="L382" s="453">
        <v>0.012814723314081084</v>
      </c>
      <c r="M382" s="453">
        <v>0</v>
      </c>
      <c r="N382" s="453">
        <v>1.3242823052046943E-05</v>
      </c>
      <c r="O382" s="14">
        <v>0.005161971168502498</v>
      </c>
      <c r="P382" s="14">
        <v>0</v>
      </c>
      <c r="Q382" s="453">
        <v>0</v>
      </c>
      <c r="R382" s="453">
        <v>0</v>
      </c>
      <c r="S382" s="15">
        <v>0</v>
      </c>
    </row>
    <row r="383" spans="1:19" ht="12.75">
      <c r="A383" s="51"/>
      <c r="B383" s="5" t="s">
        <v>645</v>
      </c>
      <c r="C383" s="14">
        <v>-0.024954050063093355</v>
      </c>
      <c r="D383" s="453">
        <v>0</v>
      </c>
      <c r="E383" s="453">
        <v>0</v>
      </c>
      <c r="F383" s="453">
        <v>0</v>
      </c>
      <c r="G383" s="453">
        <v>0</v>
      </c>
      <c r="H383" s="453">
        <v>0</v>
      </c>
      <c r="I383" s="453">
        <v>0</v>
      </c>
      <c r="J383" s="14">
        <v>-0.014078513681636828</v>
      </c>
      <c r="K383" s="14">
        <v>0</v>
      </c>
      <c r="L383" s="453">
        <v>0.12278572197364518</v>
      </c>
      <c r="M383" s="453">
        <v>0</v>
      </c>
      <c r="N383" s="453">
        <v>-0.0012346731860294613</v>
      </c>
      <c r="O383" s="14">
        <v>0.056785808113234915</v>
      </c>
      <c r="P383" s="14">
        <v>0</v>
      </c>
      <c r="Q383" s="453">
        <v>0</v>
      </c>
      <c r="R383" s="453">
        <v>0</v>
      </c>
      <c r="S383" s="15">
        <v>0</v>
      </c>
    </row>
    <row r="384" spans="1:19" ht="12.75">
      <c r="A384" s="51"/>
      <c r="B384" s="5" t="s">
        <v>601</v>
      </c>
      <c r="C384" s="502">
        <v>0.7206357158761968</v>
      </c>
      <c r="D384" s="453">
        <v>0</v>
      </c>
      <c r="E384" s="453">
        <v>0.9468149954282231</v>
      </c>
      <c r="F384" s="453">
        <v>0.9503610621481776</v>
      </c>
      <c r="G384" s="502">
        <v>0.7808914610620368</v>
      </c>
      <c r="H384" s="453">
        <v>0</v>
      </c>
      <c r="I384" s="453">
        <v>0</v>
      </c>
      <c r="J384" s="14">
        <v>0.7676198591704676</v>
      </c>
      <c r="K384" s="14">
        <v>0</v>
      </c>
      <c r="L384" s="453">
        <v>0</v>
      </c>
      <c r="M384" s="453">
        <v>0</v>
      </c>
      <c r="N384" s="453">
        <v>0</v>
      </c>
      <c r="O384" s="14">
        <v>0</v>
      </c>
      <c r="P384" s="14">
        <v>0</v>
      </c>
      <c r="Q384" s="453">
        <v>0</v>
      </c>
      <c r="R384" s="453">
        <v>0</v>
      </c>
      <c r="S384" s="15">
        <v>0</v>
      </c>
    </row>
    <row r="385" spans="1:19" ht="12.75">
      <c r="A385" s="51"/>
      <c r="B385" s="5" t="s">
        <v>619</v>
      </c>
      <c r="C385" s="503">
        <v>0.8705189910451528</v>
      </c>
      <c r="D385" s="453">
        <v>0</v>
      </c>
      <c r="E385" s="453">
        <v>0.9501730392361256</v>
      </c>
      <c r="F385" s="453">
        <v>0.981069174901774</v>
      </c>
      <c r="G385" s="503">
        <v>0.8755925625721515</v>
      </c>
      <c r="H385" s="453">
        <v>0</v>
      </c>
      <c r="I385" s="453">
        <v>0</v>
      </c>
      <c r="J385" s="14">
        <v>0.886053484381169</v>
      </c>
      <c r="K385" s="14">
        <v>0</v>
      </c>
      <c r="L385" s="453">
        <v>0</v>
      </c>
      <c r="M385" s="453">
        <v>0</v>
      </c>
      <c r="N385" s="453">
        <v>0</v>
      </c>
      <c r="O385" s="14">
        <v>0</v>
      </c>
      <c r="P385" s="14">
        <v>0</v>
      </c>
      <c r="Q385" s="453">
        <v>0</v>
      </c>
      <c r="R385" s="453">
        <v>0</v>
      </c>
      <c r="S385" s="15">
        <v>0</v>
      </c>
    </row>
    <row r="386" spans="1:19" ht="12.75">
      <c r="A386" s="51"/>
      <c r="B386" s="5" t="s">
        <v>643</v>
      </c>
      <c r="C386" s="505">
        <v>14.988327516895605</v>
      </c>
      <c r="D386" s="453">
        <v>0</v>
      </c>
      <c r="E386" s="453">
        <v>0.33580438079025</v>
      </c>
      <c r="F386" s="453">
        <v>3.0708112753596417</v>
      </c>
      <c r="G386" s="505">
        <v>9.470110151011468</v>
      </c>
      <c r="H386" s="453">
        <v>0</v>
      </c>
      <c r="I386" s="453">
        <v>0</v>
      </c>
      <c r="J386" s="14">
        <v>11.843362521070144</v>
      </c>
      <c r="K386" s="14">
        <v>0</v>
      </c>
      <c r="L386" s="453">
        <v>0</v>
      </c>
      <c r="M386" s="453">
        <v>0</v>
      </c>
      <c r="N386" s="453">
        <v>0</v>
      </c>
      <c r="O386" s="14">
        <v>0</v>
      </c>
      <c r="P386" s="14">
        <v>0</v>
      </c>
      <c r="Q386" s="453">
        <v>0</v>
      </c>
      <c r="R386" s="453">
        <v>0</v>
      </c>
      <c r="S386" s="15">
        <v>0</v>
      </c>
    </row>
    <row r="387" spans="1:19" ht="12.75">
      <c r="A387" s="51"/>
      <c r="B387" s="5" t="s">
        <v>621</v>
      </c>
      <c r="C387" s="503">
        <v>0.1352427076374972</v>
      </c>
      <c r="D387" s="453">
        <v>0</v>
      </c>
      <c r="E387" s="453">
        <v>0.009600731484303566</v>
      </c>
      <c r="F387" s="453">
        <v>0</v>
      </c>
      <c r="G387" s="453">
        <v>0.01078789724845162</v>
      </c>
      <c r="H387" s="453">
        <v>0</v>
      </c>
      <c r="I387" s="453">
        <v>0</v>
      </c>
      <c r="J387" s="14">
        <v>0.09499716591027538</v>
      </c>
      <c r="K387" s="14">
        <v>0</v>
      </c>
      <c r="L387" s="453">
        <v>0</v>
      </c>
      <c r="M387" s="453">
        <v>0</v>
      </c>
      <c r="N387" s="453">
        <v>0</v>
      </c>
      <c r="O387" s="14">
        <v>0</v>
      </c>
      <c r="P387" s="14">
        <v>0</v>
      </c>
      <c r="Q387" s="453">
        <v>0</v>
      </c>
      <c r="R387" s="453">
        <v>0</v>
      </c>
      <c r="S387" s="15">
        <v>0</v>
      </c>
    </row>
    <row r="388" spans="1:19" ht="12.75">
      <c r="A388" s="51"/>
      <c r="B388" s="5" t="s">
        <v>623</v>
      </c>
      <c r="C388" s="503">
        <v>0.04783184850762109</v>
      </c>
      <c r="D388" s="453">
        <v>0</v>
      </c>
      <c r="E388" s="453">
        <v>0.009256556727682108</v>
      </c>
      <c r="F388" s="453">
        <v>0</v>
      </c>
      <c r="G388" s="453">
        <v>0.0066072261931078525</v>
      </c>
      <c r="H388" s="453">
        <v>0</v>
      </c>
      <c r="I388" s="453">
        <v>0</v>
      </c>
      <c r="J388" s="14">
        <v>0.034513492277562126</v>
      </c>
      <c r="K388" s="14">
        <v>0</v>
      </c>
      <c r="L388" s="453">
        <v>0</v>
      </c>
      <c r="M388" s="453">
        <v>0</v>
      </c>
      <c r="N388" s="453">
        <v>0</v>
      </c>
      <c r="O388" s="14">
        <v>0</v>
      </c>
      <c r="P388" s="14">
        <v>0</v>
      </c>
      <c r="Q388" s="453">
        <v>0</v>
      </c>
      <c r="R388" s="453">
        <v>0</v>
      </c>
      <c r="S388" s="15">
        <v>0</v>
      </c>
    </row>
    <row r="389" spans="1:19" ht="12.75">
      <c r="A389" s="51"/>
      <c r="B389" s="5" t="s">
        <v>647</v>
      </c>
      <c r="C389" s="505">
        <v>-8.74108591298761</v>
      </c>
      <c r="D389" s="453">
        <v>0</v>
      </c>
      <c r="E389" s="453">
        <v>-0.03441747566214574</v>
      </c>
      <c r="F389" s="453">
        <v>0</v>
      </c>
      <c r="G389" s="453">
        <v>-0.4180671055343767</v>
      </c>
      <c r="H389" s="453">
        <v>0</v>
      </c>
      <c r="I389" s="453">
        <v>0</v>
      </c>
      <c r="J389" s="14">
        <v>-6.048367363271325</v>
      </c>
      <c r="K389" s="14">
        <v>0</v>
      </c>
      <c r="L389" s="453">
        <v>0</v>
      </c>
      <c r="M389" s="453">
        <v>0</v>
      </c>
      <c r="N389" s="453">
        <v>0</v>
      </c>
      <c r="O389" s="14">
        <v>0</v>
      </c>
      <c r="P389" s="14">
        <v>0</v>
      </c>
      <c r="Q389" s="453">
        <v>0</v>
      </c>
      <c r="R389" s="453">
        <v>0</v>
      </c>
      <c r="S389" s="15">
        <v>0</v>
      </c>
    </row>
    <row r="390" spans="1:19" ht="12.75">
      <c r="A390" s="51"/>
      <c r="B390" s="5" t="s">
        <v>625</v>
      </c>
      <c r="C390" s="479">
        <v>0.04933199732798931</v>
      </c>
      <c r="D390" s="453">
        <v>0</v>
      </c>
      <c r="E390" s="453">
        <v>0.014172508381590978</v>
      </c>
      <c r="F390" s="453">
        <v>0.02780462841871837</v>
      </c>
      <c r="G390" s="502">
        <v>0.08919687277896234</v>
      </c>
      <c r="H390" s="453">
        <v>0</v>
      </c>
      <c r="I390" s="453">
        <v>0</v>
      </c>
      <c r="J390" s="14">
        <v>0.050355497563443666</v>
      </c>
      <c r="K390" s="14">
        <v>0</v>
      </c>
      <c r="L390" s="453">
        <v>0</v>
      </c>
      <c r="M390" s="453">
        <v>0</v>
      </c>
      <c r="N390" s="453">
        <v>0</v>
      </c>
      <c r="O390" s="14">
        <v>0</v>
      </c>
      <c r="P390" s="14">
        <v>0</v>
      </c>
      <c r="Q390" s="453">
        <v>0</v>
      </c>
      <c r="R390" s="453">
        <v>0</v>
      </c>
      <c r="S390" s="15">
        <v>0</v>
      </c>
    </row>
    <row r="391" spans="1:19" ht="12.75">
      <c r="A391" s="51"/>
      <c r="B391" s="5" t="s">
        <v>627</v>
      </c>
      <c r="C391" s="479">
        <v>0.027977443652154956</v>
      </c>
      <c r="D391" s="453">
        <v>0</v>
      </c>
      <c r="E391" s="453">
        <v>0.014968936329900345</v>
      </c>
      <c r="F391" s="453">
        <v>0.010179783307536612</v>
      </c>
      <c r="G391" s="503">
        <v>0.041534644953700295</v>
      </c>
      <c r="H391" s="453">
        <v>0</v>
      </c>
      <c r="I391" s="453">
        <v>0</v>
      </c>
      <c r="J391" s="14">
        <v>0.027746830692732583</v>
      </c>
      <c r="K391" s="14">
        <v>0</v>
      </c>
      <c r="L391" s="453">
        <v>0</v>
      </c>
      <c r="M391" s="453">
        <v>0</v>
      </c>
      <c r="N391" s="453">
        <v>0</v>
      </c>
      <c r="O391" s="14">
        <v>0</v>
      </c>
      <c r="P391" s="14">
        <v>0</v>
      </c>
      <c r="Q391" s="453">
        <v>0</v>
      </c>
      <c r="R391" s="453">
        <v>0</v>
      </c>
      <c r="S391" s="15">
        <v>0</v>
      </c>
    </row>
    <row r="392" spans="1:19" ht="12.75">
      <c r="A392" s="51"/>
      <c r="B392" s="5" t="s">
        <v>653</v>
      </c>
      <c r="C392" s="479">
        <v>-2.1354553675834356</v>
      </c>
      <c r="D392" s="453">
        <v>0</v>
      </c>
      <c r="E392" s="453">
        <v>0.07964279483093674</v>
      </c>
      <c r="F392" s="453">
        <v>-1.762484511118176</v>
      </c>
      <c r="G392" s="505">
        <v>-4.766222782526204</v>
      </c>
      <c r="H392" s="453">
        <v>0</v>
      </c>
      <c r="I392" s="453">
        <v>0</v>
      </c>
      <c r="J392" s="14">
        <v>-2.260866687071108</v>
      </c>
      <c r="K392" s="14">
        <v>0</v>
      </c>
      <c r="L392" s="453">
        <v>0</v>
      </c>
      <c r="M392" s="453">
        <v>0</v>
      </c>
      <c r="N392" s="453">
        <v>0</v>
      </c>
      <c r="O392" s="14">
        <v>0</v>
      </c>
      <c r="P392" s="14">
        <v>0</v>
      </c>
      <c r="Q392" s="453">
        <v>0</v>
      </c>
      <c r="R392" s="453">
        <v>0</v>
      </c>
      <c r="S392" s="15">
        <v>0</v>
      </c>
    </row>
    <row r="393" spans="1:19" ht="12.75">
      <c r="A393" s="51"/>
      <c r="B393" s="5" t="s">
        <v>629</v>
      </c>
      <c r="C393" s="502">
        <v>0.09407147628590515</v>
      </c>
      <c r="D393" s="453">
        <v>0</v>
      </c>
      <c r="E393" s="453">
        <v>0.006629076501066748</v>
      </c>
      <c r="F393" s="453">
        <v>0.021834309433103997</v>
      </c>
      <c r="G393" s="503">
        <v>0.10899583714082647</v>
      </c>
      <c r="H393" s="453">
        <v>0</v>
      </c>
      <c r="I393" s="453">
        <v>0</v>
      </c>
      <c r="J393" s="14">
        <v>0.08274400751699502</v>
      </c>
      <c r="K393" s="14">
        <v>0</v>
      </c>
      <c r="L393" s="453">
        <v>0</v>
      </c>
      <c r="M393" s="453">
        <v>0</v>
      </c>
      <c r="N393" s="453">
        <v>0</v>
      </c>
      <c r="O393" s="14">
        <v>0</v>
      </c>
      <c r="P393" s="14">
        <v>0</v>
      </c>
      <c r="Q393" s="453">
        <v>0</v>
      </c>
      <c r="R393" s="453">
        <v>0</v>
      </c>
      <c r="S393" s="15">
        <v>0</v>
      </c>
    </row>
    <row r="394" spans="1:19" ht="12.75">
      <c r="A394" s="51"/>
      <c r="B394" s="5" t="s">
        <v>631</v>
      </c>
      <c r="C394" s="503">
        <v>0.05351682834343933</v>
      </c>
      <c r="D394" s="453">
        <v>0</v>
      </c>
      <c r="E394" s="453">
        <v>0.004878455572697327</v>
      </c>
      <c r="F394" s="453">
        <v>0.008751041790689367</v>
      </c>
      <c r="G394" s="503">
        <v>0.06533539655638249</v>
      </c>
      <c r="H394" s="453">
        <v>0</v>
      </c>
      <c r="I394" s="453">
        <v>0</v>
      </c>
      <c r="J394" s="14">
        <v>0.04789826943900427</v>
      </c>
      <c r="K394" s="14">
        <v>0</v>
      </c>
      <c r="L394" s="453">
        <v>0</v>
      </c>
      <c r="M394" s="453">
        <v>0</v>
      </c>
      <c r="N394" s="453">
        <v>0</v>
      </c>
      <c r="O394" s="14">
        <v>0</v>
      </c>
      <c r="P394" s="14">
        <v>0</v>
      </c>
      <c r="Q394" s="453">
        <v>0</v>
      </c>
      <c r="R394" s="453">
        <v>0</v>
      </c>
      <c r="S394" s="15">
        <v>0</v>
      </c>
    </row>
    <row r="395" spans="1:19" ht="12.75">
      <c r="A395" s="51"/>
      <c r="B395" s="5" t="s">
        <v>655</v>
      </c>
      <c r="C395" s="505">
        <v>-4.055464794246582</v>
      </c>
      <c r="D395" s="453">
        <v>0</v>
      </c>
      <c r="E395" s="453">
        <v>-0.17506209283694207</v>
      </c>
      <c r="F395" s="453">
        <v>-1.3083267642414629</v>
      </c>
      <c r="G395" s="505">
        <v>-4.366044058444399</v>
      </c>
      <c r="H395" s="453">
        <v>0</v>
      </c>
      <c r="I395" s="453">
        <v>0</v>
      </c>
      <c r="J395" s="14">
        <v>-3.4845738077990753</v>
      </c>
      <c r="K395" s="14">
        <v>0</v>
      </c>
      <c r="L395" s="453">
        <v>0</v>
      </c>
      <c r="M395" s="453">
        <v>0</v>
      </c>
      <c r="N395" s="453">
        <v>0</v>
      </c>
      <c r="O395" s="14">
        <v>0</v>
      </c>
      <c r="P395" s="14">
        <v>0</v>
      </c>
      <c r="Q395" s="453">
        <v>0</v>
      </c>
      <c r="R395" s="453">
        <v>0</v>
      </c>
      <c r="S395" s="15">
        <v>0</v>
      </c>
    </row>
    <row r="396" spans="1:19" ht="12.75">
      <c r="A396" s="51"/>
      <c r="B396" s="5" t="s">
        <v>633</v>
      </c>
      <c r="C396" s="14">
        <v>0.0004843019372077488</v>
      </c>
      <c r="D396" s="453">
        <v>0</v>
      </c>
      <c r="E396" s="453">
        <v>0.022782688204815604</v>
      </c>
      <c r="F396" s="453">
        <v>0</v>
      </c>
      <c r="G396" s="453">
        <v>0.010127931769722815</v>
      </c>
      <c r="H396" s="453">
        <v>0</v>
      </c>
      <c r="I396" s="453">
        <v>0</v>
      </c>
      <c r="J396" s="14">
        <v>0.004123695653000902</v>
      </c>
      <c r="K396" s="14">
        <v>0</v>
      </c>
      <c r="L396" s="453">
        <v>0</v>
      </c>
      <c r="M396" s="453">
        <v>0</v>
      </c>
      <c r="N396" s="453">
        <v>0</v>
      </c>
      <c r="O396" s="14">
        <v>0</v>
      </c>
      <c r="P396" s="14">
        <v>0</v>
      </c>
      <c r="Q396" s="453">
        <v>0</v>
      </c>
      <c r="R396" s="453">
        <v>0</v>
      </c>
      <c r="S396" s="15">
        <v>0</v>
      </c>
    </row>
    <row r="397" spans="1:19" ht="12.75">
      <c r="A397" s="51"/>
      <c r="B397" s="5" t="s">
        <v>635</v>
      </c>
      <c r="C397" s="482">
        <v>8.604913979543252E-05</v>
      </c>
      <c r="D397" s="453">
        <v>0</v>
      </c>
      <c r="E397" s="453">
        <v>0.02072301213359463</v>
      </c>
      <c r="F397" s="453">
        <v>0</v>
      </c>
      <c r="G397" s="453">
        <v>0.010930169724657973</v>
      </c>
      <c r="H397" s="453">
        <v>0</v>
      </c>
      <c r="I397" s="453">
        <v>0</v>
      </c>
      <c r="J397" s="14">
        <v>0.003741013943779245</v>
      </c>
      <c r="K397" s="14">
        <v>0</v>
      </c>
      <c r="L397" s="453">
        <v>0</v>
      </c>
      <c r="M397" s="453">
        <v>0</v>
      </c>
      <c r="N397" s="453">
        <v>0</v>
      </c>
      <c r="O397" s="14">
        <v>0</v>
      </c>
      <c r="P397" s="14">
        <v>0</v>
      </c>
      <c r="Q397" s="453">
        <v>0</v>
      </c>
      <c r="R397" s="453">
        <v>0</v>
      </c>
      <c r="S397" s="15">
        <v>0</v>
      </c>
    </row>
    <row r="398" spans="1:19" ht="12.75">
      <c r="A398" s="51"/>
      <c r="B398" s="5" t="s">
        <v>661</v>
      </c>
      <c r="C398" s="14">
        <v>-0.03982527974123163</v>
      </c>
      <c r="D398" s="453">
        <v>0</v>
      </c>
      <c r="E398" s="453">
        <v>-0.20596760712209733</v>
      </c>
      <c r="F398" s="453">
        <v>0</v>
      </c>
      <c r="G398" s="453">
        <v>0.08022379549351577</v>
      </c>
      <c r="H398" s="453">
        <v>0</v>
      </c>
      <c r="I398" s="453">
        <v>0</v>
      </c>
      <c r="J398" s="14">
        <v>-0.03826817092216568</v>
      </c>
      <c r="K398" s="14">
        <v>0</v>
      </c>
      <c r="L398" s="453">
        <v>0</v>
      </c>
      <c r="M398" s="453">
        <v>0</v>
      </c>
      <c r="N398" s="453">
        <v>0</v>
      </c>
      <c r="O398" s="14">
        <v>0</v>
      </c>
      <c r="P398" s="14">
        <v>0</v>
      </c>
      <c r="Q398" s="453">
        <v>0</v>
      </c>
      <c r="R398" s="453">
        <v>0</v>
      </c>
      <c r="S398" s="15">
        <v>0</v>
      </c>
    </row>
    <row r="399" spans="1:19" ht="12.75">
      <c r="A399" s="51"/>
      <c r="B399" s="5" t="s">
        <v>637</v>
      </c>
      <c r="C399" s="482">
        <v>0.00023380093520374083</v>
      </c>
      <c r="D399" s="453">
        <v>0</v>
      </c>
      <c r="E399" s="453">
        <v>0</v>
      </c>
      <c r="F399" s="453">
        <v>0</v>
      </c>
      <c r="G399" s="453">
        <v>0</v>
      </c>
      <c r="H399" s="453">
        <v>0</v>
      </c>
      <c r="I399" s="453">
        <v>0</v>
      </c>
      <c r="J399" s="14">
        <v>0.00015977418581737812</v>
      </c>
      <c r="K399" s="14">
        <v>0</v>
      </c>
      <c r="L399" s="453">
        <v>0</v>
      </c>
      <c r="M399" s="453">
        <v>0</v>
      </c>
      <c r="N399" s="453">
        <v>0</v>
      </c>
      <c r="O399" s="14">
        <v>0</v>
      </c>
      <c r="P399" s="14">
        <v>0</v>
      </c>
      <c r="Q399" s="453">
        <v>0</v>
      </c>
      <c r="R399" s="453">
        <v>0</v>
      </c>
      <c r="S399" s="15">
        <v>0</v>
      </c>
    </row>
    <row r="400" spans="1:19" ht="12.75">
      <c r="A400" s="51"/>
      <c r="B400" s="5" t="s">
        <v>639</v>
      </c>
      <c r="C400" s="14">
        <v>6.883931183634601E-05</v>
      </c>
      <c r="D400" s="453">
        <v>0</v>
      </c>
      <c r="E400" s="453">
        <v>0</v>
      </c>
      <c r="F400" s="453">
        <v>0</v>
      </c>
      <c r="G400" s="453">
        <v>0</v>
      </c>
      <c r="H400" s="453">
        <v>0</v>
      </c>
      <c r="I400" s="453">
        <v>0</v>
      </c>
      <c r="J400" s="14">
        <v>4.6909265752717806E-05</v>
      </c>
      <c r="K400" s="14">
        <v>0</v>
      </c>
      <c r="L400" s="453">
        <v>0</v>
      </c>
      <c r="M400" s="453">
        <v>0</v>
      </c>
      <c r="N400" s="453">
        <v>0</v>
      </c>
      <c r="O400" s="14">
        <v>0</v>
      </c>
      <c r="P400" s="14">
        <v>0</v>
      </c>
      <c r="Q400" s="453">
        <v>0</v>
      </c>
      <c r="R400" s="453">
        <v>0</v>
      </c>
      <c r="S400" s="15">
        <v>0</v>
      </c>
    </row>
    <row r="401" spans="1:21" s="196" customFormat="1" ht="12.75">
      <c r="A401" s="454"/>
      <c r="B401" s="5" t="s">
        <v>663</v>
      </c>
      <c r="C401" s="14">
        <v>-0.016496162336739482</v>
      </c>
      <c r="D401" s="453">
        <v>0</v>
      </c>
      <c r="E401" s="453">
        <v>0</v>
      </c>
      <c r="F401" s="453">
        <v>0</v>
      </c>
      <c r="G401" s="453">
        <v>0</v>
      </c>
      <c r="H401" s="453">
        <v>0</v>
      </c>
      <c r="I401" s="453">
        <v>0</v>
      </c>
      <c r="J401" s="14">
        <v>-0.011286492006466031</v>
      </c>
      <c r="K401" s="14">
        <v>0</v>
      </c>
      <c r="L401" s="453">
        <v>0</v>
      </c>
      <c r="M401" s="453">
        <v>0</v>
      </c>
      <c r="N401" s="453">
        <v>0</v>
      </c>
      <c r="O401" s="14">
        <v>0</v>
      </c>
      <c r="P401" s="14">
        <v>0</v>
      </c>
      <c r="Q401" s="453">
        <v>0</v>
      </c>
      <c r="R401" s="453">
        <v>0</v>
      </c>
      <c r="S401" s="15">
        <v>0</v>
      </c>
      <c r="T401"/>
      <c r="U401"/>
    </row>
    <row r="402" spans="1:21" s="48" customFormat="1" ht="12.75">
      <c r="A402" s="50" t="s">
        <v>131</v>
      </c>
      <c r="B402" s="3" t="s">
        <v>593</v>
      </c>
      <c r="C402" s="11">
        <v>0.9754009561570326</v>
      </c>
      <c r="D402" s="12">
        <v>0.9729259204054256</v>
      </c>
      <c r="E402" s="12">
        <v>0.9568192822650511</v>
      </c>
      <c r="F402" s="523">
        <v>0.9468365431733499</v>
      </c>
      <c r="G402" s="510">
        <v>0.6430184371820641</v>
      </c>
      <c r="H402" s="12">
        <v>0.9239443507527895</v>
      </c>
      <c r="I402" s="12">
        <v>0</v>
      </c>
      <c r="J402" s="11">
        <v>0.9633932555425715</v>
      </c>
      <c r="K402" s="11">
        <v>0</v>
      </c>
      <c r="L402" s="12">
        <v>0.8387983121817961</v>
      </c>
      <c r="M402" s="12">
        <v>0.7338912875487198</v>
      </c>
      <c r="N402" s="510">
        <v>0.6187165808922628</v>
      </c>
      <c r="O402" s="11">
        <v>0.8017677434381413</v>
      </c>
      <c r="P402" s="11">
        <v>0</v>
      </c>
      <c r="Q402" s="12">
        <v>0</v>
      </c>
      <c r="R402" s="12">
        <v>0</v>
      </c>
      <c r="S402" s="13">
        <v>0</v>
      </c>
      <c r="T402"/>
      <c r="U402"/>
    </row>
    <row r="403" spans="1:19" ht="12.75">
      <c r="A403" s="51"/>
      <c r="B403" s="5" t="s">
        <v>595</v>
      </c>
      <c r="C403" s="14">
        <v>0.9587784232844662</v>
      </c>
      <c r="D403" s="453">
        <v>0.9643022417613712</v>
      </c>
      <c r="E403" s="453">
        <v>0.9461506937357163</v>
      </c>
      <c r="F403" s="522">
        <v>0.8908491364396216</v>
      </c>
      <c r="G403" s="503">
        <v>0.5610203323739671</v>
      </c>
      <c r="H403" s="453">
        <v>0.9126791190981731</v>
      </c>
      <c r="I403" s="453">
        <v>0</v>
      </c>
      <c r="J403" s="14">
        <v>0.9488466215187985</v>
      </c>
      <c r="K403" s="14">
        <v>0</v>
      </c>
      <c r="L403" s="453">
        <v>0.8178603941340497</v>
      </c>
      <c r="M403" s="453">
        <v>0.7003269636473405</v>
      </c>
      <c r="N403" s="503">
        <v>0.5878012510708456</v>
      </c>
      <c r="O403" s="14">
        <v>0.7776900018802888</v>
      </c>
      <c r="P403" s="14">
        <v>0</v>
      </c>
      <c r="Q403" s="453">
        <v>0</v>
      </c>
      <c r="R403" s="453">
        <v>0</v>
      </c>
      <c r="S403" s="15">
        <v>0</v>
      </c>
    </row>
    <row r="404" spans="1:19" ht="12.75">
      <c r="A404" s="51"/>
      <c r="B404" s="476" t="s">
        <v>641</v>
      </c>
      <c r="C404" s="455">
        <v>-1.6622532872566431</v>
      </c>
      <c r="D404" s="530">
        <v>-0.8623678644054333</v>
      </c>
      <c r="E404" s="530">
        <v>-1.0668588529334833</v>
      </c>
      <c r="F404" s="532">
        <v>-5.598740673372826</v>
      </c>
      <c r="G404" s="527">
        <v>-8.199810480809699</v>
      </c>
      <c r="H404" s="530">
        <v>-1.1265231654616348</v>
      </c>
      <c r="I404" s="530">
        <v>0</v>
      </c>
      <c r="J404" s="455">
        <v>-1.4546634023772986</v>
      </c>
      <c r="K404" s="455">
        <v>0</v>
      </c>
      <c r="L404" s="530">
        <v>-2.0937918047746473</v>
      </c>
      <c r="M404" s="530">
        <v>-3.356432390137931</v>
      </c>
      <c r="N404" s="527">
        <v>-3.0915329821417203</v>
      </c>
      <c r="O404" s="455">
        <v>-2.4077741557852472</v>
      </c>
      <c r="P404" s="455">
        <v>0</v>
      </c>
      <c r="Q404" s="530">
        <v>0</v>
      </c>
      <c r="R404" s="530">
        <v>0</v>
      </c>
      <c r="S404" s="456">
        <v>0</v>
      </c>
    </row>
    <row r="405" spans="1:19" ht="12.75">
      <c r="A405" s="51"/>
      <c r="B405" s="5" t="s">
        <v>597</v>
      </c>
      <c r="C405" s="14">
        <v>0.005401954464839229</v>
      </c>
      <c r="D405" s="453">
        <v>0.006208973021314652</v>
      </c>
      <c r="E405" s="453">
        <v>0.023922999699231624</v>
      </c>
      <c r="F405" s="453">
        <v>0.007919043612526235</v>
      </c>
      <c r="G405" s="453">
        <v>0.1029802228343135</v>
      </c>
      <c r="H405" s="453">
        <v>0.031006943570455126</v>
      </c>
      <c r="I405" s="453">
        <v>0</v>
      </c>
      <c r="J405" s="14">
        <v>0.01498480383463268</v>
      </c>
      <c r="K405" s="14">
        <v>0</v>
      </c>
      <c r="L405" s="453">
        <v>0.08336922090724135</v>
      </c>
      <c r="M405" s="453">
        <v>0.19769248196292483</v>
      </c>
      <c r="N405" s="503">
        <v>0.31649187911764154</v>
      </c>
      <c r="O405" s="14">
        <v>0.12343308882406255</v>
      </c>
      <c r="P405" s="14">
        <v>0</v>
      </c>
      <c r="Q405" s="453">
        <v>0</v>
      </c>
      <c r="R405" s="453">
        <v>0</v>
      </c>
      <c r="S405" s="15">
        <v>0</v>
      </c>
    </row>
    <row r="406" spans="1:19" ht="12.75">
      <c r="A406" s="51"/>
      <c r="B406" s="5" t="s">
        <v>599</v>
      </c>
      <c r="C406" s="14">
        <v>0.00749494533892754</v>
      </c>
      <c r="D406" s="453">
        <v>0.006014888712878337</v>
      </c>
      <c r="E406" s="453">
        <v>0.02477414639701125</v>
      </c>
      <c r="F406" s="453">
        <v>0.03846522621821835</v>
      </c>
      <c r="G406" s="453">
        <v>0.10395970661962678</v>
      </c>
      <c r="H406" s="453">
        <v>0.03688545609338298</v>
      </c>
      <c r="I406" s="453">
        <v>0</v>
      </c>
      <c r="J406" s="14">
        <v>0.01728804494233723</v>
      </c>
      <c r="K406" s="14">
        <v>0</v>
      </c>
      <c r="L406" s="453">
        <v>0.07864970242820629</v>
      </c>
      <c r="M406" s="453">
        <v>0.19362353052904346</v>
      </c>
      <c r="N406" s="503">
        <v>0.29980239869397257</v>
      </c>
      <c r="O406" s="14">
        <v>0.11777701868204403</v>
      </c>
      <c r="P406" s="14">
        <v>0</v>
      </c>
      <c r="Q406" s="453">
        <v>0</v>
      </c>
      <c r="R406" s="453">
        <v>0</v>
      </c>
      <c r="S406" s="15">
        <v>0</v>
      </c>
    </row>
    <row r="407" spans="1:19" ht="12.75">
      <c r="A407" s="51"/>
      <c r="B407" s="5" t="s">
        <v>649</v>
      </c>
      <c r="C407" s="14">
        <v>0.20929908740883107</v>
      </c>
      <c r="D407" s="453">
        <v>-0.01940843084363153</v>
      </c>
      <c r="E407" s="453">
        <v>0.08511466977796263</v>
      </c>
      <c r="F407" s="453">
        <v>3.0546182605692116</v>
      </c>
      <c r="G407" s="453">
        <v>0.0979483785313276</v>
      </c>
      <c r="H407" s="453">
        <v>0.5878512522927852</v>
      </c>
      <c r="I407" s="453">
        <v>0</v>
      </c>
      <c r="J407" s="14">
        <v>0.23032411077045511</v>
      </c>
      <c r="K407" s="14">
        <v>0</v>
      </c>
      <c r="L407" s="453">
        <v>-0.47195184790350536</v>
      </c>
      <c r="M407" s="453">
        <v>-0.40689514338813626</v>
      </c>
      <c r="N407" s="505">
        <v>-1.6689480423668968</v>
      </c>
      <c r="O407" s="14">
        <v>-0.5656070142018521</v>
      </c>
      <c r="P407" s="14">
        <v>0</v>
      </c>
      <c r="Q407" s="453">
        <v>0</v>
      </c>
      <c r="R407" s="453">
        <v>0</v>
      </c>
      <c r="S407" s="15">
        <v>0</v>
      </c>
    </row>
    <row r="408" spans="1:19" ht="12.75">
      <c r="A408" s="51"/>
      <c r="B408" s="5" t="s">
        <v>603</v>
      </c>
      <c r="C408" s="14">
        <v>0.013812636111874563</v>
      </c>
      <c r="D408" s="453">
        <v>0.01912654643016843</v>
      </c>
      <c r="E408" s="453">
        <v>0.014549726363719331</v>
      </c>
      <c r="F408" s="453">
        <v>0.038994239855025564</v>
      </c>
      <c r="G408" s="502">
        <v>0.22779721581180676</v>
      </c>
      <c r="H408" s="453">
        <v>0.027972053117774606</v>
      </c>
      <c r="I408" s="453">
        <v>0</v>
      </c>
      <c r="J408" s="14">
        <v>0.016418580055407493</v>
      </c>
      <c r="K408" s="14">
        <v>0</v>
      </c>
      <c r="L408" s="453">
        <v>0.05822587456759162</v>
      </c>
      <c r="M408" s="453">
        <v>0.05007725864733057</v>
      </c>
      <c r="N408" s="503">
        <v>0.03281994061611305</v>
      </c>
      <c r="O408" s="14">
        <v>0.05498990232890198</v>
      </c>
      <c r="P408" s="14">
        <v>0</v>
      </c>
      <c r="Q408" s="453">
        <v>0</v>
      </c>
      <c r="R408" s="453">
        <v>0</v>
      </c>
      <c r="S408" s="15">
        <v>0</v>
      </c>
    </row>
    <row r="409" spans="1:19" ht="12.75">
      <c r="A409" s="51"/>
      <c r="B409" s="5" t="s">
        <v>605</v>
      </c>
      <c r="C409" s="14">
        <v>0.027499149462056543</v>
      </c>
      <c r="D409" s="453">
        <v>0.02906547295914281</v>
      </c>
      <c r="E409" s="453">
        <v>0.023207802041866257</v>
      </c>
      <c r="F409" s="453">
        <v>0.06863460327915324</v>
      </c>
      <c r="G409" s="503">
        <v>0.30106303964348713</v>
      </c>
      <c r="H409" s="453">
        <v>0.03510067595983219</v>
      </c>
      <c r="I409" s="453">
        <v>0</v>
      </c>
      <c r="J409" s="14">
        <v>0.028018633714731202</v>
      </c>
      <c r="K409" s="14">
        <v>0</v>
      </c>
      <c r="L409" s="453">
        <v>0.09013375233809973</v>
      </c>
      <c r="M409" s="453">
        <v>0.08522185365324217</v>
      </c>
      <c r="N409" s="503">
        <v>0.07498141173808331</v>
      </c>
      <c r="O409" s="14">
        <v>0.08821582400496292</v>
      </c>
      <c r="P409" s="14">
        <v>0</v>
      </c>
      <c r="Q409" s="453">
        <v>0</v>
      </c>
      <c r="R409" s="453">
        <v>0</v>
      </c>
      <c r="S409" s="15">
        <v>0</v>
      </c>
    </row>
    <row r="410" spans="1:19" ht="12.75">
      <c r="A410" s="51"/>
      <c r="B410" s="5" t="s">
        <v>651</v>
      </c>
      <c r="C410" s="14">
        <v>1.368651335018198</v>
      </c>
      <c r="D410" s="453">
        <v>0.9938926528974379</v>
      </c>
      <c r="E410" s="453">
        <v>0.8658075678146925</v>
      </c>
      <c r="F410" s="453">
        <v>2.964036342412768</v>
      </c>
      <c r="G410" s="505">
        <v>7.326582383168037</v>
      </c>
      <c r="H410" s="453">
        <v>0.7128622842057585</v>
      </c>
      <c r="I410" s="453">
        <v>0</v>
      </c>
      <c r="J410" s="14">
        <v>1.160005365932371</v>
      </c>
      <c r="K410" s="14">
        <v>0</v>
      </c>
      <c r="L410" s="453">
        <v>3.19078777705081</v>
      </c>
      <c r="M410" s="453">
        <v>3.5144595005911596</v>
      </c>
      <c r="N410" s="505">
        <v>4.216147112197026</v>
      </c>
      <c r="O410" s="14">
        <v>3.3225921676060937</v>
      </c>
      <c r="P410" s="14">
        <v>0</v>
      </c>
      <c r="Q410" s="453">
        <v>0</v>
      </c>
      <c r="R410" s="453">
        <v>0</v>
      </c>
      <c r="S410" s="15">
        <v>0</v>
      </c>
    </row>
    <row r="411" spans="1:19" ht="12.75">
      <c r="A411" s="51"/>
      <c r="B411" s="5" t="s">
        <v>607</v>
      </c>
      <c r="C411" s="14">
        <v>0.0008215703505046384</v>
      </c>
      <c r="D411" s="453">
        <v>0.0006904158592934864</v>
      </c>
      <c r="E411" s="453">
        <v>0.0031344650436563723</v>
      </c>
      <c r="F411" s="453">
        <v>0.0041421267231894375</v>
      </c>
      <c r="G411" s="453">
        <v>0.02471525348023524</v>
      </c>
      <c r="H411" s="453">
        <v>0.016159712907993198</v>
      </c>
      <c r="I411" s="453">
        <v>0</v>
      </c>
      <c r="J411" s="14">
        <v>0.0024539397870674278</v>
      </c>
      <c r="K411" s="14">
        <v>0</v>
      </c>
      <c r="L411" s="453">
        <v>0.0007282530415044349</v>
      </c>
      <c r="M411" s="453">
        <v>0.010615865729608872</v>
      </c>
      <c r="N411" s="453">
        <v>0.024658312803893176</v>
      </c>
      <c r="O411" s="14">
        <v>0.004356338567099965</v>
      </c>
      <c r="P411" s="14">
        <v>0</v>
      </c>
      <c r="Q411" s="453">
        <v>0</v>
      </c>
      <c r="R411" s="453">
        <v>0</v>
      </c>
      <c r="S411" s="15">
        <v>0</v>
      </c>
    </row>
    <row r="412" spans="1:19" ht="12.75">
      <c r="A412" s="51"/>
      <c r="B412" s="5" t="s">
        <v>609</v>
      </c>
      <c r="C412" s="14">
        <v>0.0001579036767646981</v>
      </c>
      <c r="D412" s="453">
        <v>0.0001868876093515</v>
      </c>
      <c r="E412" s="453">
        <v>0.004377357746059638</v>
      </c>
      <c r="F412" s="453">
        <v>0.0015507818525173109</v>
      </c>
      <c r="G412" s="453">
        <v>0.033956921362918946</v>
      </c>
      <c r="H412" s="453">
        <v>0.014093608640797612</v>
      </c>
      <c r="I412" s="453">
        <v>0</v>
      </c>
      <c r="J412" s="14">
        <v>0.0026762694944578043</v>
      </c>
      <c r="K412" s="14">
        <v>0</v>
      </c>
      <c r="L412" s="453">
        <v>0.0006890978729762505</v>
      </c>
      <c r="M412" s="453">
        <v>0.013938690924384569</v>
      </c>
      <c r="N412" s="453">
        <v>0.026985307191232807</v>
      </c>
      <c r="O412" s="14">
        <v>0.005233136186573516</v>
      </c>
      <c r="P412" s="14">
        <v>0</v>
      </c>
      <c r="Q412" s="453">
        <v>0</v>
      </c>
      <c r="R412" s="453">
        <v>0</v>
      </c>
      <c r="S412" s="15">
        <v>0</v>
      </c>
    </row>
    <row r="413" spans="1:19" ht="12.75">
      <c r="A413" s="51"/>
      <c r="B413" s="5" t="s">
        <v>657</v>
      </c>
      <c r="C413" s="14">
        <v>-0.06636666737399403</v>
      </c>
      <c r="D413" s="453">
        <v>-0.050352824994198644</v>
      </c>
      <c r="E413" s="453">
        <v>0.12428927024032656</v>
      </c>
      <c r="F413" s="453">
        <v>-0.25913448706721265</v>
      </c>
      <c r="G413" s="453">
        <v>0.9241667882683706</v>
      </c>
      <c r="H413" s="453">
        <v>-0.2066104267195586</v>
      </c>
      <c r="I413" s="453">
        <v>0</v>
      </c>
      <c r="J413" s="14">
        <v>0.02223297073903766</v>
      </c>
      <c r="K413" s="14">
        <v>0</v>
      </c>
      <c r="L413" s="453">
        <v>-0.003915516852818438</v>
      </c>
      <c r="M413" s="453">
        <v>0.3322825194775697</v>
      </c>
      <c r="N413" s="453">
        <v>0.23269943873396315</v>
      </c>
      <c r="O413" s="14">
        <v>0.08767976194735518</v>
      </c>
      <c r="P413" s="14">
        <v>0</v>
      </c>
      <c r="Q413" s="453">
        <v>0</v>
      </c>
      <c r="R413" s="453">
        <v>0</v>
      </c>
      <c r="S413" s="15">
        <v>0</v>
      </c>
    </row>
    <row r="414" spans="1:19" ht="12.75">
      <c r="A414" s="51"/>
      <c r="B414" s="5" t="s">
        <v>611</v>
      </c>
      <c r="C414" s="14">
        <v>0.0045628829157489835</v>
      </c>
      <c r="D414" s="453">
        <v>0.0010481442837978834</v>
      </c>
      <c r="E414" s="453">
        <v>0.0015735266283415524</v>
      </c>
      <c r="F414" s="453">
        <v>0.0021080466359089103</v>
      </c>
      <c r="G414" s="453">
        <v>0.0014888706915804361</v>
      </c>
      <c r="H414" s="453">
        <v>0.0009169396509875979</v>
      </c>
      <c r="I414" s="453">
        <v>0</v>
      </c>
      <c r="J414" s="14">
        <v>0.0027494207803208646</v>
      </c>
      <c r="K414" s="14">
        <v>0</v>
      </c>
      <c r="L414" s="453">
        <v>0.018878339301866484</v>
      </c>
      <c r="M414" s="453">
        <v>0.0077231061114159</v>
      </c>
      <c r="N414" s="453">
        <v>0.007313286570089493</v>
      </c>
      <c r="O414" s="14">
        <v>0.015452926841794232</v>
      </c>
      <c r="P414" s="14">
        <v>0</v>
      </c>
      <c r="Q414" s="453">
        <v>0</v>
      </c>
      <c r="R414" s="453">
        <v>0</v>
      </c>
      <c r="S414" s="15">
        <v>0</v>
      </c>
    </row>
    <row r="415" spans="1:19" ht="12.75">
      <c r="A415" s="51"/>
      <c r="B415" s="5" t="s">
        <v>613</v>
      </c>
      <c r="C415" s="14">
        <v>0.006069578237785005</v>
      </c>
      <c r="D415" s="453">
        <v>0.0004305089572561339</v>
      </c>
      <c r="E415" s="453">
        <v>0.0014900000793465788</v>
      </c>
      <c r="F415" s="453">
        <v>0.0005002522104894552</v>
      </c>
      <c r="G415" s="453">
        <v>0</v>
      </c>
      <c r="H415" s="453">
        <v>0.0012411402078140545</v>
      </c>
      <c r="I415" s="453">
        <v>0</v>
      </c>
      <c r="J415" s="14">
        <v>0.0031704303296753084</v>
      </c>
      <c r="K415" s="14">
        <v>0</v>
      </c>
      <c r="L415" s="453">
        <v>0.01266705322666805</v>
      </c>
      <c r="M415" s="453">
        <v>0.006888961245989269</v>
      </c>
      <c r="N415" s="453">
        <v>0.010429631305865808</v>
      </c>
      <c r="O415" s="14">
        <v>0.011084019246130684</v>
      </c>
      <c r="P415" s="14">
        <v>0</v>
      </c>
      <c r="Q415" s="453">
        <v>0</v>
      </c>
      <c r="R415" s="453">
        <v>0</v>
      </c>
      <c r="S415" s="15">
        <v>0</v>
      </c>
    </row>
    <row r="416" spans="1:19" ht="12.75">
      <c r="A416" s="51"/>
      <c r="B416" s="5" t="s">
        <v>659</v>
      </c>
      <c r="C416" s="14">
        <v>0.15066953220360219</v>
      </c>
      <c r="D416" s="453">
        <v>-0.061763532654174946</v>
      </c>
      <c r="E416" s="453">
        <v>-0.008352654899497361</v>
      </c>
      <c r="F416" s="453">
        <v>-0.1607794425419455</v>
      </c>
      <c r="G416" s="453">
        <v>-0.14888706915804362</v>
      </c>
      <c r="H416" s="453">
        <v>0.032420055682645665</v>
      </c>
      <c r="I416" s="453">
        <v>0</v>
      </c>
      <c r="J416" s="14">
        <v>0.042100954935444385</v>
      </c>
      <c r="K416" s="14">
        <v>0</v>
      </c>
      <c r="L416" s="453">
        <v>-0.6211286075198434</v>
      </c>
      <c r="M416" s="453">
        <v>-0.08341448654266316</v>
      </c>
      <c r="N416" s="453">
        <v>0.3116344735776315</v>
      </c>
      <c r="O416" s="14">
        <v>-0.4368907595663548</v>
      </c>
      <c r="P416" s="14">
        <v>0</v>
      </c>
      <c r="Q416" s="453">
        <v>0</v>
      </c>
      <c r="R416" s="453">
        <v>0</v>
      </c>
      <c r="S416" s="15">
        <v>0</v>
      </c>
    </row>
    <row r="417" spans="1:19" ht="12.75">
      <c r="A417" s="51"/>
      <c r="B417" s="5" t="s">
        <v>615</v>
      </c>
      <c r="C417" s="14">
        <v>0</v>
      </c>
      <c r="D417" s="453">
        <v>0</v>
      </c>
      <c r="E417" s="453">
        <v>0</v>
      </c>
      <c r="F417" s="453">
        <v>0</v>
      </c>
      <c r="G417" s="453">
        <v>0</v>
      </c>
      <c r="H417" s="453">
        <v>0</v>
      </c>
      <c r="I417" s="453">
        <v>0</v>
      </c>
      <c r="J417" s="14">
        <v>0</v>
      </c>
      <c r="K417" s="14">
        <v>0</v>
      </c>
      <c r="L417" s="453">
        <v>0</v>
      </c>
      <c r="M417" s="453">
        <v>0</v>
      </c>
      <c r="N417" s="453">
        <v>0</v>
      </c>
      <c r="O417" s="14">
        <v>0</v>
      </c>
      <c r="P417" s="14">
        <v>0</v>
      </c>
      <c r="Q417" s="453">
        <v>0</v>
      </c>
      <c r="R417" s="453">
        <v>0</v>
      </c>
      <c r="S417" s="15">
        <v>0</v>
      </c>
    </row>
    <row r="418" spans="1:19" ht="12.75">
      <c r="A418" s="51"/>
      <c r="B418" s="5" t="s">
        <v>617</v>
      </c>
      <c r="C418" s="14">
        <v>0</v>
      </c>
      <c r="D418" s="453">
        <v>0</v>
      </c>
      <c r="E418" s="453">
        <v>0</v>
      </c>
      <c r="F418" s="453">
        <v>0</v>
      </c>
      <c r="G418" s="453">
        <v>0</v>
      </c>
      <c r="H418" s="453">
        <v>0</v>
      </c>
      <c r="I418" s="453">
        <v>0</v>
      </c>
      <c r="J418" s="14">
        <v>0</v>
      </c>
      <c r="K418" s="14">
        <v>0</v>
      </c>
      <c r="L418" s="453">
        <v>0</v>
      </c>
      <c r="M418" s="453">
        <v>0</v>
      </c>
      <c r="N418" s="453">
        <v>0</v>
      </c>
      <c r="O418" s="14">
        <v>0</v>
      </c>
      <c r="P418" s="14">
        <v>0</v>
      </c>
      <c r="Q418" s="453">
        <v>0</v>
      </c>
      <c r="R418" s="453">
        <v>0</v>
      </c>
      <c r="S418" s="15">
        <v>0</v>
      </c>
    </row>
    <row r="419" spans="1:19" ht="12.75">
      <c r="A419" s="51"/>
      <c r="B419" s="5" t="s">
        <v>645</v>
      </c>
      <c r="C419" s="14">
        <v>0</v>
      </c>
      <c r="D419" s="453">
        <v>0</v>
      </c>
      <c r="E419" s="453">
        <v>0</v>
      </c>
      <c r="F419" s="453">
        <v>0</v>
      </c>
      <c r="G419" s="453">
        <v>0</v>
      </c>
      <c r="H419" s="453">
        <v>0</v>
      </c>
      <c r="I419" s="453">
        <v>0</v>
      </c>
      <c r="J419" s="14">
        <v>0</v>
      </c>
      <c r="K419" s="14">
        <v>0</v>
      </c>
      <c r="L419" s="453">
        <v>0</v>
      </c>
      <c r="M419" s="453">
        <v>0</v>
      </c>
      <c r="N419" s="453">
        <v>0</v>
      </c>
      <c r="O419" s="14">
        <v>0</v>
      </c>
      <c r="P419" s="14">
        <v>0</v>
      </c>
      <c r="Q419" s="453">
        <v>0</v>
      </c>
      <c r="R419" s="453">
        <v>0</v>
      </c>
      <c r="S419" s="15">
        <v>0</v>
      </c>
    </row>
    <row r="420" spans="1:19" ht="12.75">
      <c r="A420" s="51"/>
      <c r="B420" s="5" t="s">
        <v>601</v>
      </c>
      <c r="C420" s="14">
        <v>0.9291588365036862</v>
      </c>
      <c r="D420" s="453">
        <v>0.8581636694921968</v>
      </c>
      <c r="E420" s="453">
        <v>0.7899832094692355</v>
      </c>
      <c r="F420" s="453">
        <v>0.8316202965325772</v>
      </c>
      <c r="G420" s="453">
        <v>0.22587225362288046</v>
      </c>
      <c r="H420" s="502">
        <v>0.873380693689929</v>
      </c>
      <c r="I420" s="453">
        <v>0</v>
      </c>
      <c r="J420" s="14">
        <v>0.8590333532627263</v>
      </c>
      <c r="K420" s="14">
        <v>0</v>
      </c>
      <c r="L420" s="453">
        <v>0</v>
      </c>
      <c r="M420" s="453">
        <v>0</v>
      </c>
      <c r="N420" s="453">
        <v>0</v>
      </c>
      <c r="O420" s="14">
        <v>0</v>
      </c>
      <c r="P420" s="14">
        <v>0</v>
      </c>
      <c r="Q420" s="453">
        <v>0</v>
      </c>
      <c r="R420" s="453">
        <v>0</v>
      </c>
      <c r="S420" s="15">
        <v>0</v>
      </c>
    </row>
    <row r="421" spans="1:19" ht="12.75">
      <c r="A421" s="51"/>
      <c r="B421" s="5" t="s">
        <v>619</v>
      </c>
      <c r="C421" s="14">
        <v>0.9297387859999845</v>
      </c>
      <c r="D421" s="453">
        <v>0.7890044798779439</v>
      </c>
      <c r="E421" s="453">
        <v>0.7515325108598938</v>
      </c>
      <c r="F421" s="453">
        <v>0.8343641761504206</v>
      </c>
      <c r="G421" s="453">
        <v>0.2302957312993443</v>
      </c>
      <c r="H421" s="503">
        <v>0.9825310559006211</v>
      </c>
      <c r="I421" s="453">
        <v>0</v>
      </c>
      <c r="J421" s="14">
        <v>0.8331614868045167</v>
      </c>
      <c r="K421" s="14">
        <v>0</v>
      </c>
      <c r="L421" s="453">
        <v>0</v>
      </c>
      <c r="M421" s="453">
        <v>0</v>
      </c>
      <c r="N421" s="453">
        <v>0</v>
      </c>
      <c r="O421" s="14">
        <v>0</v>
      </c>
      <c r="P421" s="14">
        <v>0</v>
      </c>
      <c r="Q421" s="453">
        <v>0</v>
      </c>
      <c r="R421" s="453">
        <v>0</v>
      </c>
      <c r="S421" s="15">
        <v>0</v>
      </c>
    </row>
    <row r="422" spans="1:19" ht="12.75">
      <c r="A422" s="51"/>
      <c r="B422" s="5" t="s">
        <v>643</v>
      </c>
      <c r="C422" s="14">
        <v>0.05799494962982488</v>
      </c>
      <c r="D422" s="453">
        <v>-6.915918961425294</v>
      </c>
      <c r="E422" s="453">
        <v>-3.8450698609341694</v>
      </c>
      <c r="F422" s="453">
        <v>0.2743879617843392</v>
      </c>
      <c r="G422" s="453">
        <v>0.44234776764638384</v>
      </c>
      <c r="H422" s="505">
        <v>10.915036221069208</v>
      </c>
      <c r="I422" s="453">
        <v>0</v>
      </c>
      <c r="J422" s="14">
        <v>-2.5871866458209603</v>
      </c>
      <c r="K422" s="14">
        <v>0</v>
      </c>
      <c r="L422" s="453">
        <v>0</v>
      </c>
      <c r="M422" s="453">
        <v>0</v>
      </c>
      <c r="N422" s="453">
        <v>0</v>
      </c>
      <c r="O422" s="14">
        <v>0</v>
      </c>
      <c r="P422" s="14">
        <v>0</v>
      </c>
      <c r="Q422" s="453">
        <v>0</v>
      </c>
      <c r="R422" s="453">
        <v>0</v>
      </c>
      <c r="S422" s="15">
        <v>0</v>
      </c>
    </row>
    <row r="423" spans="1:19" ht="12.75">
      <c r="A423" s="51"/>
      <c r="B423" s="5" t="s">
        <v>621</v>
      </c>
      <c r="C423" s="14">
        <v>0.018545089813067805</v>
      </c>
      <c r="D423" s="453">
        <v>0.02729541313475402</v>
      </c>
      <c r="E423" s="453">
        <v>0.1404374548397102</v>
      </c>
      <c r="F423" s="453">
        <v>0.03455608718766613</v>
      </c>
      <c r="G423" s="453">
        <v>0.2486082189452212</v>
      </c>
      <c r="H423" s="503">
        <v>0.12160468031759299</v>
      </c>
      <c r="I423" s="453">
        <v>0</v>
      </c>
      <c r="J423" s="14">
        <v>0.06525867877614547</v>
      </c>
      <c r="K423" s="14">
        <v>0</v>
      </c>
      <c r="L423" s="453">
        <v>0</v>
      </c>
      <c r="M423" s="453">
        <v>0</v>
      </c>
      <c r="N423" s="453">
        <v>0</v>
      </c>
      <c r="O423" s="14">
        <v>0</v>
      </c>
      <c r="P423" s="14">
        <v>0</v>
      </c>
      <c r="Q423" s="453">
        <v>0</v>
      </c>
      <c r="R423" s="453">
        <v>0</v>
      </c>
      <c r="S423" s="15">
        <v>0</v>
      </c>
    </row>
    <row r="424" spans="1:19" ht="12.75">
      <c r="A424" s="51"/>
      <c r="B424" s="5" t="s">
        <v>623</v>
      </c>
      <c r="C424" s="14">
        <v>0.015425148214318033</v>
      </c>
      <c r="D424" s="453">
        <v>0.028360095431122813</v>
      </c>
      <c r="E424" s="453">
        <v>0.14339156410327836</v>
      </c>
      <c r="F424" s="453">
        <v>0.009054923305294409</v>
      </c>
      <c r="G424" s="453">
        <v>0.21584370400107053</v>
      </c>
      <c r="H424" s="503">
        <v>0.01746894409937888</v>
      </c>
      <c r="I424" s="453">
        <v>0</v>
      </c>
      <c r="J424" s="14">
        <v>0.06540304127578862</v>
      </c>
      <c r="K424" s="14">
        <v>0</v>
      </c>
      <c r="L424" s="453">
        <v>0</v>
      </c>
      <c r="M424" s="453">
        <v>0</v>
      </c>
      <c r="N424" s="453">
        <v>0</v>
      </c>
      <c r="O424" s="14">
        <v>0</v>
      </c>
      <c r="P424" s="14">
        <v>0</v>
      </c>
      <c r="Q424" s="453">
        <v>0</v>
      </c>
      <c r="R424" s="453">
        <v>0</v>
      </c>
      <c r="S424" s="15">
        <v>0</v>
      </c>
    </row>
    <row r="425" spans="1:19" ht="12.75">
      <c r="A425" s="51"/>
      <c r="B425" s="5" t="s">
        <v>647</v>
      </c>
      <c r="C425" s="14">
        <v>-0.31199415987497714</v>
      </c>
      <c r="D425" s="453">
        <v>0.10646822963687914</v>
      </c>
      <c r="E425" s="453">
        <v>0.295410926356815</v>
      </c>
      <c r="F425" s="453">
        <v>-2.5501163882371722</v>
      </c>
      <c r="G425" s="453">
        <v>-3.276451494415067</v>
      </c>
      <c r="H425" s="505">
        <v>-10.41357362182141</v>
      </c>
      <c r="I425" s="453">
        <v>0</v>
      </c>
      <c r="J425" s="14">
        <v>0.014436249964315528</v>
      </c>
      <c r="K425" s="14">
        <v>0</v>
      </c>
      <c r="L425" s="453">
        <v>0</v>
      </c>
      <c r="M425" s="453">
        <v>0</v>
      </c>
      <c r="N425" s="453">
        <v>0</v>
      </c>
      <c r="O425" s="14">
        <v>0</v>
      </c>
      <c r="P425" s="14">
        <v>0</v>
      </c>
      <c r="Q425" s="453">
        <v>0</v>
      </c>
      <c r="R425" s="453">
        <v>0</v>
      </c>
      <c r="S425" s="15">
        <v>0</v>
      </c>
    </row>
    <row r="426" spans="1:19" ht="12.75">
      <c r="A426" s="51"/>
      <c r="B426" s="5" t="s">
        <v>625</v>
      </c>
      <c r="C426" s="14">
        <v>0.0445820293522839</v>
      </c>
      <c r="D426" s="502">
        <v>0.10071298423512635</v>
      </c>
      <c r="E426" s="453">
        <v>0.054603013978246816</v>
      </c>
      <c r="F426" s="453">
        <v>0.130722428968043</v>
      </c>
      <c r="G426" s="453">
        <v>0.4699332795036335</v>
      </c>
      <c r="H426" s="453">
        <v>0</v>
      </c>
      <c r="I426" s="453">
        <v>0</v>
      </c>
      <c r="J426" s="14">
        <v>0.06402080249022511</v>
      </c>
      <c r="K426" s="14">
        <v>0</v>
      </c>
      <c r="L426" s="453">
        <v>0</v>
      </c>
      <c r="M426" s="453">
        <v>0</v>
      </c>
      <c r="N426" s="453">
        <v>0</v>
      </c>
      <c r="O426" s="14">
        <v>0</v>
      </c>
      <c r="P426" s="14">
        <v>0</v>
      </c>
      <c r="Q426" s="453">
        <v>0</v>
      </c>
      <c r="R426" s="453">
        <v>0</v>
      </c>
      <c r="S426" s="15">
        <v>0</v>
      </c>
    </row>
    <row r="427" spans="1:19" ht="12.75">
      <c r="A427" s="51"/>
      <c r="B427" s="5" t="s">
        <v>627</v>
      </c>
      <c r="C427" s="14">
        <v>0.04900315690680015</v>
      </c>
      <c r="D427" s="503">
        <v>0.16895272569535333</v>
      </c>
      <c r="E427" s="453">
        <v>0.08603035035140011</v>
      </c>
      <c r="F427" s="453">
        <v>0.153686293913904</v>
      </c>
      <c r="G427" s="453">
        <v>0.5181319416566306</v>
      </c>
      <c r="H427" s="453">
        <v>0</v>
      </c>
      <c r="I427" s="453">
        <v>0</v>
      </c>
      <c r="J427" s="14">
        <v>0.08937009800494917</v>
      </c>
      <c r="K427" s="14">
        <v>0</v>
      </c>
      <c r="L427" s="453">
        <v>0</v>
      </c>
      <c r="M427" s="453">
        <v>0</v>
      </c>
      <c r="N427" s="453">
        <v>0</v>
      </c>
      <c r="O427" s="14">
        <v>0</v>
      </c>
      <c r="P427" s="14">
        <v>0</v>
      </c>
      <c r="Q427" s="453">
        <v>0</v>
      </c>
      <c r="R427" s="453">
        <v>0</v>
      </c>
      <c r="S427" s="15">
        <v>0</v>
      </c>
    </row>
    <row r="428" spans="1:19" ht="12.75">
      <c r="A428" s="51"/>
      <c r="B428" s="5" t="s">
        <v>653</v>
      </c>
      <c r="C428" s="14">
        <v>0.44211275545162493</v>
      </c>
      <c r="D428" s="505">
        <v>6.823974146022698</v>
      </c>
      <c r="E428" s="453">
        <v>3.142733637315329</v>
      </c>
      <c r="F428" s="453">
        <v>2.2963864945861</v>
      </c>
      <c r="G428" s="453">
        <v>4.819866215299706</v>
      </c>
      <c r="H428" s="453">
        <v>0</v>
      </c>
      <c r="I428" s="453">
        <v>0</v>
      </c>
      <c r="J428" s="14">
        <v>2.5349295514724064</v>
      </c>
      <c r="K428" s="14">
        <v>0</v>
      </c>
      <c r="L428" s="453">
        <v>0</v>
      </c>
      <c r="M428" s="453">
        <v>0</v>
      </c>
      <c r="N428" s="453">
        <v>0</v>
      </c>
      <c r="O428" s="14">
        <v>0</v>
      </c>
      <c r="P428" s="14">
        <v>0</v>
      </c>
      <c r="Q428" s="453">
        <v>0</v>
      </c>
      <c r="R428" s="453">
        <v>0</v>
      </c>
      <c r="S428" s="15">
        <v>0</v>
      </c>
    </row>
    <row r="429" spans="1:19" ht="12.75">
      <c r="A429" s="51"/>
      <c r="B429" s="5" t="s">
        <v>629</v>
      </c>
      <c r="C429" s="14">
        <v>0.005121773941468668</v>
      </c>
      <c r="D429" s="453">
        <v>0.007066465974807891</v>
      </c>
      <c r="E429" s="453">
        <v>0.012600695533441574</v>
      </c>
      <c r="F429" s="453">
        <v>0.0031011873117136276</v>
      </c>
      <c r="G429" s="453">
        <v>0.03773745272194127</v>
      </c>
      <c r="H429" s="453">
        <v>0.005014625992478061</v>
      </c>
      <c r="I429" s="453">
        <v>0</v>
      </c>
      <c r="J429" s="14">
        <v>0.00838754602740766</v>
      </c>
      <c r="K429" s="14">
        <v>0</v>
      </c>
      <c r="L429" s="453">
        <v>0</v>
      </c>
      <c r="M429" s="453">
        <v>0</v>
      </c>
      <c r="N429" s="453">
        <v>0</v>
      </c>
      <c r="O429" s="14">
        <v>0</v>
      </c>
      <c r="P429" s="14">
        <v>0</v>
      </c>
      <c r="Q429" s="453">
        <v>0</v>
      </c>
      <c r="R429" s="453">
        <v>0</v>
      </c>
      <c r="S429" s="15">
        <v>0</v>
      </c>
    </row>
    <row r="430" spans="1:19" ht="12.75">
      <c r="A430" s="51"/>
      <c r="B430" s="5" t="s">
        <v>631</v>
      </c>
      <c r="C430" s="14">
        <v>0.003889898673892303</v>
      </c>
      <c r="D430" s="453">
        <v>0.01057520436171088</v>
      </c>
      <c r="E430" s="453">
        <v>0.015004760164713169</v>
      </c>
      <c r="F430" s="453">
        <v>0</v>
      </c>
      <c r="G430" s="453">
        <v>0.035728623042954634</v>
      </c>
      <c r="H430" s="453">
        <v>0</v>
      </c>
      <c r="I430" s="453">
        <v>0</v>
      </c>
      <c r="J430" s="14">
        <v>0.009201070924266362</v>
      </c>
      <c r="K430" s="14">
        <v>0</v>
      </c>
      <c r="L430" s="453">
        <v>0</v>
      </c>
      <c r="M430" s="453">
        <v>0</v>
      </c>
      <c r="N430" s="453">
        <v>0</v>
      </c>
      <c r="O430" s="14">
        <v>0</v>
      </c>
      <c r="P430" s="14">
        <v>0</v>
      </c>
      <c r="Q430" s="453">
        <v>0</v>
      </c>
      <c r="R430" s="453">
        <v>0</v>
      </c>
      <c r="S430" s="15">
        <v>0</v>
      </c>
    </row>
    <row r="431" spans="1:19" ht="12.75">
      <c r="A431" s="51"/>
      <c r="B431" s="5" t="s">
        <v>655</v>
      </c>
      <c r="C431" s="14">
        <v>-0.1231875267576365</v>
      </c>
      <c r="D431" s="453">
        <v>0.35087383869029887</v>
      </c>
      <c r="E431" s="453">
        <v>0.2404064631271595</v>
      </c>
      <c r="F431" s="453">
        <v>-0.31011873117136274</v>
      </c>
      <c r="G431" s="453">
        <v>-0.20088296789866344</v>
      </c>
      <c r="H431" s="453">
        <v>-0.5014625992478061</v>
      </c>
      <c r="I431" s="453">
        <v>0</v>
      </c>
      <c r="J431" s="14">
        <v>0.08135248968587014</v>
      </c>
      <c r="K431" s="14">
        <v>0</v>
      </c>
      <c r="L431" s="453">
        <v>0</v>
      </c>
      <c r="M431" s="453">
        <v>0</v>
      </c>
      <c r="N431" s="453">
        <v>0</v>
      </c>
      <c r="O431" s="14">
        <v>0</v>
      </c>
      <c r="P431" s="14">
        <v>0</v>
      </c>
      <c r="Q431" s="453">
        <v>0</v>
      </c>
      <c r="R431" s="453">
        <v>0</v>
      </c>
      <c r="S431" s="15">
        <v>0</v>
      </c>
    </row>
    <row r="432" spans="1:19" ht="12.75">
      <c r="A432" s="51"/>
      <c r="B432" s="5" t="s">
        <v>633</v>
      </c>
      <c r="C432" s="14">
        <v>0.0025922703894933337</v>
      </c>
      <c r="D432" s="453">
        <v>0.006761467163114949</v>
      </c>
      <c r="E432" s="453">
        <v>0.0023756261793658412</v>
      </c>
      <c r="F432" s="453">
        <v>0</v>
      </c>
      <c r="G432" s="453">
        <v>0.017848795206323573</v>
      </c>
      <c r="H432" s="453">
        <v>0</v>
      </c>
      <c r="I432" s="453">
        <v>0</v>
      </c>
      <c r="J432" s="14">
        <v>0.003299619443495426</v>
      </c>
      <c r="K432" s="14">
        <v>0</v>
      </c>
      <c r="L432" s="453">
        <v>0</v>
      </c>
      <c r="M432" s="453">
        <v>0</v>
      </c>
      <c r="N432" s="453">
        <v>0</v>
      </c>
      <c r="O432" s="14">
        <v>0</v>
      </c>
      <c r="P432" s="14">
        <v>0</v>
      </c>
      <c r="Q432" s="453">
        <v>0</v>
      </c>
      <c r="R432" s="453">
        <v>0</v>
      </c>
      <c r="S432" s="15">
        <v>0</v>
      </c>
    </row>
    <row r="433" spans="1:19" ht="12.75">
      <c r="A433" s="51"/>
      <c r="B433" s="5" t="s">
        <v>635</v>
      </c>
      <c r="C433" s="14">
        <v>0.0019430102050050288</v>
      </c>
      <c r="D433" s="453">
        <v>0.0031074946338690737</v>
      </c>
      <c r="E433" s="453">
        <v>0.0040408145207144995</v>
      </c>
      <c r="F433" s="485">
        <v>0.0028946066303809997</v>
      </c>
      <c r="G433" s="453">
        <v>0</v>
      </c>
      <c r="H433" s="453">
        <v>0</v>
      </c>
      <c r="I433" s="453">
        <v>0</v>
      </c>
      <c r="J433" s="14">
        <v>0.0028643029904791197</v>
      </c>
      <c r="K433" s="14">
        <v>0</v>
      </c>
      <c r="L433" s="453">
        <v>0</v>
      </c>
      <c r="M433" s="453">
        <v>0</v>
      </c>
      <c r="N433" s="453">
        <v>0</v>
      </c>
      <c r="O433" s="14">
        <v>0</v>
      </c>
      <c r="P433" s="14">
        <v>0</v>
      </c>
      <c r="Q433" s="453">
        <v>0</v>
      </c>
      <c r="R433" s="453">
        <v>0</v>
      </c>
      <c r="S433" s="15">
        <v>0</v>
      </c>
    </row>
    <row r="434" spans="1:19" ht="12.75">
      <c r="A434" s="51"/>
      <c r="B434" s="5" t="s">
        <v>661</v>
      </c>
      <c r="C434" s="14">
        <v>-0.06492601844883049</v>
      </c>
      <c r="D434" s="453">
        <v>-0.3653972529245875</v>
      </c>
      <c r="E434" s="453">
        <v>0.16651883413486582</v>
      </c>
      <c r="F434" s="453">
        <v>0</v>
      </c>
      <c r="G434" s="453">
        <v>-1.7848795206323573</v>
      </c>
      <c r="H434" s="453">
        <v>0</v>
      </c>
      <c r="I434" s="453">
        <v>0</v>
      </c>
      <c r="J434" s="14">
        <v>-0.04353164530163062</v>
      </c>
      <c r="K434" s="14">
        <v>0</v>
      </c>
      <c r="L434" s="453">
        <v>0</v>
      </c>
      <c r="M434" s="453">
        <v>0</v>
      </c>
      <c r="N434" s="453">
        <v>0</v>
      </c>
      <c r="O434" s="14">
        <v>0</v>
      </c>
      <c r="P434" s="14">
        <v>0</v>
      </c>
      <c r="Q434" s="453">
        <v>0</v>
      </c>
      <c r="R434" s="453">
        <v>0</v>
      </c>
      <c r="S434" s="15">
        <v>0</v>
      </c>
    </row>
    <row r="435" spans="1:19" ht="12.75">
      <c r="A435" s="51"/>
      <c r="B435" s="5" t="s">
        <v>637</v>
      </c>
      <c r="C435" s="14">
        <v>0</v>
      </c>
      <c r="D435" s="453">
        <v>0</v>
      </c>
      <c r="E435" s="453">
        <v>0</v>
      </c>
      <c r="F435" s="453">
        <v>0</v>
      </c>
      <c r="G435" s="453">
        <v>0</v>
      </c>
      <c r="H435" s="453">
        <v>0</v>
      </c>
      <c r="I435" s="453">
        <v>0</v>
      </c>
      <c r="J435" s="14">
        <v>0</v>
      </c>
      <c r="K435" s="14">
        <v>0</v>
      </c>
      <c r="L435" s="453">
        <v>0</v>
      </c>
      <c r="M435" s="453">
        <v>0</v>
      </c>
      <c r="N435" s="453">
        <v>0</v>
      </c>
      <c r="O435" s="14">
        <v>0</v>
      </c>
      <c r="P435" s="14">
        <v>0</v>
      </c>
      <c r="Q435" s="453">
        <v>0</v>
      </c>
      <c r="R435" s="453">
        <v>0</v>
      </c>
      <c r="S435" s="15">
        <v>0</v>
      </c>
    </row>
    <row r="436" spans="1:19" ht="12.75">
      <c r="A436" s="51"/>
      <c r="B436" s="5" t="s">
        <v>639</v>
      </c>
      <c r="C436" s="14">
        <v>0</v>
      </c>
      <c r="D436" s="453">
        <v>0</v>
      </c>
      <c r="E436" s="453">
        <v>0</v>
      </c>
      <c r="F436" s="453">
        <v>0</v>
      </c>
      <c r="G436" s="453">
        <v>0</v>
      </c>
      <c r="H436" s="453">
        <v>0</v>
      </c>
      <c r="I436" s="453">
        <v>0</v>
      </c>
      <c r="J436" s="14">
        <v>0</v>
      </c>
      <c r="K436" s="14">
        <v>0</v>
      </c>
      <c r="L436" s="453">
        <v>0</v>
      </c>
      <c r="M436" s="453">
        <v>0</v>
      </c>
      <c r="N436" s="453">
        <v>0</v>
      </c>
      <c r="O436" s="14">
        <v>0</v>
      </c>
      <c r="P436" s="14">
        <v>0</v>
      </c>
      <c r="Q436" s="453">
        <v>0</v>
      </c>
      <c r="R436" s="453">
        <v>0</v>
      </c>
      <c r="S436" s="15">
        <v>0</v>
      </c>
    </row>
    <row r="437" spans="1:21" s="196" customFormat="1" ht="13.5" thickBot="1">
      <c r="A437" s="454"/>
      <c r="B437" s="5" t="s">
        <v>663</v>
      </c>
      <c r="C437" s="14">
        <v>0</v>
      </c>
      <c r="D437" s="453">
        <v>0</v>
      </c>
      <c r="E437" s="453">
        <v>0</v>
      </c>
      <c r="F437" s="453">
        <v>0</v>
      </c>
      <c r="G437" s="453">
        <v>0</v>
      </c>
      <c r="H437" s="453">
        <v>0</v>
      </c>
      <c r="I437" s="453">
        <v>0</v>
      </c>
      <c r="J437" s="14">
        <v>0</v>
      </c>
      <c r="K437" s="14">
        <v>0</v>
      </c>
      <c r="L437" s="453">
        <v>0</v>
      </c>
      <c r="M437" s="453">
        <v>0</v>
      </c>
      <c r="N437" s="453">
        <v>0</v>
      </c>
      <c r="O437" s="14">
        <v>0</v>
      </c>
      <c r="P437" s="14">
        <v>0</v>
      </c>
      <c r="Q437" s="453">
        <v>0</v>
      </c>
      <c r="R437" s="453">
        <v>0</v>
      </c>
      <c r="S437" s="15">
        <v>0</v>
      </c>
      <c r="T437"/>
      <c r="U437"/>
    </row>
    <row r="438" spans="1:21" s="48" customFormat="1" ht="12.75">
      <c r="A438" s="50" t="s">
        <v>18</v>
      </c>
      <c r="B438" s="3" t="s">
        <v>593</v>
      </c>
      <c r="C438" s="11">
        <v>0.9803793064090338</v>
      </c>
      <c r="D438" s="12">
        <v>0</v>
      </c>
      <c r="E438" s="12">
        <v>0.9165617104429534</v>
      </c>
      <c r="F438" s="12">
        <v>0</v>
      </c>
      <c r="G438" s="12">
        <v>0</v>
      </c>
      <c r="H438" s="12">
        <v>0.904376867013455</v>
      </c>
      <c r="I438" s="12">
        <v>0</v>
      </c>
      <c r="J438" s="11">
        <v>0.9369146606073996</v>
      </c>
      <c r="K438" s="11">
        <v>0.6986059092800666</v>
      </c>
      <c r="L438" s="12">
        <v>0</v>
      </c>
      <c r="M438" s="511">
        <v>0.632080681256721</v>
      </c>
      <c r="N438" s="487">
        <v>0.75457444134263</v>
      </c>
      <c r="O438" s="11">
        <v>0.7261551372415979</v>
      </c>
      <c r="P438" s="11">
        <v>0</v>
      </c>
      <c r="Q438" s="12">
        <v>0</v>
      </c>
      <c r="R438" s="12">
        <v>0</v>
      </c>
      <c r="S438" s="13">
        <v>0</v>
      </c>
      <c r="T438"/>
      <c r="U438"/>
    </row>
    <row r="439" spans="1:19" ht="12.75">
      <c r="A439" s="51"/>
      <c r="B439" s="5" t="s">
        <v>595</v>
      </c>
      <c r="C439" s="14">
        <v>0.9657951104346806</v>
      </c>
      <c r="D439" s="453">
        <v>0</v>
      </c>
      <c r="E439" s="453">
        <v>0.885984477093609</v>
      </c>
      <c r="F439" s="453">
        <v>0</v>
      </c>
      <c r="G439" s="453">
        <v>0</v>
      </c>
      <c r="H439" s="453">
        <v>0.8940223709919797</v>
      </c>
      <c r="I439" s="453">
        <v>0</v>
      </c>
      <c r="J439" s="14">
        <v>0.9214759440101635</v>
      </c>
      <c r="K439" s="14">
        <v>0.7017674305216968</v>
      </c>
      <c r="L439" s="453">
        <v>0</v>
      </c>
      <c r="M439" s="503">
        <v>0.576370975084216</v>
      </c>
      <c r="N439" s="490">
        <v>0.7302284824517399</v>
      </c>
      <c r="O439" s="14">
        <v>0.7028075019124074</v>
      </c>
      <c r="P439" s="14">
        <v>0</v>
      </c>
      <c r="Q439" s="453">
        <v>0</v>
      </c>
      <c r="R439" s="453">
        <v>0</v>
      </c>
      <c r="S439" s="15">
        <v>0</v>
      </c>
    </row>
    <row r="440" spans="1:19" ht="13.5" thickBot="1">
      <c r="A440" s="51"/>
      <c r="B440" s="476" t="s">
        <v>641</v>
      </c>
      <c r="C440" s="455">
        <v>-1.4584195974353231</v>
      </c>
      <c r="D440" s="530">
        <v>0</v>
      </c>
      <c r="E440" s="530">
        <v>-3.057723334934448</v>
      </c>
      <c r="F440" s="530">
        <v>0</v>
      </c>
      <c r="G440" s="530">
        <v>0</v>
      </c>
      <c r="H440" s="530">
        <v>-1.0354496021475312</v>
      </c>
      <c r="I440" s="530">
        <v>0</v>
      </c>
      <c r="J440" s="455">
        <v>-1.5438716597236057</v>
      </c>
      <c r="K440" s="455">
        <v>0.3161521241630161</v>
      </c>
      <c r="L440" s="530">
        <v>0</v>
      </c>
      <c r="M440" s="527">
        <v>-5.570970617250504</v>
      </c>
      <c r="N440" s="539">
        <v>-2.4345958890890085</v>
      </c>
      <c r="O440" s="455">
        <v>-2.3347635329190486</v>
      </c>
      <c r="P440" s="455">
        <v>0</v>
      </c>
      <c r="Q440" s="530">
        <v>0</v>
      </c>
      <c r="R440" s="530">
        <v>0</v>
      </c>
      <c r="S440" s="456">
        <v>0</v>
      </c>
    </row>
    <row r="441" spans="1:19" ht="12.75">
      <c r="A441" s="51"/>
      <c r="B441" s="5" t="s">
        <v>597</v>
      </c>
      <c r="C441" s="14">
        <v>0.0006369637814293762</v>
      </c>
      <c r="D441" s="453">
        <v>0</v>
      </c>
      <c r="E441" s="453">
        <v>0.04215041944323586</v>
      </c>
      <c r="F441" s="453">
        <v>0</v>
      </c>
      <c r="G441" s="453">
        <v>0</v>
      </c>
      <c r="H441" s="483">
        <v>0.07512915549573991</v>
      </c>
      <c r="I441" s="453">
        <v>0</v>
      </c>
      <c r="J441" s="14">
        <v>0.039205760010300364</v>
      </c>
      <c r="K441" s="14">
        <v>0.19460049937578028</v>
      </c>
      <c r="L441" s="453">
        <v>0</v>
      </c>
      <c r="M441" s="503">
        <v>0.3337692911326184</v>
      </c>
      <c r="N441" s="490">
        <v>0.177850839474485</v>
      </c>
      <c r="O441" s="14">
        <v>0.20467277621294433</v>
      </c>
      <c r="P441" s="14">
        <v>0</v>
      </c>
      <c r="Q441" s="453">
        <v>0</v>
      </c>
      <c r="R441" s="453">
        <v>0</v>
      </c>
      <c r="S441" s="15">
        <v>0</v>
      </c>
    </row>
    <row r="442" spans="1:19" ht="12.75">
      <c r="A442" s="51"/>
      <c r="B442" s="5" t="s">
        <v>599</v>
      </c>
      <c r="C442" s="14">
        <v>0.001907277252259747</v>
      </c>
      <c r="D442" s="453">
        <v>0</v>
      </c>
      <c r="E442" s="453">
        <v>0.04321939390310533</v>
      </c>
      <c r="F442" s="453">
        <v>0</v>
      </c>
      <c r="G442" s="453">
        <v>0</v>
      </c>
      <c r="H442" s="479">
        <v>0.0720862355582857</v>
      </c>
      <c r="I442" s="453">
        <v>0</v>
      </c>
      <c r="J442" s="14">
        <v>0.03830407268865887</v>
      </c>
      <c r="K442" s="14">
        <v>0.22150170648464163</v>
      </c>
      <c r="L442" s="453">
        <v>0</v>
      </c>
      <c r="M442" s="503">
        <v>0.38560286485994355</v>
      </c>
      <c r="N442" s="490">
        <v>0.18832048784619293</v>
      </c>
      <c r="O442" s="14">
        <v>0.22288338271887173</v>
      </c>
      <c r="P442" s="14">
        <v>0</v>
      </c>
      <c r="Q442" s="453">
        <v>0</v>
      </c>
      <c r="R442" s="453">
        <v>0</v>
      </c>
      <c r="S442" s="15">
        <v>0</v>
      </c>
    </row>
    <row r="443" spans="1:19" ht="13.5" thickBot="1">
      <c r="A443" s="51"/>
      <c r="B443" s="5" t="s">
        <v>649</v>
      </c>
      <c r="C443" s="14">
        <v>0.12703134708303707</v>
      </c>
      <c r="D443" s="453">
        <v>0</v>
      </c>
      <c r="E443" s="453">
        <v>0.10689744598694692</v>
      </c>
      <c r="F443" s="453">
        <v>0</v>
      </c>
      <c r="G443" s="453">
        <v>0</v>
      </c>
      <c r="H443" s="484">
        <v>-0.30429199374542165</v>
      </c>
      <c r="I443" s="453">
        <v>0</v>
      </c>
      <c r="J443" s="14">
        <v>-0.09016873216414964</v>
      </c>
      <c r="K443" s="14">
        <v>2.6901207108861347</v>
      </c>
      <c r="L443" s="453">
        <v>0</v>
      </c>
      <c r="M443" s="505">
        <v>5.183357372732517</v>
      </c>
      <c r="N443" s="490">
        <v>1.046964837170794</v>
      </c>
      <c r="O443" s="14">
        <v>1.8210606505927402</v>
      </c>
      <c r="P443" s="14">
        <v>0</v>
      </c>
      <c r="Q443" s="453">
        <v>0</v>
      </c>
      <c r="R443" s="453">
        <v>0</v>
      </c>
      <c r="S443" s="15">
        <v>0</v>
      </c>
    </row>
    <row r="444" spans="1:19" ht="12.75">
      <c r="A444" s="51"/>
      <c r="B444" s="5" t="s">
        <v>603</v>
      </c>
      <c r="C444" s="14">
        <v>0.018085353146711537</v>
      </c>
      <c r="D444" s="453">
        <v>0</v>
      </c>
      <c r="E444" s="453">
        <v>0.04046348668391765</v>
      </c>
      <c r="F444" s="453">
        <v>0</v>
      </c>
      <c r="G444" s="453">
        <v>0</v>
      </c>
      <c r="H444" s="453">
        <v>0.01675193955772031</v>
      </c>
      <c r="I444" s="453">
        <v>0</v>
      </c>
      <c r="J444" s="14">
        <v>0.021826822206062878</v>
      </c>
      <c r="K444" s="14">
        <v>0.10679359134415314</v>
      </c>
      <c r="L444" s="453">
        <v>0</v>
      </c>
      <c r="M444" s="479">
        <v>0.03415002761066062</v>
      </c>
      <c r="N444" s="490">
        <v>0.031058571371869334</v>
      </c>
      <c r="O444" s="14">
        <v>0.04453153945389048</v>
      </c>
      <c r="P444" s="14">
        <v>0</v>
      </c>
      <c r="Q444" s="453">
        <v>0</v>
      </c>
      <c r="R444" s="453">
        <v>0</v>
      </c>
      <c r="S444" s="15">
        <v>0</v>
      </c>
    </row>
    <row r="445" spans="1:19" ht="12.75">
      <c r="A445" s="51"/>
      <c r="B445" s="5" t="s">
        <v>605</v>
      </c>
      <c r="C445" s="14">
        <v>0.030714344511367477</v>
      </c>
      <c r="D445" s="453">
        <v>0</v>
      </c>
      <c r="E445" s="453">
        <v>0.06842727660561788</v>
      </c>
      <c r="F445" s="453">
        <v>0</v>
      </c>
      <c r="G445" s="453">
        <v>0</v>
      </c>
      <c r="H445" s="453">
        <v>0.029902027132549688</v>
      </c>
      <c r="I445" s="453">
        <v>0</v>
      </c>
      <c r="J445" s="14">
        <v>0.03750801536404776</v>
      </c>
      <c r="K445" s="14">
        <v>0.06875914188200878</v>
      </c>
      <c r="L445" s="453">
        <v>0</v>
      </c>
      <c r="M445" s="479">
        <v>0.03798063791690692</v>
      </c>
      <c r="N445" s="490">
        <v>0.04979119296896886</v>
      </c>
      <c r="O445" s="14">
        <v>0.051500910042116925</v>
      </c>
      <c r="P445" s="14">
        <v>0</v>
      </c>
      <c r="Q445" s="453">
        <v>0</v>
      </c>
      <c r="R445" s="453">
        <v>0</v>
      </c>
      <c r="S445" s="15">
        <v>0</v>
      </c>
    </row>
    <row r="446" spans="1:19" ht="13.5" thickBot="1">
      <c r="A446" s="51"/>
      <c r="B446" s="5" t="s">
        <v>651</v>
      </c>
      <c r="C446" s="14">
        <v>1.262899136465594</v>
      </c>
      <c r="D446" s="453">
        <v>0</v>
      </c>
      <c r="E446" s="453">
        <v>2.7963789921700233</v>
      </c>
      <c r="F446" s="453">
        <v>0</v>
      </c>
      <c r="G446" s="453">
        <v>0</v>
      </c>
      <c r="H446" s="453">
        <v>1.3150087574829377</v>
      </c>
      <c r="I446" s="453">
        <v>0</v>
      </c>
      <c r="J446" s="14">
        <v>1.5681193157984885</v>
      </c>
      <c r="K446" s="14">
        <v>-3.8034449462144364</v>
      </c>
      <c r="L446" s="453">
        <v>0</v>
      </c>
      <c r="M446" s="484">
        <v>0.3830610306246304</v>
      </c>
      <c r="N446" s="493">
        <v>1.8732621597099528</v>
      </c>
      <c r="O446" s="14">
        <v>0.6969370588226442</v>
      </c>
      <c r="P446" s="14">
        <v>0</v>
      </c>
      <c r="Q446" s="453">
        <v>0</v>
      </c>
      <c r="R446" s="453">
        <v>0</v>
      </c>
      <c r="S446" s="15">
        <v>0</v>
      </c>
    </row>
    <row r="447" spans="1:19" ht="12.75">
      <c r="A447" s="51"/>
      <c r="B447" s="5" t="s">
        <v>607</v>
      </c>
      <c r="C447" s="14">
        <v>0</v>
      </c>
      <c r="D447" s="453">
        <v>0</v>
      </c>
      <c r="E447" s="453">
        <v>0.0008243834298930591</v>
      </c>
      <c r="F447" s="453">
        <v>0</v>
      </c>
      <c r="G447" s="453">
        <v>0</v>
      </c>
      <c r="H447" s="453">
        <v>0.0028448033382823656</v>
      </c>
      <c r="I447" s="453">
        <v>0</v>
      </c>
      <c r="J447" s="14">
        <v>0.001327049721202509</v>
      </c>
      <c r="K447" s="14">
        <v>0</v>
      </c>
      <c r="L447" s="453">
        <v>0</v>
      </c>
      <c r="M447" s="453">
        <v>0</v>
      </c>
      <c r="N447" s="453">
        <v>0.0344125001653811</v>
      </c>
      <c r="O447" s="14">
        <v>0.02322103731346615</v>
      </c>
      <c r="P447" s="14">
        <v>0</v>
      </c>
      <c r="Q447" s="453">
        <v>0</v>
      </c>
      <c r="R447" s="453">
        <v>0</v>
      </c>
      <c r="S447" s="15">
        <v>0</v>
      </c>
    </row>
    <row r="448" spans="1:19" ht="12.75">
      <c r="A448" s="51"/>
      <c r="B448" s="5" t="s">
        <v>609</v>
      </c>
      <c r="C448" s="14">
        <v>8.406731690401089E-05</v>
      </c>
      <c r="D448" s="453">
        <v>0</v>
      </c>
      <c r="E448" s="453">
        <v>0.0022341309342933484</v>
      </c>
      <c r="F448" s="453">
        <v>0</v>
      </c>
      <c r="G448" s="453">
        <v>0</v>
      </c>
      <c r="H448" s="453">
        <v>0.002995061445611697</v>
      </c>
      <c r="I448" s="453">
        <v>0</v>
      </c>
      <c r="J448" s="14">
        <v>0.0016762450414324508</v>
      </c>
      <c r="K448" s="14">
        <v>0</v>
      </c>
      <c r="L448" s="453">
        <v>0</v>
      </c>
      <c r="M448" s="453">
        <v>0</v>
      </c>
      <c r="N448" s="453">
        <v>0.029057078265175156</v>
      </c>
      <c r="O448" s="14">
        <v>0.019607670731814544</v>
      </c>
      <c r="P448" s="14">
        <v>0</v>
      </c>
      <c r="Q448" s="453">
        <v>0</v>
      </c>
      <c r="R448" s="453">
        <v>0</v>
      </c>
      <c r="S448" s="15">
        <v>0</v>
      </c>
    </row>
    <row r="449" spans="1:19" ht="12.75">
      <c r="A449" s="51"/>
      <c r="B449" s="5" t="s">
        <v>657</v>
      </c>
      <c r="C449" s="14">
        <v>0</v>
      </c>
      <c r="D449" s="453">
        <v>0</v>
      </c>
      <c r="E449" s="453">
        <v>0.1409747504400289</v>
      </c>
      <c r="F449" s="453">
        <v>0</v>
      </c>
      <c r="G449" s="453">
        <v>0</v>
      </c>
      <c r="H449" s="453">
        <v>0.015025810732933152</v>
      </c>
      <c r="I449" s="453">
        <v>0</v>
      </c>
      <c r="J449" s="14">
        <v>0.03491953202299418</v>
      </c>
      <c r="K449" s="14">
        <v>0</v>
      </c>
      <c r="L449" s="453">
        <v>0</v>
      </c>
      <c r="M449" s="453">
        <v>0</v>
      </c>
      <c r="N449" s="453">
        <v>-0.5355421900205947</v>
      </c>
      <c r="O449" s="14">
        <v>-0.36133665816516053</v>
      </c>
      <c r="P449" s="14">
        <v>0</v>
      </c>
      <c r="Q449" s="453">
        <v>0</v>
      </c>
      <c r="R449" s="453">
        <v>0</v>
      </c>
      <c r="S449" s="15">
        <v>0</v>
      </c>
    </row>
    <row r="450" spans="1:19" ht="12.75">
      <c r="A450" s="51"/>
      <c r="B450" s="5" t="s">
        <v>611</v>
      </c>
      <c r="C450" s="14">
        <v>0.0008983766628252474</v>
      </c>
      <c r="D450" s="453">
        <v>0</v>
      </c>
      <c r="E450" s="453">
        <v>0</v>
      </c>
      <c r="F450" s="453">
        <v>0</v>
      </c>
      <c r="G450" s="453">
        <v>0</v>
      </c>
      <c r="H450" s="453">
        <v>0.0008972345948024482</v>
      </c>
      <c r="I450" s="453">
        <v>0</v>
      </c>
      <c r="J450" s="14">
        <v>0.0007257074550346686</v>
      </c>
      <c r="K450" s="14">
        <v>0</v>
      </c>
      <c r="L450" s="453">
        <v>0</v>
      </c>
      <c r="M450" s="453">
        <v>0</v>
      </c>
      <c r="N450" s="453">
        <v>0.0021036476456346</v>
      </c>
      <c r="O450" s="14">
        <v>0.0014195097781011601</v>
      </c>
      <c r="P450" s="14">
        <v>0</v>
      </c>
      <c r="Q450" s="453">
        <v>0</v>
      </c>
      <c r="R450" s="453">
        <v>0</v>
      </c>
      <c r="S450" s="15">
        <v>0</v>
      </c>
    </row>
    <row r="451" spans="1:19" ht="12.75">
      <c r="A451" s="51"/>
      <c r="B451" s="5" t="s">
        <v>613</v>
      </c>
      <c r="C451" s="14">
        <v>0.0014956976799171938</v>
      </c>
      <c r="D451" s="453">
        <v>0</v>
      </c>
      <c r="E451" s="453">
        <v>0.00013472146337447329</v>
      </c>
      <c r="F451" s="453">
        <v>0</v>
      </c>
      <c r="G451" s="453">
        <v>0</v>
      </c>
      <c r="H451" s="453">
        <v>0.0009943048715732922</v>
      </c>
      <c r="I451" s="453">
        <v>0</v>
      </c>
      <c r="J451" s="14">
        <v>0.0010343089395258016</v>
      </c>
      <c r="K451" s="14">
        <v>0.007971721111652853</v>
      </c>
      <c r="L451" s="453">
        <v>0</v>
      </c>
      <c r="M451" s="453">
        <v>4.552213893356803E-05</v>
      </c>
      <c r="N451" s="453">
        <v>0.0018730739913089367</v>
      </c>
      <c r="O451" s="14">
        <v>0.0027081446571295426</v>
      </c>
      <c r="P451" s="14">
        <v>0</v>
      </c>
      <c r="Q451" s="453">
        <v>0</v>
      </c>
      <c r="R451" s="453">
        <v>0</v>
      </c>
      <c r="S451" s="15">
        <v>0</v>
      </c>
    </row>
    <row r="452" spans="1:19" ht="12.75">
      <c r="A452" s="51"/>
      <c r="B452" s="5" t="s">
        <v>659</v>
      </c>
      <c r="C452" s="14">
        <v>0.05973210170919464</v>
      </c>
      <c r="D452" s="453">
        <v>0</v>
      </c>
      <c r="E452" s="453">
        <v>0</v>
      </c>
      <c r="F452" s="453">
        <v>0</v>
      </c>
      <c r="G452" s="453">
        <v>0</v>
      </c>
      <c r="H452" s="453">
        <v>0.009707027677084397</v>
      </c>
      <c r="I452" s="453">
        <v>0</v>
      </c>
      <c r="J452" s="14">
        <v>0.030860148449113303</v>
      </c>
      <c r="K452" s="14">
        <v>0</v>
      </c>
      <c r="L452" s="453">
        <v>0</v>
      </c>
      <c r="M452" s="453">
        <v>0</v>
      </c>
      <c r="N452" s="453">
        <v>-0.02305736543256635</v>
      </c>
      <c r="O452" s="14">
        <v>0.12886348790283825</v>
      </c>
      <c r="P452" s="14">
        <v>0</v>
      </c>
      <c r="Q452" s="453">
        <v>0</v>
      </c>
      <c r="R452" s="453">
        <v>0</v>
      </c>
      <c r="S452" s="15">
        <v>0</v>
      </c>
    </row>
    <row r="453" spans="1:19" ht="12.75">
      <c r="A453" s="51"/>
      <c r="B453" s="5" t="s">
        <v>615</v>
      </c>
      <c r="C453" s="14">
        <v>0</v>
      </c>
      <c r="D453" s="453">
        <v>0</v>
      </c>
      <c r="E453" s="453">
        <v>0</v>
      </c>
      <c r="F453" s="453">
        <v>0</v>
      </c>
      <c r="G453" s="453">
        <v>0</v>
      </c>
      <c r="H453" s="453">
        <v>0</v>
      </c>
      <c r="I453" s="453">
        <v>0</v>
      </c>
      <c r="J453" s="14">
        <v>0</v>
      </c>
      <c r="K453" s="14">
        <v>0</v>
      </c>
      <c r="L453" s="453">
        <v>0</v>
      </c>
      <c r="M453" s="453">
        <v>0</v>
      </c>
      <c r="N453" s="453">
        <v>0</v>
      </c>
      <c r="O453" s="14">
        <v>0</v>
      </c>
      <c r="P453" s="14">
        <v>0</v>
      </c>
      <c r="Q453" s="453">
        <v>0</v>
      </c>
      <c r="R453" s="453">
        <v>0</v>
      </c>
      <c r="S453" s="15">
        <v>0</v>
      </c>
    </row>
    <row r="454" spans="1:19" ht="12.75">
      <c r="A454" s="51"/>
      <c r="B454" s="5" t="s">
        <v>617</v>
      </c>
      <c r="C454" s="14">
        <v>3.5028048710004537E-06</v>
      </c>
      <c r="D454" s="453">
        <v>0</v>
      </c>
      <c r="E454" s="453">
        <v>0</v>
      </c>
      <c r="F454" s="453">
        <v>0</v>
      </c>
      <c r="G454" s="453">
        <v>0</v>
      </c>
      <c r="H454" s="453">
        <v>0</v>
      </c>
      <c r="I454" s="453">
        <v>0</v>
      </c>
      <c r="J454" s="14">
        <v>1.413956171600549E-06</v>
      </c>
      <c r="K454" s="14">
        <v>0</v>
      </c>
      <c r="L454" s="453">
        <v>0</v>
      </c>
      <c r="M454" s="453">
        <v>0</v>
      </c>
      <c r="N454" s="453">
        <v>0.000729684476614264</v>
      </c>
      <c r="O454" s="14">
        <v>0.0004923899376599168</v>
      </c>
      <c r="P454" s="14">
        <v>0</v>
      </c>
      <c r="Q454" s="453">
        <v>0</v>
      </c>
      <c r="R454" s="453">
        <v>0</v>
      </c>
      <c r="S454" s="15">
        <v>0</v>
      </c>
    </row>
    <row r="455" spans="1:19" ht="13.5" thickBot="1">
      <c r="A455" s="51"/>
      <c r="B455" s="5" t="s">
        <v>645</v>
      </c>
      <c r="C455" s="14">
        <v>0</v>
      </c>
      <c r="D455" s="453">
        <v>0</v>
      </c>
      <c r="E455" s="453">
        <v>0</v>
      </c>
      <c r="F455" s="453">
        <v>0</v>
      </c>
      <c r="G455" s="453">
        <v>0</v>
      </c>
      <c r="H455" s="453">
        <v>0</v>
      </c>
      <c r="I455" s="453">
        <v>0</v>
      </c>
      <c r="J455" s="14">
        <v>0</v>
      </c>
      <c r="K455" s="14">
        <v>0</v>
      </c>
      <c r="L455" s="453">
        <v>0</v>
      </c>
      <c r="M455" s="453">
        <v>0</v>
      </c>
      <c r="N455" s="453">
        <v>0</v>
      </c>
      <c r="O455" s="14">
        <v>0</v>
      </c>
      <c r="P455" s="14">
        <v>0</v>
      </c>
      <c r="Q455" s="453">
        <v>0</v>
      </c>
      <c r="R455" s="453">
        <v>0</v>
      </c>
      <c r="S455" s="15">
        <v>0</v>
      </c>
    </row>
    <row r="456" spans="1:19" ht="12.75">
      <c r="A456" s="51"/>
      <c r="B456" s="5" t="s">
        <v>601</v>
      </c>
      <c r="C456" s="502">
        <v>0.7932123497525336</v>
      </c>
      <c r="D456" s="453">
        <v>0</v>
      </c>
      <c r="E456" s="453">
        <v>0.3489903181189488</v>
      </c>
      <c r="F456" s="453">
        <v>0</v>
      </c>
      <c r="G456" s="453">
        <v>0</v>
      </c>
      <c r="H456" s="502">
        <v>0.5308139534883721</v>
      </c>
      <c r="I456" s="453">
        <v>0</v>
      </c>
      <c r="J456" s="14">
        <v>0.6569224588188027</v>
      </c>
      <c r="K456" s="14">
        <v>0</v>
      </c>
      <c r="L456" s="453">
        <v>0</v>
      </c>
      <c r="M456" s="483">
        <v>0</v>
      </c>
      <c r="N456" s="453">
        <v>1</v>
      </c>
      <c r="O456" s="14">
        <v>0.3333333333333333</v>
      </c>
      <c r="P456" s="14">
        <v>0</v>
      </c>
      <c r="Q456" s="453">
        <v>0</v>
      </c>
      <c r="R456" s="453">
        <v>0</v>
      </c>
      <c r="S456" s="15">
        <v>0</v>
      </c>
    </row>
    <row r="457" spans="1:19" ht="12.75">
      <c r="A457" s="51"/>
      <c r="B457" s="5" t="s">
        <v>619</v>
      </c>
      <c r="C457" s="503">
        <v>0.7150686953873977</v>
      </c>
      <c r="D457" s="453">
        <v>0</v>
      </c>
      <c r="E457" s="453">
        <v>0.30755421774135056</v>
      </c>
      <c r="F457" s="453">
        <v>0</v>
      </c>
      <c r="G457" s="453">
        <v>0</v>
      </c>
      <c r="H457" s="503">
        <v>0.5909396725723256</v>
      </c>
      <c r="I457" s="453">
        <v>0</v>
      </c>
      <c r="J457" s="14">
        <v>0.5779895704352795</v>
      </c>
      <c r="K457" s="14">
        <v>0</v>
      </c>
      <c r="L457" s="453">
        <v>0</v>
      </c>
      <c r="M457" s="479">
        <v>0</v>
      </c>
      <c r="N457" s="453">
        <v>1</v>
      </c>
      <c r="O457" s="14">
        <v>0.25</v>
      </c>
      <c r="P457" s="14">
        <v>0</v>
      </c>
      <c r="Q457" s="453">
        <v>0</v>
      </c>
      <c r="R457" s="453">
        <v>0</v>
      </c>
      <c r="S457" s="15">
        <v>0</v>
      </c>
    </row>
    <row r="458" spans="1:21" s="438" customFormat="1" ht="12.75">
      <c r="A458" s="51"/>
      <c r="B458" s="5" t="s">
        <v>643</v>
      </c>
      <c r="C458" s="505">
        <v>-7.814365436513593</v>
      </c>
      <c r="D458" s="453">
        <v>0</v>
      </c>
      <c r="E458" s="453">
        <v>-4.143610037759826</v>
      </c>
      <c r="F458" s="453">
        <v>0</v>
      </c>
      <c r="G458" s="453">
        <v>0</v>
      </c>
      <c r="H458" s="505">
        <v>6.012571908395348</v>
      </c>
      <c r="I458" s="453">
        <v>0</v>
      </c>
      <c r="J458" s="14">
        <v>-7.893288838352319</v>
      </c>
      <c r="K458" s="14">
        <v>0</v>
      </c>
      <c r="L458" s="453">
        <v>0</v>
      </c>
      <c r="M458" s="479">
        <v>0</v>
      </c>
      <c r="N458" s="453">
        <v>0</v>
      </c>
      <c r="O458" s="14">
        <v>-8.333333333333332</v>
      </c>
      <c r="P458" s="14">
        <v>0</v>
      </c>
      <c r="Q458" s="453">
        <v>0</v>
      </c>
      <c r="R458" s="453">
        <v>0</v>
      </c>
      <c r="S458" s="15">
        <v>0</v>
      </c>
      <c r="T458"/>
      <c r="U458"/>
    </row>
    <row r="459" spans="1:19" ht="12.75">
      <c r="A459" s="51"/>
      <c r="B459" s="5" t="s">
        <v>621</v>
      </c>
      <c r="C459" s="14">
        <v>0.10256893707282583</v>
      </c>
      <c r="D459" s="453">
        <v>0</v>
      </c>
      <c r="E459" s="502">
        <v>0.373222683264177</v>
      </c>
      <c r="F459" s="453">
        <v>0</v>
      </c>
      <c r="G459" s="453">
        <v>0</v>
      </c>
      <c r="H459" s="453">
        <v>0</v>
      </c>
      <c r="I459" s="453">
        <v>0</v>
      </c>
      <c r="J459" s="14">
        <v>0.17835275210928084</v>
      </c>
      <c r="K459" s="14">
        <v>0</v>
      </c>
      <c r="L459" s="453">
        <v>0</v>
      </c>
      <c r="M459" s="479">
        <v>0</v>
      </c>
      <c r="N459" s="453">
        <v>0</v>
      </c>
      <c r="O459" s="14">
        <v>0</v>
      </c>
      <c r="P459" s="14">
        <v>0</v>
      </c>
      <c r="Q459" s="453">
        <v>0</v>
      </c>
      <c r="R459" s="453">
        <v>0</v>
      </c>
      <c r="S459" s="15">
        <v>0</v>
      </c>
    </row>
    <row r="460" spans="1:19" ht="12.75">
      <c r="A460" s="51"/>
      <c r="B460" s="5" t="s">
        <v>623</v>
      </c>
      <c r="C460" s="14">
        <v>0.17791597848251936</v>
      </c>
      <c r="D460" s="453">
        <v>0</v>
      </c>
      <c r="E460" s="503">
        <v>0.4968811198955538</v>
      </c>
      <c r="F460" s="453">
        <v>0</v>
      </c>
      <c r="G460" s="453">
        <v>0</v>
      </c>
      <c r="H460" s="453">
        <v>0.006055169320475443</v>
      </c>
      <c r="I460" s="453">
        <v>0</v>
      </c>
      <c r="J460" s="14">
        <v>0.2780681493475569</v>
      </c>
      <c r="K460" s="14">
        <v>0</v>
      </c>
      <c r="L460" s="453">
        <v>0</v>
      </c>
      <c r="M460" s="479">
        <v>0</v>
      </c>
      <c r="N460" s="453">
        <v>0</v>
      </c>
      <c r="O460" s="14">
        <v>0</v>
      </c>
      <c r="P460" s="14">
        <v>0</v>
      </c>
      <c r="Q460" s="453">
        <v>0</v>
      </c>
      <c r="R460" s="453">
        <v>0</v>
      </c>
      <c r="S460" s="15">
        <v>0</v>
      </c>
    </row>
    <row r="461" spans="1:19" ht="12.75">
      <c r="A461" s="51"/>
      <c r="B461" s="5" t="s">
        <v>647</v>
      </c>
      <c r="C461" s="14">
        <v>7.534704140969353</v>
      </c>
      <c r="D461" s="453">
        <v>0</v>
      </c>
      <c r="E461" s="505">
        <v>12.365843663137676</v>
      </c>
      <c r="F461" s="453">
        <v>0</v>
      </c>
      <c r="G461" s="453">
        <v>0</v>
      </c>
      <c r="H461" s="453">
        <v>0</v>
      </c>
      <c r="I461" s="453">
        <v>0</v>
      </c>
      <c r="J461" s="14">
        <v>9.971539723827608</v>
      </c>
      <c r="K461" s="14">
        <v>0</v>
      </c>
      <c r="L461" s="453">
        <v>0</v>
      </c>
      <c r="M461" s="479">
        <v>0</v>
      </c>
      <c r="N461" s="453">
        <v>0</v>
      </c>
      <c r="O461" s="14">
        <v>0</v>
      </c>
      <c r="P461" s="14">
        <v>0</v>
      </c>
      <c r="Q461" s="453">
        <v>0</v>
      </c>
      <c r="R461" s="453">
        <v>0</v>
      </c>
      <c r="S461" s="15">
        <v>0</v>
      </c>
    </row>
    <row r="462" spans="1:19" ht="12.75">
      <c r="A462" s="51"/>
      <c r="B462" s="5" t="s">
        <v>625</v>
      </c>
      <c r="C462" s="14">
        <v>0.06193730850813104</v>
      </c>
      <c r="D462" s="453">
        <v>0</v>
      </c>
      <c r="E462" s="503">
        <v>0.2426002766251729</v>
      </c>
      <c r="F462" s="453">
        <v>0</v>
      </c>
      <c r="G462" s="453">
        <v>0</v>
      </c>
      <c r="H462" s="502">
        <v>0.46918604651162793</v>
      </c>
      <c r="I462" s="453">
        <v>0</v>
      </c>
      <c r="J462" s="14">
        <v>0.12567296102852551</v>
      </c>
      <c r="K462" s="14">
        <v>0</v>
      </c>
      <c r="L462" s="453">
        <v>0</v>
      </c>
      <c r="M462" s="479">
        <v>1</v>
      </c>
      <c r="N462" s="453">
        <v>0</v>
      </c>
      <c r="O462" s="14">
        <v>0.6666666666666666</v>
      </c>
      <c r="P462" s="14">
        <v>0</v>
      </c>
      <c r="Q462" s="453">
        <v>0</v>
      </c>
      <c r="R462" s="453">
        <v>0</v>
      </c>
      <c r="S462" s="15">
        <v>0</v>
      </c>
    </row>
    <row r="463" spans="1:19" ht="13.5" thickBot="1">
      <c r="A463" s="51"/>
      <c r="B463" s="5" t="s">
        <v>627</v>
      </c>
      <c r="C463" s="14">
        <v>0.06411877058785535</v>
      </c>
      <c r="D463" s="453">
        <v>0</v>
      </c>
      <c r="E463" s="503">
        <v>0.17293464858199753</v>
      </c>
      <c r="F463" s="453">
        <v>0</v>
      </c>
      <c r="G463" s="453">
        <v>0</v>
      </c>
      <c r="H463" s="503">
        <v>0.40300515810719895</v>
      </c>
      <c r="I463" s="453">
        <v>0</v>
      </c>
      <c r="J463" s="14">
        <v>0.10883774645204305</v>
      </c>
      <c r="K463" s="14">
        <v>0</v>
      </c>
      <c r="L463" s="453">
        <v>0</v>
      </c>
      <c r="M463" s="484">
        <v>1</v>
      </c>
      <c r="N463" s="453">
        <v>0</v>
      </c>
      <c r="O463" s="14">
        <v>0.75</v>
      </c>
      <c r="P463" s="14">
        <v>0</v>
      </c>
      <c r="Q463" s="453">
        <v>0</v>
      </c>
      <c r="R463" s="453">
        <v>0</v>
      </c>
      <c r="S463" s="15">
        <v>0</v>
      </c>
    </row>
    <row r="464" spans="1:21" s="439" customFormat="1" ht="12.75">
      <c r="A464" s="51"/>
      <c r="B464" s="5" t="s">
        <v>653</v>
      </c>
      <c r="C464" s="459">
        <v>0.21814620797243126</v>
      </c>
      <c r="D464" s="524">
        <v>0</v>
      </c>
      <c r="E464" s="525">
        <v>-6.966562804317536</v>
      </c>
      <c r="F464" s="524">
        <v>0</v>
      </c>
      <c r="G464" s="524">
        <v>0</v>
      </c>
      <c r="H464" s="525">
        <v>-6.618088840442899</v>
      </c>
      <c r="I464" s="524">
        <v>0</v>
      </c>
      <c r="J464" s="459">
        <v>-1.683521457648246</v>
      </c>
      <c r="K464" s="459">
        <v>0</v>
      </c>
      <c r="L464" s="524">
        <v>0</v>
      </c>
      <c r="M464" s="524">
        <v>0</v>
      </c>
      <c r="N464" s="524">
        <v>0</v>
      </c>
      <c r="O464" s="459">
        <v>8.333333333333337</v>
      </c>
      <c r="P464" s="459">
        <v>0</v>
      </c>
      <c r="Q464" s="524">
        <v>0</v>
      </c>
      <c r="R464" s="524">
        <v>0</v>
      </c>
      <c r="S464" s="460">
        <v>0</v>
      </c>
      <c r="T464"/>
      <c r="U464"/>
    </row>
    <row r="465" spans="1:19" ht="12.75">
      <c r="A465" s="51"/>
      <c r="B465" s="5" t="s">
        <v>629</v>
      </c>
      <c r="C465" s="14">
        <v>0.04192788121612067</v>
      </c>
      <c r="D465" s="453">
        <v>0</v>
      </c>
      <c r="E465" s="453">
        <v>0.035186721991701246</v>
      </c>
      <c r="F465" s="453">
        <v>0</v>
      </c>
      <c r="G465" s="453">
        <v>0</v>
      </c>
      <c r="H465" s="453">
        <v>0</v>
      </c>
      <c r="I465" s="453">
        <v>0</v>
      </c>
      <c r="J465" s="14">
        <v>0.03881076737645641</v>
      </c>
      <c r="K465" s="14">
        <v>0</v>
      </c>
      <c r="L465" s="453">
        <v>0</v>
      </c>
      <c r="M465" s="453">
        <v>0</v>
      </c>
      <c r="N465" s="453">
        <v>0</v>
      </c>
      <c r="O465" s="14">
        <v>0</v>
      </c>
      <c r="P465" s="14">
        <v>0</v>
      </c>
      <c r="Q465" s="453">
        <v>0</v>
      </c>
      <c r="R465" s="453">
        <v>0</v>
      </c>
      <c r="S465" s="15">
        <v>0</v>
      </c>
    </row>
    <row r="466" spans="1:19" ht="12.75">
      <c r="A466" s="51"/>
      <c r="B466" s="5" t="s">
        <v>631</v>
      </c>
      <c r="C466" s="14">
        <v>0.038578296132943335</v>
      </c>
      <c r="D466" s="453">
        <v>0</v>
      </c>
      <c r="E466" s="453">
        <v>0.02252121563791978</v>
      </c>
      <c r="F466" s="453">
        <v>0</v>
      </c>
      <c r="G466" s="453">
        <v>0</v>
      </c>
      <c r="H466" s="453">
        <v>0</v>
      </c>
      <c r="I466" s="453">
        <v>0</v>
      </c>
      <c r="J466" s="14">
        <v>0.0322828364606153</v>
      </c>
      <c r="K466" s="14">
        <v>0</v>
      </c>
      <c r="L466" s="453">
        <v>0</v>
      </c>
      <c r="M466" s="453">
        <v>0</v>
      </c>
      <c r="N466" s="453">
        <v>0</v>
      </c>
      <c r="O466" s="14">
        <v>0</v>
      </c>
      <c r="P466" s="14">
        <v>0</v>
      </c>
      <c r="Q466" s="453">
        <v>0</v>
      </c>
      <c r="R466" s="453">
        <v>0</v>
      </c>
      <c r="S466" s="15">
        <v>0</v>
      </c>
    </row>
    <row r="467" spans="1:19" ht="12.75">
      <c r="A467" s="51"/>
      <c r="B467" s="5" t="s">
        <v>655</v>
      </c>
      <c r="C467" s="14">
        <v>-0.33495850831773355</v>
      </c>
      <c r="D467" s="453">
        <v>0</v>
      </c>
      <c r="E467" s="453">
        <v>-1.2665506353781466</v>
      </c>
      <c r="F467" s="453">
        <v>0</v>
      </c>
      <c r="G467" s="453">
        <v>0</v>
      </c>
      <c r="H467" s="453">
        <v>0</v>
      </c>
      <c r="I467" s="453">
        <v>0</v>
      </c>
      <c r="J467" s="14">
        <v>-0.6527930915841113</v>
      </c>
      <c r="K467" s="14">
        <v>0</v>
      </c>
      <c r="L467" s="453">
        <v>0</v>
      </c>
      <c r="M467" s="453">
        <v>0</v>
      </c>
      <c r="N467" s="453">
        <v>0</v>
      </c>
      <c r="O467" s="14">
        <v>0</v>
      </c>
      <c r="P467" s="14">
        <v>0</v>
      </c>
      <c r="Q467" s="453">
        <v>0</v>
      </c>
      <c r="R467" s="453">
        <v>0</v>
      </c>
      <c r="S467" s="15">
        <v>0</v>
      </c>
    </row>
    <row r="468" spans="1:19" ht="12.75">
      <c r="A468" s="51"/>
      <c r="B468" s="5" t="s">
        <v>633</v>
      </c>
      <c r="C468" s="14">
        <v>0.00025925053028517557</v>
      </c>
      <c r="D468" s="453">
        <v>0</v>
      </c>
      <c r="E468" s="453">
        <v>0</v>
      </c>
      <c r="F468" s="453">
        <v>0</v>
      </c>
      <c r="G468" s="453">
        <v>0</v>
      </c>
      <c r="H468" s="453">
        <v>0</v>
      </c>
      <c r="I468" s="453">
        <v>0</v>
      </c>
      <c r="J468" s="14">
        <v>0.00017677782241864204</v>
      </c>
      <c r="K468" s="14">
        <v>0</v>
      </c>
      <c r="L468" s="453">
        <v>0</v>
      </c>
      <c r="M468" s="453">
        <v>0</v>
      </c>
      <c r="N468" s="453">
        <v>0</v>
      </c>
      <c r="O468" s="14">
        <v>0</v>
      </c>
      <c r="P468" s="14">
        <v>0</v>
      </c>
      <c r="Q468" s="453">
        <v>0</v>
      </c>
      <c r="R468" s="453">
        <v>0</v>
      </c>
      <c r="S468" s="15">
        <v>0</v>
      </c>
    </row>
    <row r="469" spans="1:19" ht="12.75">
      <c r="A469" s="51"/>
      <c r="B469" s="5" t="s">
        <v>635</v>
      </c>
      <c r="C469" s="482">
        <v>0.004318259409284258</v>
      </c>
      <c r="D469" s="453">
        <v>0</v>
      </c>
      <c r="E469" s="453">
        <v>0.00010879814317835642</v>
      </c>
      <c r="F469" s="453">
        <v>0</v>
      </c>
      <c r="G469" s="453">
        <v>0</v>
      </c>
      <c r="H469" s="453">
        <v>0</v>
      </c>
      <c r="I469" s="453">
        <v>0</v>
      </c>
      <c r="J469" s="482">
        <v>0.0028216973045051908</v>
      </c>
      <c r="K469" s="14">
        <v>0</v>
      </c>
      <c r="L469" s="453">
        <v>0</v>
      </c>
      <c r="M469" s="453">
        <v>0</v>
      </c>
      <c r="N469" s="453">
        <v>0</v>
      </c>
      <c r="O469" s="14">
        <v>0</v>
      </c>
      <c r="P469" s="14">
        <v>0</v>
      </c>
      <c r="Q469" s="453">
        <v>0</v>
      </c>
      <c r="R469" s="453">
        <v>0</v>
      </c>
      <c r="S469" s="15">
        <v>0</v>
      </c>
    </row>
    <row r="470" spans="1:19" ht="12.75">
      <c r="A470" s="51"/>
      <c r="B470" s="5" t="s">
        <v>661</v>
      </c>
      <c r="C470" s="14">
        <v>0.4059008878999082</v>
      </c>
      <c r="D470" s="453">
        <v>0</v>
      </c>
      <c r="E470" s="453">
        <v>0</v>
      </c>
      <c r="F470" s="453">
        <v>0</v>
      </c>
      <c r="G470" s="453">
        <v>0</v>
      </c>
      <c r="H470" s="453">
        <v>0</v>
      </c>
      <c r="I470" s="453">
        <v>0</v>
      </c>
      <c r="J470" s="14">
        <v>0.26449194820865485</v>
      </c>
      <c r="K470" s="14">
        <v>0</v>
      </c>
      <c r="L470" s="453">
        <v>0</v>
      </c>
      <c r="M470" s="453">
        <v>0</v>
      </c>
      <c r="N470" s="453">
        <v>0</v>
      </c>
      <c r="O470" s="14">
        <v>0</v>
      </c>
      <c r="P470" s="14">
        <v>0</v>
      </c>
      <c r="Q470" s="453">
        <v>0</v>
      </c>
      <c r="R470" s="453">
        <v>0</v>
      </c>
      <c r="S470" s="15">
        <v>0</v>
      </c>
    </row>
    <row r="471" spans="1:19" ht="12.75">
      <c r="A471" s="51"/>
      <c r="B471" s="5" t="s">
        <v>637</v>
      </c>
      <c r="C471" s="14">
        <v>9.427292010370022E-05</v>
      </c>
      <c r="D471" s="453">
        <v>0</v>
      </c>
      <c r="E471" s="453">
        <v>0</v>
      </c>
      <c r="F471" s="453">
        <v>0</v>
      </c>
      <c r="G471" s="453">
        <v>0</v>
      </c>
      <c r="H471" s="453">
        <v>0</v>
      </c>
      <c r="I471" s="453">
        <v>0</v>
      </c>
      <c r="J471" s="14">
        <v>6.428284451586983E-05</v>
      </c>
      <c r="K471" s="14">
        <v>0</v>
      </c>
      <c r="L471" s="453">
        <v>0</v>
      </c>
      <c r="M471" s="453">
        <v>0</v>
      </c>
      <c r="N471" s="453">
        <v>0</v>
      </c>
      <c r="O471" s="14">
        <v>0</v>
      </c>
      <c r="P471" s="14">
        <v>0</v>
      </c>
      <c r="Q471" s="453">
        <v>0</v>
      </c>
      <c r="R471" s="453">
        <v>0</v>
      </c>
      <c r="S471" s="15">
        <v>0</v>
      </c>
    </row>
    <row r="472" spans="1:19" ht="12.75">
      <c r="A472" s="51"/>
      <c r="B472" s="5" t="s">
        <v>639</v>
      </c>
      <c r="C472" s="14">
        <v>0</v>
      </c>
      <c r="D472" s="453">
        <v>0</v>
      </c>
      <c r="E472" s="453">
        <v>0</v>
      </c>
      <c r="F472" s="453">
        <v>0</v>
      </c>
      <c r="G472" s="453">
        <v>0</v>
      </c>
      <c r="H472" s="453">
        <v>0</v>
      </c>
      <c r="I472" s="453">
        <v>0</v>
      </c>
      <c r="J472" s="14">
        <v>0</v>
      </c>
      <c r="K472" s="14">
        <v>0</v>
      </c>
      <c r="L472" s="453">
        <v>0</v>
      </c>
      <c r="M472" s="453">
        <v>0</v>
      </c>
      <c r="N472" s="453">
        <v>0</v>
      </c>
      <c r="O472" s="14">
        <v>0</v>
      </c>
      <c r="P472" s="14">
        <v>0</v>
      </c>
      <c r="Q472" s="453">
        <v>0</v>
      </c>
      <c r="R472" s="453">
        <v>0</v>
      </c>
      <c r="S472" s="15">
        <v>0</v>
      </c>
    </row>
    <row r="473" spans="1:21" s="196" customFormat="1" ht="12.75">
      <c r="A473" s="498"/>
      <c r="B473" s="499" t="s">
        <v>663</v>
      </c>
      <c r="C473" s="457">
        <v>-0.009427292010370021</v>
      </c>
      <c r="D473" s="497">
        <v>0</v>
      </c>
      <c r="E473" s="497">
        <v>0</v>
      </c>
      <c r="F473" s="497">
        <v>0</v>
      </c>
      <c r="G473" s="497">
        <v>0</v>
      </c>
      <c r="H473" s="497">
        <v>0</v>
      </c>
      <c r="I473" s="497">
        <v>0</v>
      </c>
      <c r="J473" s="457">
        <v>-0.0064282844515869825</v>
      </c>
      <c r="K473" s="457">
        <v>0</v>
      </c>
      <c r="L473" s="497">
        <v>0</v>
      </c>
      <c r="M473" s="497">
        <v>0</v>
      </c>
      <c r="N473" s="497">
        <v>0</v>
      </c>
      <c r="O473" s="457">
        <v>0</v>
      </c>
      <c r="P473" s="457">
        <v>0</v>
      </c>
      <c r="Q473" s="497">
        <v>0</v>
      </c>
      <c r="R473" s="497">
        <v>0</v>
      </c>
      <c r="S473" s="458">
        <v>0</v>
      </c>
      <c r="T473"/>
      <c r="U473"/>
    </row>
    <row r="474" spans="1:21" s="48" customFormat="1" ht="12.75">
      <c r="A474" s="440" t="s">
        <v>594</v>
      </c>
      <c r="B474" s="441"/>
      <c r="C474" s="11">
        <v>0.9392676940881107</v>
      </c>
      <c r="D474" s="12">
        <v>0.8610316209822512</v>
      </c>
      <c r="E474" s="12">
        <v>0.9476235252060274</v>
      </c>
      <c r="F474" s="12">
        <v>0.9380595690464745</v>
      </c>
      <c r="G474" s="12">
        <v>0.9374670629392582</v>
      </c>
      <c r="H474" s="12">
        <v>0.9191182754596718</v>
      </c>
      <c r="I474" s="12">
        <v>0.02962822936357908</v>
      </c>
      <c r="J474" s="11">
        <v>0.9218362518909531</v>
      </c>
      <c r="K474" s="11">
        <v>0.8889240507643348</v>
      </c>
      <c r="L474" s="12">
        <v>0.8365869070849067</v>
      </c>
      <c r="M474" s="12">
        <v>0.7816381037314288</v>
      </c>
      <c r="N474" s="12">
        <v>0.7784281265832068</v>
      </c>
      <c r="O474" s="11">
        <v>0.8170558478305459</v>
      </c>
      <c r="P474" s="11">
        <v>0.8896660189897805</v>
      </c>
      <c r="Q474" s="12">
        <v>0.914209563301214</v>
      </c>
      <c r="R474" s="12">
        <v>0.9896768150339919</v>
      </c>
      <c r="S474" s="13">
        <v>0.9012129431290342</v>
      </c>
      <c r="T474"/>
      <c r="U474"/>
    </row>
    <row r="475" spans="1:19" ht="12.75">
      <c r="A475" s="440" t="s">
        <v>596</v>
      </c>
      <c r="B475" s="441"/>
      <c r="C475" s="11">
        <v>0.9286881659613904</v>
      </c>
      <c r="D475" s="12">
        <v>0.8719989828483604</v>
      </c>
      <c r="E475" s="12">
        <v>0.9398851997658221</v>
      </c>
      <c r="F475" s="12">
        <v>0.9391553033258089</v>
      </c>
      <c r="G475" s="12">
        <v>0.92148086379592</v>
      </c>
      <c r="H475" s="12">
        <v>0.9026697080700585</v>
      </c>
      <c r="I475" s="12">
        <v>0.03330194281327039</v>
      </c>
      <c r="J475" s="11">
        <v>0.9159540240446093</v>
      </c>
      <c r="K475" s="11">
        <v>0.8673686774645037</v>
      </c>
      <c r="L475" s="12">
        <v>0.8273142056003073</v>
      </c>
      <c r="M475" s="12">
        <v>0.7691996224711762</v>
      </c>
      <c r="N475" s="12">
        <v>0.7596594808445897</v>
      </c>
      <c r="O475" s="11">
        <v>0.8042082014773766</v>
      </c>
      <c r="P475" s="11">
        <v>0.855613027469542</v>
      </c>
      <c r="Q475" s="12">
        <v>0.9067178244480345</v>
      </c>
      <c r="R475" s="12">
        <v>1</v>
      </c>
      <c r="S475" s="13">
        <v>0.8720548997360579</v>
      </c>
    </row>
    <row r="476" spans="1:21" s="445" customFormat="1" ht="12.75">
      <c r="A476" s="440" t="s">
        <v>642</v>
      </c>
      <c r="B476" s="441"/>
      <c r="C476" s="541">
        <v>-1.0579528126720361</v>
      </c>
      <c r="D476" s="542">
        <v>1.0967361866109249</v>
      </c>
      <c r="E476" s="542">
        <v>-0.7738325440205363</v>
      </c>
      <c r="F476" s="542">
        <v>0.10957342793344038</v>
      </c>
      <c r="G476" s="542">
        <v>-1.598619914333821</v>
      </c>
      <c r="H476" s="542">
        <v>-1.644856738961331</v>
      </c>
      <c r="I476" s="542">
        <v>0.36737134496913104</v>
      </c>
      <c r="J476" s="541">
        <v>-0.5882227846343735</v>
      </c>
      <c r="K476" s="541">
        <v>-2.1555373299831038</v>
      </c>
      <c r="L476" s="542">
        <v>-0.9272701484599355</v>
      </c>
      <c r="M476" s="542">
        <v>-1.2438481260252598</v>
      </c>
      <c r="N476" s="542">
        <v>-1.876864573861714</v>
      </c>
      <c r="O476" s="541">
        <v>-1.2847646353169262</v>
      </c>
      <c r="P476" s="541">
        <v>-3.405299152023844</v>
      </c>
      <c r="Q476" s="542">
        <v>-0.7491738853179442</v>
      </c>
      <c r="R476" s="542">
        <v>1.0323184966008148</v>
      </c>
      <c r="S476" s="543">
        <v>-2.915804339297634</v>
      </c>
      <c r="T476"/>
      <c r="U476"/>
    </row>
    <row r="477" spans="1:19" ht="12.75">
      <c r="A477" s="440" t="s">
        <v>598</v>
      </c>
      <c r="B477" s="441"/>
      <c r="C477" s="11">
        <v>0.020424954843880856</v>
      </c>
      <c r="D477" s="12">
        <v>0.07179162265663068</v>
      </c>
      <c r="E477" s="12">
        <v>0.028406339280132288</v>
      </c>
      <c r="F477" s="12">
        <v>0.0235918435469217</v>
      </c>
      <c r="G477" s="12">
        <v>0.01635793309215297</v>
      </c>
      <c r="H477" s="12">
        <v>0.038259237332512894</v>
      </c>
      <c r="I477" s="12">
        <v>0.25238500315059864</v>
      </c>
      <c r="J477" s="11">
        <v>0.033075030415719506</v>
      </c>
      <c r="K477" s="11">
        <v>0.035737616548119924</v>
      </c>
      <c r="L477" s="12">
        <v>0.07265635388767118</v>
      </c>
      <c r="M477" s="12">
        <v>0.13881935497255365</v>
      </c>
      <c r="N477" s="12">
        <v>0.13462552374675285</v>
      </c>
      <c r="O477" s="11">
        <v>0.0971103592203619</v>
      </c>
      <c r="P477" s="11">
        <v>8.212891232893169E-05</v>
      </c>
      <c r="Q477" s="12">
        <v>0.0002945691642732922</v>
      </c>
      <c r="R477" s="12">
        <v>0.010323184966008132</v>
      </c>
      <c r="S477" s="13">
        <v>0.0011801504950264678</v>
      </c>
    </row>
    <row r="478" spans="1:19" ht="12.75">
      <c r="A478" s="440" t="s">
        <v>600</v>
      </c>
      <c r="B478" s="441"/>
      <c r="C478" s="11">
        <v>0.021361500451882547</v>
      </c>
      <c r="D478" s="12">
        <v>0.06584265655698968</v>
      </c>
      <c r="E478" s="12">
        <v>0.026524971370202616</v>
      </c>
      <c r="F478" s="12">
        <v>0.016875588198588636</v>
      </c>
      <c r="G478" s="12">
        <v>0.01757077768184433</v>
      </c>
      <c r="H478" s="12">
        <v>0.04869231037040644</v>
      </c>
      <c r="I478" s="12">
        <v>0.23190196560638687</v>
      </c>
      <c r="J478" s="11">
        <v>0.03166345876906651</v>
      </c>
      <c r="K478" s="11">
        <v>0.038288007464627655</v>
      </c>
      <c r="L478" s="12">
        <v>0.06838057269102191</v>
      </c>
      <c r="M478" s="12">
        <v>0.13404396218318315</v>
      </c>
      <c r="N478" s="12">
        <v>0.13521970748726964</v>
      </c>
      <c r="O478" s="11">
        <v>0.09450805962678793</v>
      </c>
      <c r="P478" s="11">
        <v>8.832396599842752E-06</v>
      </c>
      <c r="Q478" s="12">
        <v>0.0008683360258481421</v>
      </c>
      <c r="R478" s="12">
        <v>0</v>
      </c>
      <c r="S478" s="13">
        <v>4.259537123968673E-05</v>
      </c>
    </row>
    <row r="479" spans="1:21" s="445" customFormat="1" ht="12.75">
      <c r="A479" s="440" t="s">
        <v>650</v>
      </c>
      <c r="B479" s="441"/>
      <c r="C479" s="442">
        <v>0.09365456080016911</v>
      </c>
      <c r="D479" s="443">
        <v>-0.5948966099641004</v>
      </c>
      <c r="E479" s="443">
        <v>-0.18813679099296715</v>
      </c>
      <c r="F479" s="443">
        <v>-0.6716255348333064</v>
      </c>
      <c r="G479" s="443">
        <v>0.12128445896913594</v>
      </c>
      <c r="H479" s="443">
        <v>1.0433073037893543</v>
      </c>
      <c r="I479" s="443">
        <v>-2.048303754421177</v>
      </c>
      <c r="J479" s="442">
        <v>-0.14115716466529954</v>
      </c>
      <c r="K479" s="442">
        <v>0.25503909165077304</v>
      </c>
      <c r="L479" s="443">
        <v>-0.42757811966492726</v>
      </c>
      <c r="M479" s="443">
        <v>-0.4775392789370503</v>
      </c>
      <c r="N479" s="443">
        <v>0.05941837405167849</v>
      </c>
      <c r="O479" s="442">
        <v>-0.260229959357397</v>
      </c>
      <c r="P479" s="442">
        <v>-0.0073296515729088935</v>
      </c>
      <c r="Q479" s="443">
        <v>0.05737668615748499</v>
      </c>
      <c r="R479" s="443">
        <v>-1.0323184966008132</v>
      </c>
      <c r="S479" s="444">
        <v>-0.1137555123786781</v>
      </c>
      <c r="T479"/>
      <c r="U479"/>
    </row>
    <row r="480" spans="1:19" ht="12.75">
      <c r="A480" s="440" t="s">
        <v>604</v>
      </c>
      <c r="B480" s="441"/>
      <c r="C480" s="11">
        <v>0.017429695659572992</v>
      </c>
      <c r="D480" s="12">
        <v>0.059386014785746476</v>
      </c>
      <c r="E480" s="12">
        <v>0.0176609816896663</v>
      </c>
      <c r="F480" s="12">
        <v>0.029399478850179416</v>
      </c>
      <c r="G480" s="12">
        <v>0.03195754845630244</v>
      </c>
      <c r="H480" s="12">
        <v>0.03543198193788585</v>
      </c>
      <c r="I480" s="12">
        <v>0.7179867674858224</v>
      </c>
      <c r="J480" s="11">
        <v>0.03200477608884051</v>
      </c>
      <c r="K480" s="11">
        <v>0.061793396848969916</v>
      </c>
      <c r="L480" s="12">
        <v>0.06894951085055277</v>
      </c>
      <c r="M480" s="12">
        <v>0.05934164664398911</v>
      </c>
      <c r="N480" s="12">
        <v>0.05140754573462286</v>
      </c>
      <c r="O480" s="11">
        <v>0.06373636509477444</v>
      </c>
      <c r="P480" s="11">
        <v>0.11002758864725075</v>
      </c>
      <c r="Q480" s="12">
        <v>0.08549586753451274</v>
      </c>
      <c r="R480" s="12">
        <v>0</v>
      </c>
      <c r="S480" s="13">
        <v>0.09741474174839895</v>
      </c>
    </row>
    <row r="481" spans="1:19" ht="12.75">
      <c r="A481" s="440" t="s">
        <v>606</v>
      </c>
      <c r="B481" s="441"/>
      <c r="C481" s="11">
        <v>0.025754904389096958</v>
      </c>
      <c r="D481" s="12">
        <v>0.05759269314086351</v>
      </c>
      <c r="E481" s="12">
        <v>0.026450481526421158</v>
      </c>
      <c r="F481" s="12">
        <v>0.036714769648555266</v>
      </c>
      <c r="G481" s="12">
        <v>0.043323517564907536</v>
      </c>
      <c r="H481" s="12">
        <v>0.040694794284851496</v>
      </c>
      <c r="I481" s="12">
        <v>0.7347960915803428</v>
      </c>
      <c r="J481" s="11">
        <v>0.03915526872489871</v>
      </c>
      <c r="K481" s="11">
        <v>0.07908872089806737</v>
      </c>
      <c r="L481" s="12">
        <v>0.08740583196402955</v>
      </c>
      <c r="M481" s="12">
        <v>0.07653160534518415</v>
      </c>
      <c r="N481" s="12">
        <v>0.07655974842532295</v>
      </c>
      <c r="O481" s="11">
        <v>0.08223402614508558</v>
      </c>
      <c r="P481" s="11">
        <v>0.1434273957284322</v>
      </c>
      <c r="Q481" s="12">
        <v>0.09227921378567581</v>
      </c>
      <c r="R481" s="12">
        <v>0</v>
      </c>
      <c r="S481" s="13">
        <v>0.1270793561261979</v>
      </c>
    </row>
    <row r="482" spans="1:21" s="445" customFormat="1" ht="12.75">
      <c r="A482" s="440" t="s">
        <v>652</v>
      </c>
      <c r="B482" s="441"/>
      <c r="C482" s="442">
        <v>0.8325208729523966</v>
      </c>
      <c r="D482" s="443">
        <v>-0.1793321644882967</v>
      </c>
      <c r="E482" s="443">
        <v>0.8789499836754859</v>
      </c>
      <c r="F482" s="443">
        <v>0.731529079837585</v>
      </c>
      <c r="G482" s="443">
        <v>1.1365969108605094</v>
      </c>
      <c r="H482" s="443">
        <v>0.526281234696565</v>
      </c>
      <c r="I482" s="443">
        <v>1.6809324094520406</v>
      </c>
      <c r="J482" s="442">
        <v>0.7150492636058201</v>
      </c>
      <c r="K482" s="442">
        <v>1.7295324049097456</v>
      </c>
      <c r="L482" s="443">
        <v>1.8456321113476781</v>
      </c>
      <c r="M482" s="443">
        <v>1.7189958701195038</v>
      </c>
      <c r="N482" s="443">
        <v>2.515220269070009</v>
      </c>
      <c r="O482" s="442">
        <v>1.8497661050311143</v>
      </c>
      <c r="P482" s="442">
        <v>3.339980708118144</v>
      </c>
      <c r="Q482" s="443">
        <v>0.6783346251163072</v>
      </c>
      <c r="R482" s="443">
        <v>0</v>
      </c>
      <c r="S482" s="444">
        <v>2.966461437779894</v>
      </c>
      <c r="T482"/>
      <c r="U482"/>
    </row>
    <row r="483" spans="1:19" ht="12.75">
      <c r="A483" s="440" t="s">
        <v>608</v>
      </c>
      <c r="B483" s="441"/>
      <c r="C483" s="11">
        <v>0.0010869350905520548</v>
      </c>
      <c r="D483" s="12">
        <v>0.0032744685978656537</v>
      </c>
      <c r="E483" s="12">
        <v>0.002701465489642718</v>
      </c>
      <c r="F483" s="12">
        <v>0.006877673184761363</v>
      </c>
      <c r="G483" s="12">
        <v>0.011015867453363793</v>
      </c>
      <c r="H483" s="12">
        <v>0.0061470856505328976</v>
      </c>
      <c r="I483" s="12">
        <v>0</v>
      </c>
      <c r="J483" s="11">
        <v>0.003206674032702541</v>
      </c>
      <c r="K483" s="11">
        <v>0.0017155949700798743</v>
      </c>
      <c r="L483" s="12">
        <v>0.001596762179109987</v>
      </c>
      <c r="M483" s="12">
        <v>0.006695086818420806</v>
      </c>
      <c r="N483" s="12">
        <v>0.015065122590554333</v>
      </c>
      <c r="O483" s="11">
        <v>0.004526566035919982</v>
      </c>
      <c r="P483" s="11">
        <v>0.00022426345063988727</v>
      </c>
      <c r="Q483" s="12">
        <v>0</v>
      </c>
      <c r="R483" s="12">
        <v>0</v>
      </c>
      <c r="S483" s="13">
        <v>0.0001921646275402865</v>
      </c>
    </row>
    <row r="484" spans="1:19" ht="12.75">
      <c r="A484" s="440" t="s">
        <v>610</v>
      </c>
      <c r="B484" s="441"/>
      <c r="C484" s="11">
        <v>0.0008039201247084003</v>
      </c>
      <c r="D484" s="12">
        <v>0.003006354798804687</v>
      </c>
      <c r="E484" s="12">
        <v>0.0034012420482091763</v>
      </c>
      <c r="F484" s="12">
        <v>0.005748688721187271</v>
      </c>
      <c r="G484" s="12">
        <v>0.012534635644685715</v>
      </c>
      <c r="H484" s="12">
        <v>0.006648537468714346</v>
      </c>
      <c r="I484" s="12">
        <v>0</v>
      </c>
      <c r="J484" s="11">
        <v>0.003305309919300778</v>
      </c>
      <c r="K484" s="11">
        <v>0.0018740013789743568</v>
      </c>
      <c r="L484" s="12">
        <v>0.00154660025987842</v>
      </c>
      <c r="M484" s="12">
        <v>0.00743676296374303</v>
      </c>
      <c r="N484" s="12">
        <v>0.016058500410933846</v>
      </c>
      <c r="O484" s="11">
        <v>0.004946880664236666</v>
      </c>
      <c r="P484" s="11">
        <v>0.0009479054208045524</v>
      </c>
      <c r="Q484" s="12">
        <v>0.00013462574044157243</v>
      </c>
      <c r="R484" s="12">
        <v>0</v>
      </c>
      <c r="S484" s="13">
        <v>0.0008207069936309068</v>
      </c>
    </row>
    <row r="485" spans="1:21" s="445" customFormat="1" ht="12.75">
      <c r="A485" s="440" t="s">
        <v>658</v>
      </c>
      <c r="B485" s="441"/>
      <c r="C485" s="442">
        <v>-0.028301496584365458</v>
      </c>
      <c r="D485" s="443">
        <v>-0.026811379906096666</v>
      </c>
      <c r="E485" s="443">
        <v>0.06997765585664584</v>
      </c>
      <c r="F485" s="443">
        <v>-0.11289844635740919</v>
      </c>
      <c r="G485" s="443">
        <v>0.1518768191321922</v>
      </c>
      <c r="H485" s="443">
        <v>0.05014518181814488</v>
      </c>
      <c r="I485" s="443">
        <v>0</v>
      </c>
      <c r="J485" s="442">
        <v>0.009863588659823723</v>
      </c>
      <c r="K485" s="442">
        <v>0.015840640889448254</v>
      </c>
      <c r="L485" s="443">
        <v>-0.005016191923156712</v>
      </c>
      <c r="M485" s="443">
        <v>0.0741676145322224</v>
      </c>
      <c r="N485" s="443">
        <v>0.09933778203795127</v>
      </c>
      <c r="O485" s="442">
        <v>0.042031462831668406</v>
      </c>
      <c r="P485" s="442">
        <v>0.07236419701646651</v>
      </c>
      <c r="Q485" s="443">
        <v>0</v>
      </c>
      <c r="R485" s="443">
        <v>0</v>
      </c>
      <c r="S485" s="444">
        <v>0.06285423660906202</v>
      </c>
      <c r="T485"/>
      <c r="U485"/>
    </row>
    <row r="486" spans="1:19" ht="12.75">
      <c r="A486" s="440" t="s">
        <v>612</v>
      </c>
      <c r="B486" s="441"/>
      <c r="C486" s="11">
        <v>0.018290867633735455</v>
      </c>
      <c r="D486" s="12">
        <v>0.004516272977506012</v>
      </c>
      <c r="E486" s="12">
        <v>0.0035368621394126377</v>
      </c>
      <c r="F486" s="12">
        <v>0.0011130556610104948</v>
      </c>
      <c r="G486" s="12">
        <v>0.002645874304049786</v>
      </c>
      <c r="H486" s="12">
        <v>0.000480143949953151</v>
      </c>
      <c r="I486" s="12">
        <v>0</v>
      </c>
      <c r="J486" s="11">
        <v>0.008470200056286653</v>
      </c>
      <c r="K486" s="11">
        <v>0.004089852158157008</v>
      </c>
      <c r="L486" s="12">
        <v>0.019457003806878502</v>
      </c>
      <c r="M486" s="12">
        <v>0.012203929357415039</v>
      </c>
      <c r="N486" s="12">
        <v>0.012227167581720965</v>
      </c>
      <c r="O486" s="11">
        <v>0.015450743491761633</v>
      </c>
      <c r="P486" s="11">
        <v>0</v>
      </c>
      <c r="Q486" s="12">
        <v>0</v>
      </c>
      <c r="R486" s="12">
        <v>0</v>
      </c>
      <c r="S486" s="13">
        <v>0</v>
      </c>
    </row>
    <row r="487" spans="1:19" ht="12.75">
      <c r="A487" s="440" t="s">
        <v>614</v>
      </c>
      <c r="B487" s="441"/>
      <c r="C487" s="11">
        <v>0.01927051578670687</v>
      </c>
      <c r="D487" s="12">
        <v>0.0011970723305167082</v>
      </c>
      <c r="E487" s="12">
        <v>0.0036798430092387572</v>
      </c>
      <c r="F487" s="12">
        <v>0.0007400340563165687</v>
      </c>
      <c r="G487" s="12">
        <v>0.004669085562708791</v>
      </c>
      <c r="H487" s="12">
        <v>0.0007737840731863925</v>
      </c>
      <c r="I487" s="12">
        <v>0</v>
      </c>
      <c r="J487" s="11">
        <v>0.008301251867393398</v>
      </c>
      <c r="K487" s="11">
        <v>0.005814399960364809</v>
      </c>
      <c r="L487" s="12">
        <v>0.014574697391342931</v>
      </c>
      <c r="M487" s="12">
        <v>0.011825286152305237</v>
      </c>
      <c r="N487" s="12">
        <v>0.012262093003480967</v>
      </c>
      <c r="O487" s="11">
        <v>0.012876242712895511</v>
      </c>
      <c r="P487" s="11">
        <v>2.8389846213780273E-06</v>
      </c>
      <c r="Q487" s="12">
        <v>0</v>
      </c>
      <c r="R487" s="12">
        <v>0</v>
      </c>
      <c r="S487" s="13">
        <v>2.441772873612615E-06</v>
      </c>
    </row>
    <row r="488" spans="1:21" s="445" customFormat="1" ht="12.75">
      <c r="A488" s="440" t="s">
        <v>660</v>
      </c>
      <c r="B488" s="441"/>
      <c r="C488" s="442">
        <v>0.0979648152971413</v>
      </c>
      <c r="D488" s="443">
        <v>-0.3319200646989304</v>
      </c>
      <c r="E488" s="443">
        <v>0.014298086982611957</v>
      </c>
      <c r="F488" s="443">
        <v>-0.03730216046939261</v>
      </c>
      <c r="G488" s="443">
        <v>0.20232112586590048</v>
      </c>
      <c r="H488" s="443">
        <v>0.02936401232332415</v>
      </c>
      <c r="I488" s="443">
        <v>0</v>
      </c>
      <c r="J488" s="442">
        <v>-0.016894818889325557</v>
      </c>
      <c r="K488" s="442">
        <v>0.1724547802207801</v>
      </c>
      <c r="L488" s="443">
        <v>-0.48823064155355705</v>
      </c>
      <c r="M488" s="443">
        <v>-0.03786432051098021</v>
      </c>
      <c r="N488" s="443">
        <v>0.003492542176000181</v>
      </c>
      <c r="O488" s="442">
        <v>-0.2574500778866121</v>
      </c>
      <c r="P488" s="442">
        <v>0</v>
      </c>
      <c r="Q488" s="443">
        <v>0</v>
      </c>
      <c r="R488" s="443">
        <v>0</v>
      </c>
      <c r="S488" s="444">
        <v>0</v>
      </c>
      <c r="T488"/>
      <c r="U488"/>
    </row>
    <row r="489" spans="1:19" ht="12.75">
      <c r="A489" s="440" t="s">
        <v>616</v>
      </c>
      <c r="B489" s="441"/>
      <c r="C489" s="11">
        <v>0.0034998526841479613</v>
      </c>
      <c r="D489" s="12">
        <v>0</v>
      </c>
      <c r="E489" s="12">
        <v>7.0826195118615E-05</v>
      </c>
      <c r="F489" s="12">
        <v>0.0009583797106525421</v>
      </c>
      <c r="G489" s="12">
        <v>0.0005557137548727925</v>
      </c>
      <c r="H489" s="12">
        <v>0.0005632756694434215</v>
      </c>
      <c r="I489" s="12">
        <v>0</v>
      </c>
      <c r="J489" s="11">
        <v>0.0014070675154976686</v>
      </c>
      <c r="K489" s="11">
        <v>0.007739488710338547</v>
      </c>
      <c r="L489" s="12">
        <v>0.0007534621908808438</v>
      </c>
      <c r="M489" s="12">
        <v>0.0011276092202935574</v>
      </c>
      <c r="N489" s="12">
        <v>0.00021058513184735105</v>
      </c>
      <c r="O489" s="11">
        <v>0.001279853462198314</v>
      </c>
      <c r="P489" s="11">
        <v>0</v>
      </c>
      <c r="Q489" s="12">
        <v>0</v>
      </c>
      <c r="R489" s="12">
        <v>0</v>
      </c>
      <c r="S489" s="13">
        <v>0</v>
      </c>
    </row>
    <row r="490" spans="1:19" ht="12.75">
      <c r="A490" s="440" t="s">
        <v>618</v>
      </c>
      <c r="B490" s="441"/>
      <c r="C490" s="11">
        <v>0.004120993286214931</v>
      </c>
      <c r="D490" s="12">
        <v>0.00036224032446497583</v>
      </c>
      <c r="E490" s="12">
        <v>5.82622801061438E-05</v>
      </c>
      <c r="F490" s="12">
        <v>0.0007656160495433326</v>
      </c>
      <c r="G490" s="12">
        <v>0.00042111974993352074</v>
      </c>
      <c r="H490" s="12">
        <v>0.0005208657327827892</v>
      </c>
      <c r="I490" s="12">
        <v>0</v>
      </c>
      <c r="J490" s="11">
        <v>0.00162068667473129</v>
      </c>
      <c r="K490" s="11">
        <v>0.00756619283346201</v>
      </c>
      <c r="L490" s="12">
        <v>0.0007781979346896709</v>
      </c>
      <c r="M490" s="12">
        <v>0.0009627608844081172</v>
      </c>
      <c r="N490" s="12">
        <v>0.00024046982840275882</v>
      </c>
      <c r="O490" s="11">
        <v>0.0012266432257217743</v>
      </c>
      <c r="P490" s="11">
        <v>0</v>
      </c>
      <c r="Q490" s="12">
        <v>0</v>
      </c>
      <c r="R490" s="12">
        <v>0</v>
      </c>
      <c r="S490" s="13">
        <v>0</v>
      </c>
    </row>
    <row r="491" spans="1:21" s="445" customFormat="1" ht="12.75">
      <c r="A491" s="440" t="s">
        <v>646</v>
      </c>
      <c r="B491" s="441"/>
      <c r="C491" s="442">
        <v>0.06211406020669697</v>
      </c>
      <c r="D491" s="443">
        <v>0</v>
      </c>
      <c r="E491" s="443">
        <v>-0.0012563915012471197</v>
      </c>
      <c r="F491" s="443">
        <v>-0.019276366110920946</v>
      </c>
      <c r="G491" s="443">
        <v>-0.013459400493927179</v>
      </c>
      <c r="H491" s="443">
        <v>-0.004240993666063228</v>
      </c>
      <c r="I491" s="443">
        <v>0</v>
      </c>
      <c r="J491" s="442">
        <v>0.021361915923362146</v>
      </c>
      <c r="K491" s="442">
        <v>-0.017329587687653705</v>
      </c>
      <c r="L491" s="443">
        <v>0.002473574380882715</v>
      </c>
      <c r="M491" s="443">
        <v>-0.016484833588544023</v>
      </c>
      <c r="N491" s="443">
        <v>0.0029884696555407767</v>
      </c>
      <c r="O491" s="442">
        <v>-0.005321023647653967</v>
      </c>
      <c r="P491" s="442">
        <v>0</v>
      </c>
      <c r="Q491" s="443">
        <v>0</v>
      </c>
      <c r="R491" s="443">
        <v>0</v>
      </c>
      <c r="S491" s="444">
        <v>0</v>
      </c>
      <c r="T491"/>
      <c r="U491"/>
    </row>
    <row r="492" spans="1:19" ht="12.75">
      <c r="A492" s="440" t="s">
        <v>602</v>
      </c>
      <c r="B492" s="441"/>
      <c r="C492" s="11">
        <v>0.8727040680897398</v>
      </c>
      <c r="D492" s="12">
        <v>0.7982543551232892</v>
      </c>
      <c r="E492" s="12">
        <v>0.7475311771015992</v>
      </c>
      <c r="F492" s="12">
        <v>0.7975223248552469</v>
      </c>
      <c r="G492" s="12">
        <v>0.7169404570658652</v>
      </c>
      <c r="H492" s="12">
        <v>0.8188094918889932</v>
      </c>
      <c r="I492" s="12">
        <v>0</v>
      </c>
      <c r="J492" s="11">
        <v>0.8058807190989525</v>
      </c>
      <c r="K492" s="11">
        <v>0</v>
      </c>
      <c r="L492" s="12">
        <v>0</v>
      </c>
      <c r="M492" s="12">
        <v>0</v>
      </c>
      <c r="N492" s="12">
        <v>1</v>
      </c>
      <c r="O492" s="11">
        <v>0.3333333333333333</v>
      </c>
      <c r="P492" s="11">
        <v>0</v>
      </c>
      <c r="Q492" s="12">
        <v>0</v>
      </c>
      <c r="R492" s="12">
        <v>0</v>
      </c>
      <c r="S492" s="13">
        <v>0</v>
      </c>
    </row>
    <row r="493" spans="1:19" ht="12.75">
      <c r="A493" s="440" t="s">
        <v>620</v>
      </c>
      <c r="B493" s="441"/>
      <c r="C493" s="11">
        <v>0.8713895497130417</v>
      </c>
      <c r="D493" s="12">
        <v>0.8081278904066773</v>
      </c>
      <c r="E493" s="12">
        <v>0.7143071708682704</v>
      </c>
      <c r="F493" s="12">
        <v>0.7670080218819918</v>
      </c>
      <c r="G493" s="12">
        <v>0.6937956080342967</v>
      </c>
      <c r="H493" s="12">
        <v>0.7793500233245219</v>
      </c>
      <c r="I493" s="12">
        <v>0</v>
      </c>
      <c r="J493" s="11">
        <v>0.7955927130643132</v>
      </c>
      <c r="K493" s="11">
        <v>0</v>
      </c>
      <c r="L493" s="12">
        <v>0</v>
      </c>
      <c r="M493" s="12">
        <v>0</v>
      </c>
      <c r="N493" s="12">
        <v>1</v>
      </c>
      <c r="O493" s="11">
        <v>0.25</v>
      </c>
      <c r="P493" s="11">
        <v>0</v>
      </c>
      <c r="Q493" s="12">
        <v>0</v>
      </c>
      <c r="R493" s="12">
        <v>0</v>
      </c>
      <c r="S493" s="13">
        <v>0</v>
      </c>
    </row>
    <row r="494" spans="1:21" s="445" customFormat="1" ht="12.75">
      <c r="A494" s="440" t="s">
        <v>644</v>
      </c>
      <c r="B494" s="441"/>
      <c r="C494" s="442">
        <v>-0.13145183766980484</v>
      </c>
      <c r="D494" s="443">
        <v>0.987353528338808</v>
      </c>
      <c r="E494" s="443">
        <v>-3.3224006233328773</v>
      </c>
      <c r="F494" s="443">
        <v>-3.051430297325508</v>
      </c>
      <c r="G494" s="443">
        <v>-2.3144849031568437</v>
      </c>
      <c r="H494" s="443">
        <v>-3.9459468564471356</v>
      </c>
      <c r="I494" s="443">
        <v>0</v>
      </c>
      <c r="J494" s="442">
        <v>-1.0288006034639308</v>
      </c>
      <c r="K494" s="442">
        <v>0</v>
      </c>
      <c r="L494" s="443">
        <v>0</v>
      </c>
      <c r="M494" s="443">
        <v>0</v>
      </c>
      <c r="N494" s="443">
        <v>0</v>
      </c>
      <c r="O494" s="442">
        <v>-8.333333333333332</v>
      </c>
      <c r="P494" s="442">
        <v>0</v>
      </c>
      <c r="Q494" s="443">
        <v>0</v>
      </c>
      <c r="R494" s="443">
        <v>0</v>
      </c>
      <c r="S494" s="444">
        <v>0</v>
      </c>
      <c r="T494"/>
      <c r="U494"/>
    </row>
    <row r="495" spans="1:19" ht="12.75">
      <c r="A495" s="440" t="s">
        <v>622</v>
      </c>
      <c r="B495" s="441"/>
      <c r="C495" s="11">
        <v>0.05864039286708099</v>
      </c>
      <c r="D495" s="12">
        <v>0.09143083638741999</v>
      </c>
      <c r="E495" s="12">
        <v>0.1541695460046782</v>
      </c>
      <c r="F495" s="12">
        <v>0.06651353780766976</v>
      </c>
      <c r="G495" s="12">
        <v>0.09910866974141058</v>
      </c>
      <c r="H495" s="12">
        <v>0.04102426598739777</v>
      </c>
      <c r="I495" s="12">
        <v>0.1756410948550451</v>
      </c>
      <c r="J495" s="11">
        <v>0.09022663049166338</v>
      </c>
      <c r="K495" s="11">
        <v>0</v>
      </c>
      <c r="L495" s="12">
        <v>0</v>
      </c>
      <c r="M495" s="12">
        <v>0</v>
      </c>
      <c r="N495" s="12">
        <v>0</v>
      </c>
      <c r="O495" s="11">
        <v>0</v>
      </c>
      <c r="P495" s="11">
        <v>0</v>
      </c>
      <c r="Q495" s="12">
        <v>0</v>
      </c>
      <c r="R495" s="12">
        <v>0</v>
      </c>
      <c r="S495" s="13">
        <v>0</v>
      </c>
    </row>
    <row r="496" spans="1:19" ht="12.75">
      <c r="A496" s="440" t="s">
        <v>624</v>
      </c>
      <c r="B496" s="441"/>
      <c r="C496" s="11">
        <v>0.06185554542977903</v>
      </c>
      <c r="D496" s="12">
        <v>0.07216120680969017</v>
      </c>
      <c r="E496" s="12">
        <v>0.15421502317408892</v>
      </c>
      <c r="F496" s="12">
        <v>0.0637742717193023</v>
      </c>
      <c r="G496" s="12">
        <v>0.11110517704292436</v>
      </c>
      <c r="H496" s="12">
        <v>0.01648266210542684</v>
      </c>
      <c r="I496" s="12">
        <v>0.16999685735429781</v>
      </c>
      <c r="J496" s="11">
        <v>0.08844188917816381</v>
      </c>
      <c r="K496" s="11">
        <v>0</v>
      </c>
      <c r="L496" s="12">
        <v>0</v>
      </c>
      <c r="M496" s="12">
        <v>0</v>
      </c>
      <c r="N496" s="12">
        <v>0</v>
      </c>
      <c r="O496" s="11">
        <v>0</v>
      </c>
      <c r="P496" s="11">
        <v>0</v>
      </c>
      <c r="Q496" s="12">
        <v>0</v>
      </c>
      <c r="R496" s="12">
        <v>0</v>
      </c>
      <c r="S496" s="13">
        <v>0</v>
      </c>
    </row>
    <row r="497" spans="1:21" s="445" customFormat="1" ht="12.75">
      <c r="A497" s="440" t="s">
        <v>648</v>
      </c>
      <c r="B497" s="441"/>
      <c r="C497" s="442">
        <v>0.321515256269804</v>
      </c>
      <c r="D497" s="443">
        <v>-1.9269629577729819</v>
      </c>
      <c r="E497" s="443">
        <v>0.004547716941072366</v>
      </c>
      <c r="F497" s="443">
        <v>-0.27392660883674563</v>
      </c>
      <c r="G497" s="443">
        <v>1.1996507301513777</v>
      </c>
      <c r="H497" s="443">
        <v>-2.454160388197093</v>
      </c>
      <c r="I497" s="443">
        <v>-0.5644237500747273</v>
      </c>
      <c r="J497" s="442">
        <v>-0.1784741313499566</v>
      </c>
      <c r="K497" s="442">
        <v>0</v>
      </c>
      <c r="L497" s="443">
        <v>0</v>
      </c>
      <c r="M497" s="443">
        <v>0</v>
      </c>
      <c r="N497" s="443">
        <v>0</v>
      </c>
      <c r="O497" s="442">
        <v>0</v>
      </c>
      <c r="P497" s="442">
        <v>0</v>
      </c>
      <c r="Q497" s="443">
        <v>0</v>
      </c>
      <c r="R497" s="443">
        <v>0</v>
      </c>
      <c r="S497" s="444">
        <v>0</v>
      </c>
      <c r="T497"/>
      <c r="U497"/>
    </row>
    <row r="498" spans="1:19" ht="12.75">
      <c r="A498" s="440" t="s">
        <v>626</v>
      </c>
      <c r="B498" s="441"/>
      <c r="C498" s="11">
        <v>0.04007590546591327</v>
      </c>
      <c r="D498" s="12">
        <v>0.09124463769158134</v>
      </c>
      <c r="E498" s="12">
        <v>0.08286990542366747</v>
      </c>
      <c r="F498" s="12">
        <v>0.11462457843702359</v>
      </c>
      <c r="G498" s="12">
        <v>0.1490542571384153</v>
      </c>
      <c r="H498" s="12">
        <v>0.13936184475130714</v>
      </c>
      <c r="I498" s="12">
        <v>0.8243589051449549</v>
      </c>
      <c r="J498" s="11">
        <v>0.08100321227588539</v>
      </c>
      <c r="K498" s="11">
        <v>0</v>
      </c>
      <c r="L498" s="12">
        <v>0</v>
      </c>
      <c r="M498" s="12">
        <v>1</v>
      </c>
      <c r="N498" s="12">
        <v>0</v>
      </c>
      <c r="O498" s="11">
        <v>0.6666666666666666</v>
      </c>
      <c r="P498" s="11">
        <v>0</v>
      </c>
      <c r="Q498" s="12">
        <v>0</v>
      </c>
      <c r="R498" s="12">
        <v>0</v>
      </c>
      <c r="S498" s="13">
        <v>0</v>
      </c>
    </row>
    <row r="499" spans="1:19" ht="12.75">
      <c r="A499" s="440" t="s">
        <v>628</v>
      </c>
      <c r="B499" s="441"/>
      <c r="C499" s="11">
        <v>0.048031025930673536</v>
      </c>
      <c r="D499" s="12">
        <v>0.10787852803544537</v>
      </c>
      <c r="E499" s="12">
        <v>0.11421832200118784</v>
      </c>
      <c r="F499" s="12">
        <v>0.15040150727919166</v>
      </c>
      <c r="G499" s="12">
        <v>0.17157505814038174</v>
      </c>
      <c r="H499" s="12">
        <v>0.19343803452029235</v>
      </c>
      <c r="I499" s="12">
        <v>0.8300031426457022</v>
      </c>
      <c r="J499" s="11">
        <v>0.09901007363777728</v>
      </c>
      <c r="K499" s="11">
        <v>0</v>
      </c>
      <c r="L499" s="12">
        <v>0</v>
      </c>
      <c r="M499" s="12">
        <v>1</v>
      </c>
      <c r="N499" s="12">
        <v>0</v>
      </c>
      <c r="O499" s="11">
        <v>0.75</v>
      </c>
      <c r="P499" s="11">
        <v>0</v>
      </c>
      <c r="Q499" s="12">
        <v>0</v>
      </c>
      <c r="R499" s="12">
        <v>0</v>
      </c>
      <c r="S499" s="13">
        <v>0</v>
      </c>
    </row>
    <row r="500" spans="1:21" s="445" customFormat="1" ht="12.75">
      <c r="A500" s="440" t="s">
        <v>654</v>
      </c>
      <c r="B500" s="441"/>
      <c r="C500" s="442">
        <v>0.7955120464760268</v>
      </c>
      <c r="D500" s="443">
        <v>1.6633890343864033</v>
      </c>
      <c r="E500" s="443">
        <v>3.134841657752037</v>
      </c>
      <c r="F500" s="443">
        <v>3.577692884216807</v>
      </c>
      <c r="G500" s="443">
        <v>2.2520801001966433</v>
      </c>
      <c r="H500" s="443">
        <v>5.407618976898521</v>
      </c>
      <c r="I500" s="443">
        <v>0.5644237500747273</v>
      </c>
      <c r="J500" s="442">
        <v>1.800686136189189</v>
      </c>
      <c r="K500" s="442">
        <v>0</v>
      </c>
      <c r="L500" s="443">
        <v>0</v>
      </c>
      <c r="M500" s="443">
        <v>0</v>
      </c>
      <c r="N500" s="443">
        <v>0</v>
      </c>
      <c r="O500" s="442">
        <v>8.333333333333337</v>
      </c>
      <c r="P500" s="442">
        <v>0</v>
      </c>
      <c r="Q500" s="443">
        <v>0</v>
      </c>
      <c r="R500" s="443">
        <v>0</v>
      </c>
      <c r="S500" s="444">
        <v>0</v>
      </c>
      <c r="T500"/>
      <c r="U500"/>
    </row>
    <row r="501" spans="1:19" ht="12.75">
      <c r="A501" s="440" t="s">
        <v>630</v>
      </c>
      <c r="B501" s="441"/>
      <c r="C501" s="11">
        <v>0.013101745177255866</v>
      </c>
      <c r="D501" s="12">
        <v>0.006801602935347532</v>
      </c>
      <c r="E501" s="12">
        <v>0.011626705158962388</v>
      </c>
      <c r="F501" s="12">
        <v>0.02103059777219717</v>
      </c>
      <c r="G501" s="12">
        <v>0.029248069648131834</v>
      </c>
      <c r="H501" s="12">
        <v>0.0008043973723019171</v>
      </c>
      <c r="I501" s="12">
        <v>0</v>
      </c>
      <c r="J501" s="11">
        <v>0.012518053956573894</v>
      </c>
      <c r="K501" s="11">
        <v>0</v>
      </c>
      <c r="L501" s="12">
        <v>0</v>
      </c>
      <c r="M501" s="12">
        <v>0</v>
      </c>
      <c r="N501" s="12">
        <v>0</v>
      </c>
      <c r="O501" s="11">
        <v>0</v>
      </c>
      <c r="P501" s="11">
        <v>0</v>
      </c>
      <c r="Q501" s="12">
        <v>0</v>
      </c>
      <c r="R501" s="12">
        <v>0</v>
      </c>
      <c r="S501" s="13">
        <v>0</v>
      </c>
    </row>
    <row r="502" spans="1:19" ht="12.75">
      <c r="A502" s="440" t="s">
        <v>632</v>
      </c>
      <c r="B502" s="441"/>
      <c r="C502" s="11">
        <v>0.008637482148860856</v>
      </c>
      <c r="D502" s="12">
        <v>0.006870659891796745</v>
      </c>
      <c r="E502" s="12">
        <v>0.012710703150825668</v>
      </c>
      <c r="F502" s="12">
        <v>0.0183203835959434</v>
      </c>
      <c r="G502" s="12">
        <v>0.019684706773415158</v>
      </c>
      <c r="H502" s="12">
        <v>0.01072928004975898</v>
      </c>
      <c r="I502" s="12">
        <v>0</v>
      </c>
      <c r="J502" s="11">
        <v>0.01022854358945311</v>
      </c>
      <c r="K502" s="11">
        <v>0</v>
      </c>
      <c r="L502" s="12">
        <v>0</v>
      </c>
      <c r="M502" s="12">
        <v>0</v>
      </c>
      <c r="N502" s="12">
        <v>0</v>
      </c>
      <c r="O502" s="11">
        <v>0</v>
      </c>
      <c r="P502" s="11">
        <v>0</v>
      </c>
      <c r="Q502" s="12">
        <v>0</v>
      </c>
      <c r="R502" s="12">
        <v>0</v>
      </c>
      <c r="S502" s="13">
        <v>0</v>
      </c>
    </row>
    <row r="503" spans="1:21" s="445" customFormat="1" ht="12.75">
      <c r="A503" s="440" t="s">
        <v>656</v>
      </c>
      <c r="B503" s="441"/>
      <c r="C503" s="442">
        <v>-0.44642630283950097</v>
      </c>
      <c r="D503" s="443">
        <v>0.006905695644921286</v>
      </c>
      <c r="E503" s="443">
        <v>0.10839979918632806</v>
      </c>
      <c r="F503" s="443">
        <v>-0.27102141762537674</v>
      </c>
      <c r="G503" s="443">
        <v>-0.9563362874716677</v>
      </c>
      <c r="H503" s="443">
        <v>0.9924882677457064</v>
      </c>
      <c r="I503" s="443">
        <v>0</v>
      </c>
      <c r="J503" s="442">
        <v>-0.2289510367120785</v>
      </c>
      <c r="K503" s="442">
        <v>0</v>
      </c>
      <c r="L503" s="443">
        <v>0</v>
      </c>
      <c r="M503" s="443">
        <v>0</v>
      </c>
      <c r="N503" s="443">
        <v>0</v>
      </c>
      <c r="O503" s="442">
        <v>0</v>
      </c>
      <c r="P503" s="442">
        <v>0</v>
      </c>
      <c r="Q503" s="443">
        <v>0</v>
      </c>
      <c r="R503" s="443">
        <v>0</v>
      </c>
      <c r="S503" s="444">
        <v>0</v>
      </c>
      <c r="T503"/>
      <c r="U503"/>
    </row>
    <row r="504" spans="1:19" ht="12.75">
      <c r="A504" s="440" t="s">
        <v>634</v>
      </c>
      <c r="B504" s="441"/>
      <c r="C504" s="11">
        <v>0.015263041441947319</v>
      </c>
      <c r="D504" s="12">
        <v>0.012268567862361924</v>
      </c>
      <c r="E504" s="12">
        <v>0.003521875737472102</v>
      </c>
      <c r="F504" s="12">
        <v>0.00030896112786259726</v>
      </c>
      <c r="G504" s="12">
        <v>0.005643364253510908</v>
      </c>
      <c r="H504" s="12">
        <v>0</v>
      </c>
      <c r="I504" s="12">
        <v>0</v>
      </c>
      <c r="J504" s="11">
        <v>0.010210045809147339</v>
      </c>
      <c r="K504" s="11">
        <v>0</v>
      </c>
      <c r="L504" s="12">
        <v>0</v>
      </c>
      <c r="M504" s="12">
        <v>0</v>
      </c>
      <c r="N504" s="12">
        <v>0</v>
      </c>
      <c r="O504" s="11">
        <v>0</v>
      </c>
      <c r="P504" s="11">
        <v>0</v>
      </c>
      <c r="Q504" s="12">
        <v>0</v>
      </c>
      <c r="R504" s="12">
        <v>0</v>
      </c>
      <c r="S504" s="13">
        <v>0</v>
      </c>
    </row>
    <row r="505" spans="1:19" ht="12.75">
      <c r="A505" s="440" t="s">
        <v>636</v>
      </c>
      <c r="B505" s="441"/>
      <c r="C505" s="11">
        <v>0.009631590684832377</v>
      </c>
      <c r="D505" s="12">
        <v>0.004936010928624648</v>
      </c>
      <c r="E505" s="12">
        <v>0.004371837480985451</v>
      </c>
      <c r="F505" s="12">
        <v>0.0004958155235708633</v>
      </c>
      <c r="G505" s="12">
        <v>0.0037782751605839773</v>
      </c>
      <c r="H505" s="12">
        <v>0</v>
      </c>
      <c r="I505" s="12">
        <v>0</v>
      </c>
      <c r="J505" s="11">
        <v>0.006472026077742154</v>
      </c>
      <c r="K505" s="11">
        <v>0</v>
      </c>
      <c r="L505" s="12">
        <v>0</v>
      </c>
      <c r="M505" s="12">
        <v>0</v>
      </c>
      <c r="N505" s="12">
        <v>0</v>
      </c>
      <c r="O505" s="11">
        <v>0</v>
      </c>
      <c r="P505" s="11">
        <v>0</v>
      </c>
      <c r="Q505" s="12">
        <v>0</v>
      </c>
      <c r="R505" s="12">
        <v>0</v>
      </c>
      <c r="S505" s="13">
        <v>0</v>
      </c>
    </row>
    <row r="506" spans="1:21" s="445" customFormat="1" ht="12.75">
      <c r="A506" s="440" t="s">
        <v>662</v>
      </c>
      <c r="B506" s="441"/>
      <c r="C506" s="442">
        <v>-0.5631450757114942</v>
      </c>
      <c r="D506" s="443">
        <v>-0.7332556933737276</v>
      </c>
      <c r="E506" s="443">
        <v>0.08499617435133491</v>
      </c>
      <c r="F506" s="443">
        <v>0.01868543957082661</v>
      </c>
      <c r="G506" s="443">
        <v>-0.1865089092926931</v>
      </c>
      <c r="H506" s="443">
        <v>0</v>
      </c>
      <c r="I506" s="443">
        <v>0</v>
      </c>
      <c r="J506" s="442">
        <v>-0.37380197314051844</v>
      </c>
      <c r="K506" s="442">
        <v>0</v>
      </c>
      <c r="L506" s="443">
        <v>0</v>
      </c>
      <c r="M506" s="443">
        <v>0</v>
      </c>
      <c r="N506" s="443">
        <v>0</v>
      </c>
      <c r="O506" s="442">
        <v>0</v>
      </c>
      <c r="P506" s="442">
        <v>0</v>
      </c>
      <c r="Q506" s="443">
        <v>0</v>
      </c>
      <c r="R506" s="443">
        <v>0</v>
      </c>
      <c r="S506" s="444">
        <v>0</v>
      </c>
      <c r="T506"/>
      <c r="U506"/>
    </row>
    <row r="507" spans="1:19" ht="12.75">
      <c r="A507" s="440" t="s">
        <v>638</v>
      </c>
      <c r="B507" s="441"/>
      <c r="C507" s="11">
        <v>0.00021484695806280016</v>
      </c>
      <c r="D507" s="12">
        <v>0</v>
      </c>
      <c r="E507" s="12">
        <v>0.0002807905736205722</v>
      </c>
      <c r="F507" s="12">
        <v>0</v>
      </c>
      <c r="G507" s="12">
        <v>5.182152666217547E-06</v>
      </c>
      <c r="H507" s="12">
        <v>0</v>
      </c>
      <c r="I507" s="12">
        <v>0</v>
      </c>
      <c r="J507" s="11">
        <v>0.00016133836777741103</v>
      </c>
      <c r="K507" s="11">
        <v>0</v>
      </c>
      <c r="L507" s="12">
        <v>0</v>
      </c>
      <c r="M507" s="12">
        <v>0</v>
      </c>
      <c r="N507" s="12">
        <v>0</v>
      </c>
      <c r="O507" s="11">
        <v>0</v>
      </c>
      <c r="P507" s="11">
        <v>0</v>
      </c>
      <c r="Q507" s="12">
        <v>0</v>
      </c>
      <c r="R507" s="12">
        <v>0</v>
      </c>
      <c r="S507" s="13">
        <v>0</v>
      </c>
    </row>
    <row r="508" spans="1:19" ht="12.75">
      <c r="A508" s="440" t="s">
        <v>640</v>
      </c>
      <c r="B508" s="441"/>
      <c r="C508" s="11">
        <v>0.00045480609281243616</v>
      </c>
      <c r="D508" s="12">
        <v>2.5703927765794034E-05</v>
      </c>
      <c r="E508" s="12">
        <v>0.0001769433246416212</v>
      </c>
      <c r="F508" s="12">
        <v>0</v>
      </c>
      <c r="G508" s="12">
        <v>6.117484839804434E-05</v>
      </c>
      <c r="H508" s="12">
        <v>0</v>
      </c>
      <c r="I508" s="12">
        <v>0</v>
      </c>
      <c r="J508" s="11">
        <v>0.0002547544525504362</v>
      </c>
      <c r="K508" s="11">
        <v>0</v>
      </c>
      <c r="L508" s="12">
        <v>0</v>
      </c>
      <c r="M508" s="12">
        <v>0</v>
      </c>
      <c r="N508" s="12">
        <v>0</v>
      </c>
      <c r="O508" s="11">
        <v>0</v>
      </c>
      <c r="P508" s="11">
        <v>0</v>
      </c>
      <c r="Q508" s="12">
        <v>0</v>
      </c>
      <c r="R508" s="12">
        <v>0</v>
      </c>
      <c r="S508" s="13">
        <v>0</v>
      </c>
    </row>
    <row r="509" spans="1:21" s="448" customFormat="1" ht="12.75">
      <c r="A509" s="440" t="s">
        <v>664</v>
      </c>
      <c r="B509" s="441"/>
      <c r="C509" s="440">
        <v>0.0239959134749636</v>
      </c>
      <c r="D509" s="446">
        <v>0</v>
      </c>
      <c r="E509" s="446">
        <v>-0.010384724897895102</v>
      </c>
      <c r="F509" s="446">
        <v>0</v>
      </c>
      <c r="G509" s="446">
        <v>0.005599269573182679</v>
      </c>
      <c r="H509" s="446">
        <v>0</v>
      </c>
      <c r="I509" s="446">
        <v>0</v>
      </c>
      <c r="J509" s="440">
        <v>0.009341608477302516</v>
      </c>
      <c r="K509" s="440">
        <v>0</v>
      </c>
      <c r="L509" s="446">
        <v>0</v>
      </c>
      <c r="M509" s="446">
        <v>0</v>
      </c>
      <c r="N509" s="446">
        <v>0</v>
      </c>
      <c r="O509" s="440">
        <v>0</v>
      </c>
      <c r="P509" s="440">
        <v>0</v>
      </c>
      <c r="Q509" s="446">
        <v>0</v>
      </c>
      <c r="R509" s="446">
        <v>0</v>
      </c>
      <c r="S509" s="447">
        <v>0</v>
      </c>
      <c r="T509"/>
      <c r="U509"/>
    </row>
    <row r="510" spans="1:21" s="48" customFormat="1" ht="12.75">
      <c r="A510"/>
      <c r="B510"/>
      <c r="C510"/>
      <c r="D510"/>
      <c r="E510"/>
      <c r="F510"/>
      <c r="G510"/>
      <c r="H510"/>
      <c r="I510"/>
      <c r="J510"/>
      <c r="K510"/>
      <c r="L510"/>
      <c r="M510"/>
      <c r="N510"/>
      <c r="O510"/>
      <c r="P510"/>
      <c r="Q510"/>
      <c r="R510"/>
      <c r="S510"/>
      <c r="T510"/>
      <c r="U510"/>
    </row>
    <row r="545" spans="1:21" s="196" customFormat="1" ht="12.75">
      <c r="A545"/>
      <c r="B545"/>
      <c r="C545"/>
      <c r="D545"/>
      <c r="E545"/>
      <c r="F545"/>
      <c r="G545"/>
      <c r="H545"/>
      <c r="I545"/>
      <c r="J545"/>
      <c r="K545"/>
      <c r="L545"/>
      <c r="M545"/>
      <c r="N545"/>
      <c r="O545"/>
      <c r="P545"/>
      <c r="Q545"/>
      <c r="R545"/>
      <c r="S545"/>
      <c r="T545"/>
      <c r="U545"/>
    </row>
    <row r="546" spans="1:19" s="48" customFormat="1" ht="12.75">
      <c r="A546"/>
      <c r="B546"/>
      <c r="C546"/>
      <c r="D546"/>
      <c r="E546"/>
      <c r="F546"/>
      <c r="G546"/>
      <c r="H546"/>
      <c r="I546"/>
      <c r="J546"/>
      <c r="K546"/>
      <c r="L546"/>
      <c r="M546"/>
      <c r="N546"/>
      <c r="O546"/>
      <c r="P546"/>
      <c r="Q546"/>
      <c r="R546"/>
      <c r="S546"/>
    </row>
    <row r="581" spans="1:19" s="196" customFormat="1" ht="12.75">
      <c r="A581"/>
      <c r="B581"/>
      <c r="C581"/>
      <c r="D581"/>
      <c r="E581"/>
      <c r="F581"/>
      <c r="G581"/>
      <c r="H581"/>
      <c r="I581"/>
      <c r="J581"/>
      <c r="K581"/>
      <c r="L581"/>
      <c r="M581"/>
      <c r="N581"/>
      <c r="O581"/>
      <c r="P581"/>
      <c r="Q581"/>
      <c r="R581"/>
      <c r="S581"/>
    </row>
  </sheetData>
  <printOptions horizontalCentered="1" verticalCentered="1"/>
  <pageMargins left="0.5" right="0.5" top="1" bottom="1" header="0.5" footer="0.5"/>
  <pageSetup horizontalDpi="600" verticalDpi="600" orientation="landscape" pageOrder="overThenDown" scale="77" r:id="rId1"/>
  <headerFooter alignWithMargins="0">
    <oddHeader>&amp;L&amp;"Arial,Bold"SREB-State Data Exchange&amp;C&amp;"Arial,Bold"Preliminary Tables&amp;R&amp;"Arial,Bold"Part 4: Credit/Contact hours by Types of Instruction</oddHeader>
    <oddFooter>&amp;L&amp;"Arial,Bold"For Agency Review Only&amp;R&amp;"Arial,Bold"September 2006</oddFooter>
  </headerFooter>
  <rowBreaks count="15" manualBreakCount="15">
    <brk id="41" max="18" man="1"/>
    <brk id="77" max="255" man="1"/>
    <brk id="113" max="18" man="1"/>
    <brk id="149" max="255" man="1"/>
    <brk id="185" max="18" man="1"/>
    <brk id="221" max="18" man="1"/>
    <brk id="257" max="18" man="1"/>
    <brk id="293" max="18" man="1"/>
    <brk id="329" max="18" man="1"/>
    <brk id="365" max="18" man="1"/>
    <brk id="401" max="18" man="1"/>
    <brk id="437" max="18" man="1"/>
    <brk id="473" max="18" man="1"/>
    <brk id="509" max="18" man="1"/>
    <brk id="545" max="18" man="1"/>
  </rowBreaks>
  <colBreaks count="1" manualBreakCount="1">
    <brk id="10" max="472" man="1"/>
  </colBreaks>
</worksheet>
</file>

<file path=xl/worksheets/sheet4.xml><?xml version="1.0" encoding="utf-8"?>
<worksheet xmlns="http://schemas.openxmlformats.org/spreadsheetml/2006/main" xmlns:r="http://schemas.openxmlformats.org/officeDocument/2006/relationships">
  <sheetPr>
    <tabColor indexed="16"/>
  </sheetPr>
  <dimension ref="A1:W118"/>
  <sheetViews>
    <sheetView showGridLines="0" showZeros="0" view="pageBreakPreview" zoomScale="75" zoomScaleSheetLayoutView="75" workbookViewId="0" topLeftCell="A1">
      <pane xSplit="1" topLeftCell="B1" activePane="topRight" state="frozen"/>
      <selection pane="topLeft" activeCell="A1" sqref="A1"/>
      <selection pane="topRight" activeCell="H119" sqref="H119"/>
    </sheetView>
  </sheetViews>
  <sheetFormatPr defaultColWidth="9.140625" defaultRowHeight="12.75"/>
  <cols>
    <col min="1" max="1" width="13.28125" style="0" customWidth="1"/>
    <col min="2" max="8" width="7.7109375" style="0" customWidth="1"/>
    <col min="9" max="9" width="8.421875" style="0" customWidth="1"/>
    <col min="10" max="12" width="7.7109375" style="0" customWidth="1"/>
    <col min="13" max="13" width="7.7109375" style="1" customWidth="1"/>
    <col min="14" max="16" width="7.7109375" style="0" customWidth="1"/>
  </cols>
  <sheetData>
    <row r="1" spans="1:16" ht="18">
      <c r="A1" s="31" t="s">
        <v>575</v>
      </c>
      <c r="B1" s="6"/>
      <c r="C1" s="6"/>
      <c r="D1" s="6"/>
      <c r="E1" s="6"/>
      <c r="F1" s="6"/>
      <c r="G1" s="16"/>
      <c r="H1" s="16"/>
      <c r="I1" s="16"/>
      <c r="J1" s="16"/>
      <c r="K1" s="16"/>
      <c r="L1" s="16"/>
      <c r="M1" s="53"/>
      <c r="N1" s="16"/>
      <c r="O1" s="16"/>
      <c r="P1" s="16"/>
    </row>
    <row r="2" spans="1:16" s="9" customFormat="1" ht="12.75">
      <c r="A2" s="78"/>
      <c r="B2" s="8"/>
      <c r="C2" s="8"/>
      <c r="D2" s="8"/>
      <c r="E2" s="8"/>
      <c r="F2" s="8"/>
      <c r="G2" s="8"/>
      <c r="H2" s="8"/>
      <c r="I2" s="8"/>
      <c r="J2" s="8"/>
      <c r="K2" s="8"/>
      <c r="L2" s="8"/>
      <c r="M2" s="77"/>
      <c r="N2" s="8"/>
      <c r="O2" s="8"/>
      <c r="P2" s="8"/>
    </row>
    <row r="3" spans="1:16" ht="15.75">
      <c r="A3" s="7" t="s">
        <v>727</v>
      </c>
      <c r="B3" s="8"/>
      <c r="C3" s="8"/>
      <c r="D3" s="8"/>
      <c r="E3" s="8"/>
      <c r="F3" s="8"/>
      <c r="G3" s="16"/>
      <c r="H3" s="16"/>
      <c r="I3" s="16"/>
      <c r="J3" s="16"/>
      <c r="K3" s="16"/>
      <c r="L3" s="16"/>
      <c r="M3" s="53"/>
      <c r="N3" s="16"/>
      <c r="O3" s="16"/>
      <c r="P3" s="16"/>
    </row>
    <row r="4" spans="1:12" ht="12.75">
      <c r="A4" s="17"/>
      <c r="B4" s="2"/>
      <c r="C4" s="2"/>
      <c r="D4" s="2"/>
      <c r="E4" s="2"/>
      <c r="F4" s="2"/>
      <c r="G4" s="2"/>
      <c r="H4" s="2"/>
      <c r="I4" s="2"/>
      <c r="J4" s="2"/>
      <c r="K4" s="2"/>
      <c r="L4" s="2"/>
    </row>
    <row r="5" spans="1:16" s="49" customFormat="1" ht="18" customHeight="1">
      <c r="A5" s="18"/>
      <c r="B5" s="682" t="s">
        <v>121</v>
      </c>
      <c r="C5" s="682"/>
      <c r="D5" s="682"/>
      <c r="E5" s="682"/>
      <c r="F5" s="682"/>
      <c r="G5" s="682"/>
      <c r="H5" s="683"/>
      <c r="I5" s="684" t="s">
        <v>126</v>
      </c>
      <c r="J5" s="682"/>
      <c r="K5" s="682"/>
      <c r="L5" s="682"/>
      <c r="M5" s="682"/>
      <c r="N5" s="211" t="s">
        <v>420</v>
      </c>
      <c r="O5" s="209"/>
      <c r="P5" s="209"/>
    </row>
    <row r="6" spans="1:16" s="82" customFormat="1" ht="25.5">
      <c r="A6" s="19"/>
      <c r="B6" s="79">
        <v>1</v>
      </c>
      <c r="C6" s="79">
        <v>2</v>
      </c>
      <c r="D6" s="79">
        <v>3</v>
      </c>
      <c r="E6" s="79">
        <v>4</v>
      </c>
      <c r="F6" s="79">
        <v>5</v>
      </c>
      <c r="G6" s="79">
        <v>6</v>
      </c>
      <c r="H6" s="81" t="s">
        <v>461</v>
      </c>
      <c r="I6" s="214" t="s">
        <v>230</v>
      </c>
      <c r="J6" s="79">
        <v>1</v>
      </c>
      <c r="K6" s="79">
        <v>2</v>
      </c>
      <c r="L6" s="79">
        <v>3</v>
      </c>
      <c r="M6" s="80" t="s">
        <v>461</v>
      </c>
      <c r="N6" s="80">
        <v>1</v>
      </c>
      <c r="O6" s="79">
        <v>2</v>
      </c>
      <c r="P6" s="80" t="s">
        <v>461</v>
      </c>
    </row>
    <row r="7" spans="1:16" ht="15.75" customHeight="1">
      <c r="A7" s="9" t="s">
        <v>421</v>
      </c>
      <c r="B7" s="104">
        <f>'Tables by type'!B41+'Tables by type'!C41</f>
        <v>95.29091972362806</v>
      </c>
      <c r="C7" s="104">
        <f>'Tables by type'!B72+'Tables by type'!C72</f>
        <v>0</v>
      </c>
      <c r="D7" s="104">
        <f>'Tables by type'!B103+'Tables by type'!C103</f>
        <v>98.74247123128255</v>
      </c>
      <c r="E7" s="104">
        <f>'Tables by type'!B134+'Tables by type'!C134</f>
        <v>87.82483382894208</v>
      </c>
      <c r="F7" s="104">
        <f>'Tables by type'!B164+'Tables by type'!C164</f>
        <v>99.32835634565929</v>
      </c>
      <c r="G7" s="104">
        <f>'Tables by type'!B195+'Tables by type'!C195</f>
        <v>76.12774697697404</v>
      </c>
      <c r="H7" s="105">
        <f>+'Tables by type'!B9+'Tables by type'!C9</f>
        <v>93.05396651397857</v>
      </c>
      <c r="I7" s="106">
        <f>'Tables by type'!B257+'Tables by type'!C257</f>
        <v>0</v>
      </c>
      <c r="J7" s="104">
        <f>'Tables by type'!B288+'Tables by type'!C288</f>
        <v>90.06793212378741</v>
      </c>
      <c r="K7" s="104">
        <f>'Tables by type'!B319+'Tables by type'!C319</f>
        <v>93.7905133167846</v>
      </c>
      <c r="L7" s="104">
        <f>'Tables by type'!B350+'Tables by type'!C350</f>
        <v>83.4200112382387</v>
      </c>
      <c r="M7" s="106">
        <f>+'Tables by type'!B226+'Tables by type'!C226</f>
        <v>90.32052214519535</v>
      </c>
      <c r="N7" s="212">
        <f>+'Tables by type'!B411+'Tables by type'!C411</f>
        <v>0</v>
      </c>
      <c r="O7">
        <f>+'Tables by type'!B442+'Tables by type'!C442</f>
        <v>0</v>
      </c>
      <c r="P7" s="106">
        <f>+'Tables by type'!B381+'Tables by type'!C381</f>
        <v>0</v>
      </c>
    </row>
    <row r="8" spans="1:16" ht="15.75" customHeight="1">
      <c r="A8" s="9" t="s">
        <v>422</v>
      </c>
      <c r="B8" s="104">
        <f>'Tables by type'!B42+'Tables by type'!C42</f>
        <v>99.23661157046195</v>
      </c>
      <c r="C8" s="104">
        <f>'Tables by type'!B73+'Tables by type'!C73</f>
        <v>0</v>
      </c>
      <c r="D8" s="107">
        <f>'Tables by type'!B104+'Tables by type'!C104</f>
        <v>92.37359159473245</v>
      </c>
      <c r="E8" s="104">
        <f>'Tables by type'!B135+'Tables by type'!C135</f>
        <v>0</v>
      </c>
      <c r="F8" s="104">
        <f>'Tables by type'!B165+'Tables by type'!C165</f>
        <v>97.0543955344011</v>
      </c>
      <c r="G8" s="104">
        <f>'Tables by type'!B196+'Tables by type'!C196</f>
        <v>94.94002681580442</v>
      </c>
      <c r="H8" s="105">
        <f>+'Tables by type'!B10+'Tables by type'!C10</f>
        <v>95.24620595243634</v>
      </c>
      <c r="I8" s="106">
        <f>'Tables by type'!B258+'Tables by type'!C258</f>
        <v>91.64787811678696</v>
      </c>
      <c r="J8" s="104">
        <f>'Tables by type'!B289+'Tables by type'!C289</f>
        <v>0</v>
      </c>
      <c r="K8" s="104">
        <f>'Tables by type'!B320+'Tables by type'!C320</f>
        <v>87.60090692703643</v>
      </c>
      <c r="L8" s="104">
        <f>'Tables by type'!B351+'Tables by type'!C351</f>
        <v>89.33879844754837</v>
      </c>
      <c r="M8" s="106">
        <f>+'Tables by type'!B227+'Tables by type'!C227</f>
        <v>89.10306848447028</v>
      </c>
      <c r="N8" s="212">
        <f>+'Tables by type'!B412+'Tables by type'!C412</f>
        <v>0</v>
      </c>
      <c r="O8">
        <f>+'Tables by type'!B443+'Tables by type'!C443</f>
        <v>0</v>
      </c>
      <c r="P8" s="106">
        <f>+'Tables by type'!B382+'Tables by type'!C382</f>
        <v>0</v>
      </c>
    </row>
    <row r="9" spans="1:16" ht="15.75" customHeight="1">
      <c r="A9" s="9" t="s">
        <v>423</v>
      </c>
      <c r="B9" s="104">
        <f>'Tables by type'!B43+'Tables by type'!C43</f>
        <v>97.20246928236482</v>
      </c>
      <c r="C9" s="104">
        <f>'Tables by type'!B74+'Tables by type'!C74</f>
        <v>0</v>
      </c>
      <c r="D9" s="104">
        <f>'Tables by type'!B105+'Tables by type'!C105</f>
        <v>0</v>
      </c>
      <c r="E9" s="104">
        <f>'Tables by type'!B136+'Tables by type'!C136</f>
        <v>0</v>
      </c>
      <c r="F9" s="104">
        <f>'Tables by type'!B166+'Tables by type'!C166</f>
        <v>0</v>
      </c>
      <c r="G9" s="104">
        <f>'Tables by type'!B197+'Tables by type'!C197</f>
        <v>0</v>
      </c>
      <c r="H9" s="105">
        <f>+'Tables by type'!B11+'Tables by type'!C11</f>
        <v>97.20246928236482</v>
      </c>
      <c r="I9" s="106">
        <f>'Tables by type'!B259+'Tables by type'!C259</f>
        <v>0</v>
      </c>
      <c r="J9" s="104">
        <f>'Tables by type'!B290+'Tables by type'!C290</f>
        <v>0</v>
      </c>
      <c r="K9" s="104">
        <f>'Tables by type'!B321+'Tables by type'!C321</f>
        <v>91.25708863635352</v>
      </c>
      <c r="L9" s="104">
        <f>'Tables by type'!B352+'Tables by type'!C352</f>
        <v>87.92746113989637</v>
      </c>
      <c r="M9" s="106">
        <f>+'Tables by type'!B228+'Tables by type'!C228</f>
        <v>90.64876810881857</v>
      </c>
      <c r="N9" s="212">
        <f>+'Tables by type'!B413+'Tables by type'!C413</f>
        <v>0</v>
      </c>
      <c r="O9">
        <f>+'Tables by type'!B444+'Tables by type'!C444</f>
        <v>0</v>
      </c>
      <c r="P9" s="106">
        <f>+'Tables by type'!B383+'Tables by type'!C383</f>
        <v>0</v>
      </c>
    </row>
    <row r="10" spans="1:16" ht="15.75" customHeight="1">
      <c r="A10" s="9" t="s">
        <v>424</v>
      </c>
      <c r="B10" s="104">
        <f>'Tables by type'!B44+'Tables by type'!C44</f>
        <v>86.15540256033073</v>
      </c>
      <c r="C10" s="104">
        <f>'Tables by type'!B75+'Tables by type'!C75</f>
        <v>87.76112350632509</v>
      </c>
      <c r="D10" s="104">
        <f>'Tables by type'!B106+'Tables by type'!C106</f>
        <v>97.21958918291052</v>
      </c>
      <c r="E10" s="104">
        <f>'Tables by type'!B137+'Tables by type'!C137</f>
        <v>0</v>
      </c>
      <c r="F10" s="104">
        <f>'Tables by type'!B167+'Tables by type'!C167</f>
        <v>86.5552407137246</v>
      </c>
      <c r="G10" s="107">
        <f>'Tables by type'!B198+'Tables by type'!C198</f>
        <v>100</v>
      </c>
      <c r="H10" s="105">
        <f>+'Tables by type'!B12+'Tables by type'!C12</f>
        <v>88.38352830259846</v>
      </c>
      <c r="I10" s="106">
        <f>'Tables by type'!B260+'Tables by type'!C260</f>
        <v>90.37976241091508</v>
      </c>
      <c r="J10" s="104">
        <f>'Tables by type'!B291+'Tables by type'!C291</f>
        <v>90.18450981450849</v>
      </c>
      <c r="K10" s="104">
        <f>'Tables by type'!B322+'Tables by type'!C322</f>
        <v>87.2277953363792</v>
      </c>
      <c r="L10" s="104">
        <f>'Tables by type'!B353+'Tables by type'!C353</f>
        <v>90.81717512146014</v>
      </c>
      <c r="M10" s="106">
        <f>+'Tables by type'!B229+'Tables by type'!C229</f>
        <v>89.89001313557564</v>
      </c>
      <c r="N10" s="212">
        <f>+'Tables by type'!B414+'Tables by type'!C414</f>
        <v>0</v>
      </c>
      <c r="O10">
        <f>+'Tables by type'!B445+'Tables by type'!C445</f>
        <v>0</v>
      </c>
      <c r="P10" s="106">
        <f>+'Tables by type'!B384+'Tables by type'!C384</f>
        <v>0</v>
      </c>
    </row>
    <row r="11" spans="1:16" ht="15.75" customHeight="1">
      <c r="A11" s="9"/>
      <c r="B11" s="104"/>
      <c r="C11" s="104"/>
      <c r="D11" s="104"/>
      <c r="E11" s="104"/>
      <c r="F11" s="104"/>
      <c r="G11" s="104"/>
      <c r="H11" s="105"/>
      <c r="I11" s="106"/>
      <c r="J11" s="104"/>
      <c r="K11" s="104"/>
      <c r="L11" s="104"/>
      <c r="M11" s="106"/>
      <c r="N11" s="212"/>
      <c r="P11" s="106"/>
    </row>
    <row r="12" spans="1:16" ht="15.75" customHeight="1">
      <c r="A12" s="9" t="s">
        <v>425</v>
      </c>
      <c r="B12" s="104">
        <f>'Tables by type'!B46+'Tables by type'!C46</f>
        <v>99.8003692023141</v>
      </c>
      <c r="C12" s="104">
        <f>'Tables by type'!B77+'Tables by type'!C77</f>
        <v>99.17308048570996</v>
      </c>
      <c r="D12" s="107">
        <f>'Tables by type'!B108+'Tables by type'!C108</f>
        <v>97.35887356036466</v>
      </c>
      <c r="E12" s="104">
        <f>'Tables by type'!B139+'Tables by type'!C139</f>
        <v>97.61679191597779</v>
      </c>
      <c r="F12" s="104">
        <f>'Tables by type'!B169+'Tables by type'!C169</f>
        <v>96.86791436093726</v>
      </c>
      <c r="G12" s="104">
        <f>'Tables by type'!B200+'Tables by type'!C200</f>
        <v>89.39568153202516</v>
      </c>
      <c r="H12" s="105">
        <f>+'Tables by type'!B14+'Tables by type'!C14</f>
        <v>97.98199185672864</v>
      </c>
      <c r="I12" s="106">
        <f>'Tables by type'!B262+'Tables by type'!C262</f>
        <v>94.12050141528508</v>
      </c>
      <c r="J12" s="104">
        <f>'Tables by type'!B293+'Tables by type'!C293</f>
        <v>93.78269630250031</v>
      </c>
      <c r="K12" s="104">
        <f>'Tables by type'!B324+'Tables by type'!C324</f>
        <v>94.25569494729515</v>
      </c>
      <c r="L12" s="104">
        <f>'Tables by type'!B355+'Tables by type'!C355</f>
        <v>96.43534935319637</v>
      </c>
      <c r="M12" s="106">
        <f>+'Tables by type'!B231+'Tables by type'!C231</f>
        <v>94.45597952972457</v>
      </c>
      <c r="N12" s="216">
        <f>+'Tables by type'!B416+'Tables by type'!C416</f>
        <v>85.25573587125984</v>
      </c>
      <c r="O12" s="217">
        <f>+'Tables by type'!B447+'Tables by type'!C447</f>
        <v>87.59197672001663</v>
      </c>
      <c r="P12" s="106">
        <f>+'Tables by type'!B386+'Tables by type'!C386</f>
        <v>85.32627292622767</v>
      </c>
    </row>
    <row r="13" spans="1:16" ht="15.75" customHeight="1">
      <c r="A13" s="9" t="s">
        <v>426</v>
      </c>
      <c r="B13" s="104">
        <f>'Tables by type'!B47+'Tables by type'!C47</f>
        <v>97.93171900534857</v>
      </c>
      <c r="C13" s="104">
        <f>'Tables by type'!B78+'Tables by type'!C78</f>
        <v>97.22896112998006</v>
      </c>
      <c r="D13" s="104">
        <f>'Tables by type'!B109+'Tables by type'!C109</f>
        <v>95.2586439450939</v>
      </c>
      <c r="E13" s="104">
        <f>'Tables by type'!B140+'Tables by type'!C140</f>
        <v>96.26405520439603</v>
      </c>
      <c r="F13" s="104">
        <f>'Tables by type'!B170+'Tables by type'!C170</f>
        <v>93.41023195551637</v>
      </c>
      <c r="G13" s="104">
        <f>'Tables by type'!B201+'Tables by type'!C201</f>
        <v>0</v>
      </c>
      <c r="H13" s="105">
        <f>+'Tables by type'!B15+'Tables by type'!C15</f>
        <v>96.27812426613173</v>
      </c>
      <c r="I13" s="106">
        <f>'Tables by type'!B263+'Tables by type'!C263</f>
        <v>0</v>
      </c>
      <c r="J13" s="104">
        <f>'Tables by type'!B294+'Tables by type'!C294</f>
        <v>73.71381623184507</v>
      </c>
      <c r="K13" s="104">
        <f>'Tables by type'!B325+'Tables by type'!C325</f>
        <v>86.5739352396004</v>
      </c>
      <c r="L13" s="104">
        <f>'Tables by type'!B356+'Tables by type'!C356</f>
        <v>72.58006399354299</v>
      </c>
      <c r="M13" s="106">
        <f>+'Tables by type'!B232+'Tables by type'!C232</f>
        <v>80.45835586906243</v>
      </c>
      <c r="N13" s="216">
        <f>+'Tables by type'!B417+'Tables by type'!C417</f>
        <v>94.49448075127684</v>
      </c>
      <c r="O13" s="217">
        <f>+'Tables by type'!B448+'Tables by type'!C448</f>
        <v>93.78925089344575</v>
      </c>
      <c r="P13" s="106">
        <f>+'Tables by type'!B387+'Tables by type'!C387</f>
        <v>94.1829273900581</v>
      </c>
    </row>
    <row r="14" spans="1:16" ht="15.75" customHeight="1">
      <c r="A14" s="9" t="s">
        <v>427</v>
      </c>
      <c r="B14" s="104">
        <f>'Tables by type'!B48+'Tables by type'!C48</f>
        <v>94.89429670024415</v>
      </c>
      <c r="C14" s="104">
        <f>'Tables by type'!B79+'Tables by type'!C79</f>
        <v>98.86099297706672</v>
      </c>
      <c r="D14" s="104">
        <f>'Tables by type'!B110+'Tables by type'!C110</f>
        <v>98.88290726918298</v>
      </c>
      <c r="E14" s="104">
        <f>'Tables by type'!B141+'Tables by type'!C141</f>
        <v>94.92816147227305</v>
      </c>
      <c r="F14" s="104">
        <f>'Tables by type'!B171+'Tables by type'!C171</f>
        <v>97.51030147139701</v>
      </c>
      <c r="G14" s="104">
        <f>'Tables by type'!B202+'Tables by type'!C202</f>
        <v>0</v>
      </c>
      <c r="H14" s="105">
        <f>+'Tables by type'!B16+'Tables by type'!C16</f>
        <v>96.64437140884948</v>
      </c>
      <c r="I14" s="106">
        <f>'Tables by type'!B264+'Tables by type'!C264</f>
        <v>100</v>
      </c>
      <c r="J14" s="104">
        <f>'Tables by type'!B295+'Tables by type'!C295</f>
        <v>96.83620538923319</v>
      </c>
      <c r="K14" s="104">
        <f>'Tables by type'!B326+'Tables by type'!C326</f>
        <v>94.39501662869563</v>
      </c>
      <c r="L14" s="104">
        <f>'Tables by type'!B357+'Tables by type'!C357</f>
        <v>100</v>
      </c>
      <c r="M14" s="106">
        <f>+'Tables by type'!B233+'Tables by type'!C233</f>
        <v>96.81834395590343</v>
      </c>
      <c r="N14" s="216">
        <f>+'Tables by type'!B418+'Tables by type'!C418</f>
        <v>100</v>
      </c>
      <c r="O14" s="217">
        <f>+'Tables by type'!B449+'Tables by type'!C449</f>
        <v>100</v>
      </c>
      <c r="P14" s="106">
        <f>+'Tables by type'!B388+'Tables by type'!C388</f>
        <v>100</v>
      </c>
    </row>
    <row r="15" spans="1:16" ht="15.75" customHeight="1">
      <c r="A15" s="9" t="s">
        <v>752</v>
      </c>
      <c r="B15" s="104">
        <f>'Tables by type'!B49+'Tables by type'!C49</f>
        <v>99.9399404273969</v>
      </c>
      <c r="C15" s="104">
        <f>'Tables by type'!B80+'Tables by type'!C80</f>
        <v>100</v>
      </c>
      <c r="D15" s="104">
        <f>'Tables by type'!B111+'Tables by type'!C111</f>
        <v>99.95980438132244</v>
      </c>
      <c r="E15" s="104">
        <f>'Tables by type'!B142+'Tables by type'!C142</f>
        <v>98.53922417440778</v>
      </c>
      <c r="F15" s="104">
        <f>'Tables by type'!B172+'Tables by type'!C172</f>
        <v>97.62349366148993</v>
      </c>
      <c r="G15" s="104">
        <f>'Tables by type'!B203+'Tables by type'!C203</f>
        <v>0</v>
      </c>
      <c r="H15" s="105">
        <f>+'Tables by type'!B17+'Tables by type'!C17</f>
        <v>89.46552394736767</v>
      </c>
      <c r="I15" s="106">
        <f>'Tables by type'!B265+'Tables by type'!C265</f>
        <v>0</v>
      </c>
      <c r="J15" s="104">
        <f>'Tables by type'!B296+'Tables by type'!C296</f>
        <v>92.5369856735713</v>
      </c>
      <c r="K15" s="104">
        <f>'Tables by type'!B327+'Tables by type'!C327</f>
        <v>90.14291266987797</v>
      </c>
      <c r="L15" s="104">
        <f>'Tables by type'!B358+'Tables by type'!C358</f>
        <v>92.10571803913435</v>
      </c>
      <c r="M15" s="106">
        <f>+'Tables by type'!B234+'Tables by type'!C234</f>
        <v>91.76094862269781</v>
      </c>
      <c r="N15" s="212">
        <f>+'Tables by type'!B419+'Tables by type'!C419</f>
        <v>0</v>
      </c>
      <c r="O15">
        <f>+'Tables by type'!B450+'Tables by type'!C450</f>
        <v>0</v>
      </c>
      <c r="P15" s="106">
        <f>+'Tables by type'!B389+'Tables by type'!C389</f>
        <v>0</v>
      </c>
    </row>
    <row r="16" spans="1:16" ht="15.75" customHeight="1">
      <c r="A16" s="9"/>
      <c r="B16" s="104"/>
      <c r="C16" s="104"/>
      <c r="D16" s="104"/>
      <c r="E16" s="104"/>
      <c r="F16" s="104"/>
      <c r="G16" s="104"/>
      <c r="H16" s="105"/>
      <c r="I16" s="106"/>
      <c r="J16" s="104"/>
      <c r="K16" s="104"/>
      <c r="L16" s="104"/>
      <c r="M16" s="106"/>
      <c r="N16" s="212"/>
      <c r="P16" s="106"/>
    </row>
    <row r="17" spans="1:16" ht="15.75" customHeight="1">
      <c r="A17" s="9" t="s">
        <v>122</v>
      </c>
      <c r="B17" s="104">
        <f>'Tables by type'!B51+'Tables by type'!C51</f>
        <v>93.07060774860146</v>
      </c>
      <c r="C17" s="104">
        <f>'Tables by type'!B82+'Tables by type'!C82</f>
        <v>95.24616380901097</v>
      </c>
      <c r="D17" s="104">
        <f>'Tables by type'!B113+'Tables by type'!C113</f>
        <v>0</v>
      </c>
      <c r="E17" s="107">
        <f>'Tables by type'!B144+'Tables by type'!C144</f>
        <v>98.18961803773006</v>
      </c>
      <c r="F17" s="104">
        <f>'Tables by type'!B174+'Tables by type'!C174</f>
        <v>97.74319478780728</v>
      </c>
      <c r="G17" s="104">
        <f>'Tables by type'!B205+'Tables by type'!C205</f>
        <v>0</v>
      </c>
      <c r="H17" s="105">
        <f>+'Tables by type'!B19+'Tables by type'!C19</f>
        <v>95.34077348415597</v>
      </c>
      <c r="I17" s="106">
        <f>'Tables by type'!B267+'Tables by type'!C267</f>
        <v>0</v>
      </c>
      <c r="J17" s="104">
        <f>'Tables by type'!B298+'Tables by type'!C298</f>
        <v>91.59010151275467</v>
      </c>
      <c r="K17" s="104">
        <f>'Tables by type'!B329+'Tables by type'!C329</f>
        <v>90.04236878842754</v>
      </c>
      <c r="L17" s="104">
        <f>'Tables by type'!B360+'Tables by type'!C360</f>
        <v>88.38004579587837</v>
      </c>
      <c r="M17" s="106">
        <f>+'Tables by type'!B236+'Tables by type'!C236</f>
        <v>90.51375736422928</v>
      </c>
      <c r="N17" s="212">
        <f>+'Tables by type'!B421+'Tables by type'!C421</f>
        <v>0</v>
      </c>
      <c r="O17">
        <f>+'Tables by type'!B452+'Tables by type'!C452</f>
        <v>0</v>
      </c>
      <c r="P17" s="106">
        <f>+'Tables by type'!B391+'Tables by type'!C391</f>
        <v>0</v>
      </c>
    </row>
    <row r="18" spans="1:16" ht="15.75" customHeight="1">
      <c r="A18" s="9" t="s">
        <v>130</v>
      </c>
      <c r="B18" s="104">
        <f>'Tables by type'!B52+'Tables by type'!C52</f>
        <v>97.10916992910198</v>
      </c>
      <c r="C18" s="104">
        <f>'Tables by type'!B83+'Tables by type'!C83</f>
        <v>93.7438431020286</v>
      </c>
      <c r="D18" s="104">
        <f>'Tables by type'!B114+'Tables by type'!C114</f>
        <v>96.10352307668242</v>
      </c>
      <c r="E18" s="107">
        <f>'Tables by type'!B145+'Tables by type'!C145</f>
        <v>95.98699906642231</v>
      </c>
      <c r="F18" s="107">
        <f>'Tables by type'!B175+'Tables by type'!C175</f>
        <v>89.9659903652339</v>
      </c>
      <c r="G18" s="104">
        <f>'Tables by type'!B206+'Tables by type'!C206</f>
        <v>98.22948062411129</v>
      </c>
      <c r="H18" s="105">
        <f>+'Tables by type'!B20+'Tables by type'!C20</f>
        <v>96.15210068119345</v>
      </c>
      <c r="I18" s="106">
        <f>'Tables by type'!B268+'Tables by type'!C268</f>
        <v>0</v>
      </c>
      <c r="J18" s="107">
        <f>'Tables by type'!B299+'Tables by type'!C299</f>
        <v>89.17700897181882</v>
      </c>
      <c r="K18" s="107">
        <f>'Tables by type'!B330+'Tables by type'!C330</f>
        <v>91.69788386366616</v>
      </c>
      <c r="L18" s="104">
        <f>'Tables by type'!B361+'Tables by type'!C361</f>
        <v>90.7038823341008</v>
      </c>
      <c r="M18" s="106">
        <f>+'Tables by type'!B237+'Tables by type'!C237</f>
        <v>90.6396304469208</v>
      </c>
      <c r="N18" s="212">
        <f>+'Tables by type'!B422+'Tables by type'!C422</f>
        <v>0</v>
      </c>
      <c r="O18">
        <f>+'Tables by type'!B453+'Tables by type'!C453</f>
        <v>0</v>
      </c>
      <c r="P18" s="106">
        <f>+'Tables by type'!B392+'Tables by type'!C392</f>
        <v>0</v>
      </c>
    </row>
    <row r="19" spans="1:16" ht="15.75" customHeight="1">
      <c r="A19" s="9" t="s">
        <v>123</v>
      </c>
      <c r="B19" s="450">
        <f>'Tables by type'!B53+'Tables by type'!C53</f>
        <v>96.0846400005825</v>
      </c>
      <c r="C19" s="450">
        <f>'Tables by type'!B84+'Tables by type'!C84</f>
        <v>0</v>
      </c>
      <c r="D19" s="450">
        <f>'Tables by type'!B115+'Tables by type'!C115</f>
        <v>97.85046864782387</v>
      </c>
      <c r="E19" s="450">
        <f>'Tables by type'!B146+'Tables by type'!C146</f>
        <v>95.43654712526923</v>
      </c>
      <c r="F19" s="451">
        <f>'Tables by type'!B176+'Tables by type'!C176</f>
        <v>90.23766997606906</v>
      </c>
      <c r="G19" s="450">
        <f>'Tables by type'!B207+'Tables by type'!C207</f>
        <v>98.37898432084016</v>
      </c>
      <c r="H19" s="105">
        <f>+'Tables by type'!B21+'Tables by type'!C21</f>
        <v>94.89727670714173</v>
      </c>
      <c r="I19" s="106">
        <f>'Tables by type'!B269+'Tables by type'!C269</f>
        <v>73.93805524540026</v>
      </c>
      <c r="J19" s="450">
        <f>'Tables by type'!B300+'Tables by type'!C300</f>
        <v>84.49986030844597</v>
      </c>
      <c r="K19" s="450">
        <f>'Tables by type'!B331+'Tables by type'!C331</f>
        <v>86.89473944132394</v>
      </c>
      <c r="L19" s="450">
        <f>'Tables by type'!B362+'Tables by type'!C362</f>
        <v>85.80263426236151</v>
      </c>
      <c r="M19" s="106">
        <f>+'Tables by type'!B238+'Tables by type'!C238</f>
        <v>84.8839405262834</v>
      </c>
      <c r="N19" s="212">
        <f>+'Tables by type'!B423+'Tables by type'!C423</f>
        <v>0</v>
      </c>
      <c r="O19" s="1">
        <f>+'Tables by type'!B454+'Tables by type'!C454</f>
        <v>0</v>
      </c>
      <c r="P19" s="106">
        <f>+'Tables by type'!B393+'Tables by type'!C393</f>
        <v>0</v>
      </c>
    </row>
    <row r="20" spans="1:16" ht="15.75" customHeight="1">
      <c r="A20" s="9" t="s">
        <v>429</v>
      </c>
      <c r="B20" s="450">
        <f>'Tables by type'!B54+'Tables by type'!C54</f>
        <v>0</v>
      </c>
      <c r="C20" s="450">
        <f>'Tables by type'!B85+'Tables by type'!C85</f>
        <v>0</v>
      </c>
      <c r="D20" s="450">
        <f>'Tables by type'!B116+'Tables by type'!C116</f>
        <v>0</v>
      </c>
      <c r="E20" s="450">
        <f>'Tables by type'!B147+'Tables by type'!C147</f>
        <v>0</v>
      </c>
      <c r="F20" s="451">
        <f>'Tables by type'!B177+'Tables by type'!C177</f>
        <v>0</v>
      </c>
      <c r="G20" s="450">
        <f>'Tables by type'!B208+'Tables by type'!C208</f>
        <v>0</v>
      </c>
      <c r="H20" s="105">
        <f>+'Tables by type'!B22+'Tables by type'!C22</f>
        <v>0</v>
      </c>
      <c r="I20" s="108">
        <f>'Tables by type'!B270+'Tables by type'!C270</f>
        <v>0</v>
      </c>
      <c r="J20" s="450">
        <f>'Tables by type'!B301+'Tables by type'!C301</f>
        <v>0</v>
      </c>
      <c r="K20" s="450">
        <f>'Tables by type'!B332+'Tables by type'!C332</f>
        <v>0</v>
      </c>
      <c r="L20" s="450">
        <f>'Tables by type'!B363+'Tables by type'!C363</f>
        <v>0</v>
      </c>
      <c r="M20" s="106">
        <f>+'Tables by type'!B239+'Tables by type'!C239</f>
        <v>0</v>
      </c>
      <c r="N20" s="212">
        <f>+'Tables by type'!B424+'Tables by type'!C424</f>
        <v>0</v>
      </c>
      <c r="O20" s="1">
        <f>+'Tables by type'!B455+'Tables by type'!C455</f>
        <v>0</v>
      </c>
      <c r="P20" s="106">
        <f>+'Tables by type'!B394+'Tables by type'!C394</f>
        <v>0</v>
      </c>
    </row>
    <row r="21" spans="1:16" ht="15.75" customHeight="1">
      <c r="A21" s="9"/>
      <c r="B21" s="450"/>
      <c r="C21" s="450"/>
      <c r="D21" s="450"/>
      <c r="E21" s="450"/>
      <c r="F21" s="451"/>
      <c r="G21" s="450"/>
      <c r="H21" s="105"/>
      <c r="I21" s="108"/>
      <c r="J21" s="450"/>
      <c r="K21" s="450"/>
      <c r="L21" s="450"/>
      <c r="M21" s="106"/>
      <c r="N21" s="212"/>
      <c r="O21" s="1"/>
      <c r="P21" s="106"/>
    </row>
    <row r="22" spans="1:16" ht="15.75" customHeight="1">
      <c r="A22" s="9" t="s">
        <v>430</v>
      </c>
      <c r="B22" s="450">
        <f>'Tables by type'!B56+'Tables by type'!C56</f>
        <v>0</v>
      </c>
      <c r="C22" s="450">
        <f>'Tables by type'!B87+'Tables by type'!C87</f>
        <v>0</v>
      </c>
      <c r="D22" s="450">
        <f>'Tables by type'!B118+'Tables by type'!C118</f>
        <v>0</v>
      </c>
      <c r="E22" s="450">
        <f>'Tables by type'!B149+'Tables by type'!C149</f>
        <v>0</v>
      </c>
      <c r="F22" s="451">
        <f>'Tables by type'!B179+'Tables by type'!C179</f>
        <v>0</v>
      </c>
      <c r="G22" s="450">
        <f>'Tables by type'!B210+'Tables by type'!C210</f>
        <v>0</v>
      </c>
      <c r="H22" s="105">
        <f>+'Tables by type'!B24+'Tables by type'!C24</f>
        <v>0</v>
      </c>
      <c r="I22" s="108">
        <f>'Tables by type'!B272+'Tables by type'!C272</f>
        <v>0</v>
      </c>
      <c r="J22" s="450">
        <f>'Tables by type'!B303+'Tables by type'!C303</f>
        <v>0</v>
      </c>
      <c r="K22" s="450">
        <f>'Tables by type'!B334+'Tables by type'!C334</f>
        <v>0</v>
      </c>
      <c r="L22" s="450">
        <f>'Tables by type'!B365+'Tables by type'!C365</f>
        <v>0</v>
      </c>
      <c r="M22" s="106">
        <f>+'Tables by type'!B241+'Tables by type'!C241</f>
        <v>0</v>
      </c>
      <c r="N22" s="212">
        <f>+'Tables by type'!B426+'Tables by type'!C426</f>
        <v>0</v>
      </c>
      <c r="O22" s="1">
        <f>+'Tables by type'!B457+'Tables by type'!C457</f>
        <v>0</v>
      </c>
      <c r="P22" s="106">
        <f>+'Tables by type'!B396+'Tables by type'!C396</f>
        <v>0</v>
      </c>
    </row>
    <row r="23" spans="1:16" ht="15.75" customHeight="1">
      <c r="A23" s="9" t="s">
        <v>229</v>
      </c>
      <c r="B23" s="450">
        <f>'Tables by type'!B57+'Tables by type'!C57</f>
        <v>96.62733686233938</v>
      </c>
      <c r="C23" s="450">
        <f>'Tables by type'!B88+'Tables by type'!C88</f>
        <v>97.03171304742496</v>
      </c>
      <c r="D23" s="450">
        <f>'Tables by type'!B119+'Tables by type'!C119</f>
        <v>97.09248401327275</v>
      </c>
      <c r="E23" s="450">
        <f>'Tables by type'!B150+'Tables by type'!C150</f>
        <v>92.93143626578399</v>
      </c>
      <c r="F23" s="451">
        <f>'Tables by type'!B180+'Tables by type'!C180</f>
        <v>66.49800389935939</v>
      </c>
      <c r="G23" s="450">
        <f>'Tables by type'!B211+'Tables by type'!C211</f>
        <v>94.9564575191556</v>
      </c>
      <c r="H23" s="105">
        <f>+'Tables by type'!B25+'Tables by type'!C25</f>
        <v>96.61346664611358</v>
      </c>
      <c r="I23" s="108">
        <f>'Tables by type'!B273+'Tables by type'!C273</f>
        <v>0</v>
      </c>
      <c r="J23" s="450">
        <f>'Tables by type'!B304+'Tables by type'!C304</f>
        <v>89.6510096562256</v>
      </c>
      <c r="K23" s="450">
        <f>'Tables by type'!B335+'Tables by type'!C335</f>
        <v>89.3950494176384</v>
      </c>
      <c r="L23" s="450">
        <f>'Tables by type'!B366+'Tables by type'!C366</f>
        <v>88.76036497648181</v>
      </c>
      <c r="M23" s="106">
        <f>+'Tables by type'!B242+'Tables by type'!C242</f>
        <v>89.54670205623329</v>
      </c>
      <c r="N23" s="212">
        <f>+'Tables by type'!B427+'Tables by type'!C427</f>
        <v>0</v>
      </c>
      <c r="O23" s="1">
        <f>+'Tables by type'!B458+'Tables by type'!C458</f>
        <v>0</v>
      </c>
      <c r="P23" s="106">
        <f>+'Tables by type'!B397+'Tables by type'!C397</f>
        <v>0</v>
      </c>
    </row>
    <row r="24" spans="1:16" ht="15.75" customHeight="1">
      <c r="A24" s="9" t="s">
        <v>431</v>
      </c>
      <c r="B24" s="450">
        <f>'Tables by type'!B58+'Tables by type'!C58</f>
        <v>0</v>
      </c>
      <c r="C24" s="450">
        <f>'Tables by type'!B89+'Tables by type'!C89</f>
        <v>0</v>
      </c>
      <c r="D24" s="450">
        <f>'Tables by type'!B120+'Tables by type'!C120</f>
        <v>0</v>
      </c>
      <c r="E24" s="450">
        <f>'Tables by type'!B151+'Tables by type'!C151</f>
        <v>0</v>
      </c>
      <c r="F24" s="451">
        <f>'Tables by type'!B181+'Tables by type'!C181</f>
        <v>0</v>
      </c>
      <c r="G24" s="450">
        <f>'Tables by type'!B212+'Tables by type'!C212</f>
        <v>0</v>
      </c>
      <c r="H24" s="105">
        <f>+'Tables by type'!B26+'Tables by type'!C26</f>
        <v>0</v>
      </c>
      <c r="I24" s="108">
        <f>'Tables by type'!B274+'Tables by type'!C274</f>
        <v>0</v>
      </c>
      <c r="J24" s="450">
        <f>'Tables by type'!B305+'Tables by type'!C305</f>
        <v>0</v>
      </c>
      <c r="K24" s="450">
        <f>'Tables by type'!B336+'Tables by type'!C336</f>
        <v>0</v>
      </c>
      <c r="L24" s="450">
        <f>'Tables by type'!B367+'Tables by type'!C367</f>
        <v>0</v>
      </c>
      <c r="M24" s="106">
        <f>+'Tables by type'!B243+'Tables by type'!C243</f>
        <v>0</v>
      </c>
      <c r="N24" s="212">
        <f>+'Tables by type'!B428+'Tables by type'!C428</f>
        <v>0</v>
      </c>
      <c r="O24" s="1">
        <f>+'Tables by type'!B459+'Tables by type'!C459</f>
        <v>0</v>
      </c>
      <c r="P24" s="106">
        <f>+'Tables by type'!B398+'Tables by type'!C398</f>
        <v>0</v>
      </c>
    </row>
    <row r="25" spans="1:16" ht="15.75" customHeight="1">
      <c r="A25" s="10" t="s">
        <v>124</v>
      </c>
      <c r="B25" s="109">
        <f>'Tables by type'!B59+'Tables by type'!C59</f>
        <v>96.77023876869403</v>
      </c>
      <c r="C25" s="109">
        <f>'Tables by type'!B90+'Tables by type'!C90</f>
        <v>0</v>
      </c>
      <c r="D25" s="109">
        <f>'Tables by type'!B121+'Tables by type'!C121</f>
        <v>92.92038709967143</v>
      </c>
      <c r="E25" s="109">
        <f>'Tables by type'!B152+'Tables by type'!C152</f>
        <v>0</v>
      </c>
      <c r="F25" s="110">
        <f>'Tables by type'!B182+'Tables by type'!C182</f>
        <v>0</v>
      </c>
      <c r="G25" s="109">
        <f>'Tables by type'!B213+'Tables by type'!C213</f>
        <v>96.61086065502653</v>
      </c>
      <c r="H25" s="215">
        <f>+'Tables by type'!B27+'Tables by type'!C27</f>
        <v>95.97800166988223</v>
      </c>
      <c r="I25" s="111">
        <f>'Tables by type'!B275+'Tables by type'!C275</f>
        <v>92.32691370063384</v>
      </c>
      <c r="J25" s="109">
        <f>'Tables by type'!B306+'Tables by type'!C306</f>
        <v>0</v>
      </c>
      <c r="K25" s="109">
        <f>'Tables by type'!B337+'Tables by type'!C337</f>
        <v>96.19738399441596</v>
      </c>
      <c r="L25" s="109">
        <f>'Tables by type'!B368+'Tables by type'!C368</f>
        <v>91.85489702979328</v>
      </c>
      <c r="M25" s="111">
        <f>+'Tables by type'!B244+'Tables by type'!C244</f>
        <v>92.56908846312791</v>
      </c>
      <c r="N25" s="213">
        <f>+'Tables by type'!B429+'Tables by type'!C429</f>
        <v>0</v>
      </c>
      <c r="O25" s="2">
        <f>+'Tables by type'!B460+'Tables by type'!C460</f>
        <v>0</v>
      </c>
      <c r="P25" s="111">
        <f>+'Tables by type'!B399+'Tables by type'!C399</f>
        <v>0</v>
      </c>
    </row>
    <row r="26" spans="1:13" s="60" customFormat="1" ht="13.5" customHeight="1">
      <c r="A26" s="115" t="s">
        <v>753</v>
      </c>
      <c r="J26" s="72"/>
      <c r="M26" s="72"/>
    </row>
    <row r="27" spans="1:13" s="60" customFormat="1" ht="11.25">
      <c r="A27" s="62"/>
      <c r="J27" s="72"/>
      <c r="M27" s="72"/>
    </row>
    <row r="28" spans="13:16" s="60" customFormat="1" ht="11.25">
      <c r="M28" s="118"/>
      <c r="P28" s="218" t="s">
        <v>766</v>
      </c>
    </row>
    <row r="29" spans="1:16" ht="18">
      <c r="A29" s="685" t="s">
        <v>439</v>
      </c>
      <c r="B29" s="685"/>
      <c r="C29" s="685"/>
      <c r="D29" s="685"/>
      <c r="E29" s="685"/>
      <c r="F29" s="685"/>
      <c r="G29" s="685"/>
      <c r="H29" s="685"/>
      <c r="I29" s="685"/>
      <c r="J29" s="685"/>
      <c r="K29" s="685"/>
      <c r="L29" s="685"/>
      <c r="M29" s="685"/>
      <c r="N29" s="685"/>
      <c r="O29" s="685"/>
      <c r="P29" s="685"/>
    </row>
    <row r="30" spans="1:13" s="9" customFormat="1" ht="12.75">
      <c r="A30" s="78"/>
      <c r="B30" s="8"/>
      <c r="C30" s="8"/>
      <c r="D30" s="8"/>
      <c r="E30" s="8"/>
      <c r="F30" s="8"/>
      <c r="G30" s="8"/>
      <c r="H30" s="8"/>
      <c r="I30" s="8"/>
      <c r="J30" s="8"/>
      <c r="K30" s="8"/>
      <c r="L30" s="8"/>
      <c r="M30" s="77"/>
    </row>
    <row r="31" spans="1:16" ht="15.75">
      <c r="A31" s="686" t="s">
        <v>728</v>
      </c>
      <c r="B31" s="686"/>
      <c r="C31" s="686"/>
      <c r="D31" s="686"/>
      <c r="E31" s="686"/>
      <c r="F31" s="686"/>
      <c r="G31" s="686"/>
      <c r="H31" s="686"/>
      <c r="I31" s="686"/>
      <c r="J31" s="686"/>
      <c r="K31" s="686"/>
      <c r="L31" s="686"/>
      <c r="M31" s="686"/>
      <c r="N31" s="686"/>
      <c r="O31" s="686"/>
      <c r="P31" s="686"/>
    </row>
    <row r="32" spans="1:13" s="9" customFormat="1" ht="12.75">
      <c r="A32" s="76"/>
      <c r="B32" s="8"/>
      <c r="C32" s="8"/>
      <c r="D32" s="8"/>
      <c r="E32" s="8"/>
      <c r="F32" s="8"/>
      <c r="G32" s="8"/>
      <c r="H32" s="8"/>
      <c r="I32" s="8"/>
      <c r="J32" s="8"/>
      <c r="K32" s="8"/>
      <c r="L32" s="8"/>
      <c r="M32" s="77"/>
    </row>
    <row r="33" spans="1:23" s="49" customFormat="1" ht="18" customHeight="1">
      <c r="A33" s="18"/>
      <c r="B33" s="209" t="s">
        <v>121</v>
      </c>
      <c r="C33" s="209"/>
      <c r="D33" s="209"/>
      <c r="E33" s="209"/>
      <c r="F33" s="209"/>
      <c r="G33" s="209"/>
      <c r="H33" s="210"/>
      <c r="I33" s="211" t="s">
        <v>126</v>
      </c>
      <c r="J33" s="209"/>
      <c r="K33" s="209"/>
      <c r="L33" s="209"/>
      <c r="M33" s="209"/>
      <c r="N33" s="211" t="s">
        <v>420</v>
      </c>
      <c r="O33" s="209"/>
      <c r="P33" s="209"/>
      <c r="R33" s="567" t="s">
        <v>0</v>
      </c>
      <c r="S33" s="567"/>
      <c r="T33" s="567"/>
      <c r="U33" s="568" t="s">
        <v>1</v>
      </c>
      <c r="V33" s="567"/>
      <c r="W33" s="567"/>
    </row>
    <row r="34" spans="1:23" s="82" customFormat="1" ht="26.25" customHeight="1">
      <c r="A34" s="19"/>
      <c r="B34" s="79">
        <v>1</v>
      </c>
      <c r="C34" s="79">
        <v>2</v>
      </c>
      <c r="D34" s="79">
        <v>3</v>
      </c>
      <c r="E34" s="79">
        <v>4</v>
      </c>
      <c r="F34" s="79">
        <v>5</v>
      </c>
      <c r="G34" s="79">
        <v>6</v>
      </c>
      <c r="H34" s="81" t="s">
        <v>461</v>
      </c>
      <c r="I34" s="214" t="s">
        <v>230</v>
      </c>
      <c r="J34" s="79">
        <v>1</v>
      </c>
      <c r="K34" s="79">
        <v>2</v>
      </c>
      <c r="L34" s="79">
        <v>3</v>
      </c>
      <c r="M34" s="80" t="s">
        <v>461</v>
      </c>
      <c r="N34" s="80">
        <v>1</v>
      </c>
      <c r="O34" s="79">
        <v>2</v>
      </c>
      <c r="P34" s="80" t="s">
        <v>461</v>
      </c>
      <c r="R34" s="569" t="s">
        <v>2</v>
      </c>
      <c r="S34" s="569" t="s">
        <v>3</v>
      </c>
      <c r="T34" s="569" t="s">
        <v>4</v>
      </c>
      <c r="U34" s="570" t="s">
        <v>2</v>
      </c>
      <c r="V34" s="569" t="s">
        <v>3</v>
      </c>
      <c r="W34" s="569" t="s">
        <v>4</v>
      </c>
    </row>
    <row r="35" spans="1:23" ht="15.75" customHeight="1">
      <c r="A35" s="9" t="s">
        <v>421</v>
      </c>
      <c r="B35" s="104">
        <f>+'Tables by type'!D41</f>
        <v>4.709080276371933</v>
      </c>
      <c r="C35" s="104">
        <f>+'Tables by type'!D72</f>
        <v>0</v>
      </c>
      <c r="D35" s="104">
        <f>+'Tables by type'!D103</f>
        <v>1.257528768717463</v>
      </c>
      <c r="E35" s="104">
        <f>+'Tables by type'!D134</f>
        <v>11.354012947623673</v>
      </c>
      <c r="F35" s="104">
        <f>+'Tables by type'!D164</f>
        <v>0.6716436543407156</v>
      </c>
      <c r="G35" s="104">
        <f>+'Tables by type'!D195</f>
        <v>23.872253023025962</v>
      </c>
      <c r="H35" s="105">
        <f>+'Tables by type'!D9</f>
        <v>6.666773147630533</v>
      </c>
      <c r="I35" s="106">
        <f>+'Tables by type'!D257</f>
        <v>0</v>
      </c>
      <c r="J35" s="104">
        <f>+'Tables by type'!D288</f>
        <v>9.932067876212574</v>
      </c>
      <c r="K35" s="104">
        <f>+'Tables by type'!D319</f>
        <v>6.209486683215402</v>
      </c>
      <c r="L35" s="104">
        <f>+'Tables by type'!D350</f>
        <v>16.579988761761296</v>
      </c>
      <c r="M35" s="106">
        <f>+'Tables by type'!D226</f>
        <v>9.679477854804647</v>
      </c>
      <c r="N35" s="212">
        <f>+'Tables by type'!D411</f>
        <v>0</v>
      </c>
      <c r="O35">
        <f>+'Tables by type'!D442</f>
        <v>0</v>
      </c>
      <c r="P35" s="106">
        <f>+'Tables by type'!D381</f>
        <v>0</v>
      </c>
      <c r="R35" s="571">
        <f>(GETPIVOTDATA(" Old %UG EL Web",' Pivot Table for Data Exchange'!$A$3,"State","AL","Type2","Four-Year")+GETPIVOTDATA(" Old %UG EL CV",' Pivot Table for Data Exchange'!$A$3,"State","AL","Type2","Four-Year")+GETPIVOTDATA(" Old %UG EL O",' Pivot Table for Data Exchange'!$A$3,"State","AL","Type2","Four-Year"))*100</f>
        <v>3.1526466962488944</v>
      </c>
      <c r="S35" s="571">
        <f>(GETPIVOTDATA(" Old %UG EL Web",' Pivot Table for Data Exchange'!$A$3,"State","AL","Type2","Two-Year")+GETPIVOTDATA(" Old %UG EL CV",' Pivot Table for Data Exchange'!$A$3,"State","AL","Type2","Two-Year")+GETPIVOTDATA(" Old %UG EL O",' Pivot Table for Data Exchange'!$A$3,"State","AL","Type2","Two-Year"))*100</f>
        <v>7.769433432056852</v>
      </c>
      <c r="T35" s="571">
        <f>(GETPIVOTDATA(" Old %UG EL Web",' Pivot Table for Data Exchange'!$A$3,"State","AL","Type2","Technical")+GETPIVOTDATA(" Old %UG EL CV",' Pivot Table for Data Exchange'!$A$3,"State","AL","Type2","Technical")+GETPIVOTDATA(" Old %UG EL O",' Pivot Table for Data Exchange'!$A$3,"State","AL","Type2","Technical"))*100</f>
        <v>0</v>
      </c>
      <c r="U35" s="572">
        <f>IF(R35&gt;0,H35-R35,"—")</f>
        <v>3.5141264513816384</v>
      </c>
      <c r="V35" s="573">
        <f>IF(S35&gt;0,M35-S35,"—")</f>
        <v>1.910044422747795</v>
      </c>
      <c r="W35" s="573" t="str">
        <f>IF(T35&gt;0,P35-T35,"—")</f>
        <v>—</v>
      </c>
    </row>
    <row r="36" spans="1:23" ht="15.75" customHeight="1">
      <c r="A36" s="9" t="s">
        <v>422</v>
      </c>
      <c r="B36" s="104">
        <f>+'Tables by type'!D42</f>
        <v>0.7633884295380569</v>
      </c>
      <c r="C36" s="104">
        <f>+'Tables by type'!D73</f>
        <v>0</v>
      </c>
      <c r="D36" s="104">
        <f>+'Tables by type'!D104</f>
        <v>7.60277368396031</v>
      </c>
      <c r="E36" s="104">
        <f>+'Tables by type'!D135</f>
        <v>0</v>
      </c>
      <c r="F36" s="104">
        <f>+'Tables by type'!D165</f>
        <v>2.945604465598907</v>
      </c>
      <c r="G36" s="104">
        <f>+'Tables by type'!D196</f>
        <v>5.059973184195586</v>
      </c>
      <c r="H36" s="105">
        <f>+'Tables by type'!D10</f>
        <v>4.743141081998448</v>
      </c>
      <c r="I36" s="106">
        <f>+'Tables by type'!D258</f>
        <v>8.352121883213043</v>
      </c>
      <c r="J36" s="104">
        <f>+'Tables by type'!D289</f>
        <v>0</v>
      </c>
      <c r="K36" s="104">
        <f>+'Tables by type'!D320</f>
        <v>12.399093072963577</v>
      </c>
      <c r="L36" s="104">
        <f>+'Tables by type'!D351</f>
        <v>10.661201552451626</v>
      </c>
      <c r="M36" s="106">
        <f>+'Tables by type'!D227</f>
        <v>10.896931515529722</v>
      </c>
      <c r="N36" s="212">
        <f>+'Tables by type'!D412</f>
        <v>0</v>
      </c>
      <c r="O36">
        <f>+'Tables by type'!D443</f>
        <v>0</v>
      </c>
      <c r="P36" s="106">
        <f>+'Tables by type'!D382</f>
        <v>0</v>
      </c>
      <c r="R36" s="571">
        <f>(GETPIVOTDATA(" Old %UG EL Web",' Pivot Table for Data Exchange'!$A$3,"State","Ar","Type2","Four-Year")+GETPIVOTDATA(" Old %UG EL CV",' Pivot Table for Data Exchange'!$A$3,"State","Ar","Type2","Four-Year")+GETPIVOTDATA(" Old %UG EL O",' Pivot Table for Data Exchange'!$A$3,"State","Ar","Type2","Four-Year"))*100</f>
        <v>3.4949224771347245</v>
      </c>
      <c r="S36" s="571">
        <f>(GETPIVOTDATA(" Old %UG EL Web",' Pivot Table for Data Exchange'!$A$3,"State","AR","Type2","Two-Year")+GETPIVOTDATA(" Old %UG EL CV",' Pivot Table for Data Exchange'!$A$3,"State","AR","Type2","Two-Year")+GETPIVOTDATA(" Old %UG EL O",' Pivot Table for Data Exchange'!$A$3,"State","AR","Type2","Two-Year"))*100</f>
        <v>6.491401511453435</v>
      </c>
      <c r="T36" s="571">
        <f>(GETPIVOTDATA(" Old %UG EL Web",' Pivot Table for Data Exchange'!$A$3,"State","AR","Type2","Technical")+GETPIVOTDATA(" Old %UG EL CV",' Pivot Table for Data Exchange'!$A$3,"State","AR","Type2","Technical")+GETPIVOTDATA(" Old %UG EL O",' Pivot Table for Data Exchange'!$A$3,"State","AR","Type2","Technical"))*100</f>
        <v>0</v>
      </c>
      <c r="U36" s="572">
        <f aca="true" t="shared" si="0" ref="U36:U53">IF(R36&gt;0,H36-R36,"—")</f>
        <v>1.2482186048637232</v>
      </c>
      <c r="V36" s="573">
        <f aca="true" t="shared" si="1" ref="V36:V53">IF(S36&gt;0,M36-S36,"—")</f>
        <v>4.4055300040762875</v>
      </c>
      <c r="W36" s="573" t="str">
        <f aca="true" t="shared" si="2" ref="W36:W53">IF(T36&gt;0,P36-T36,"—")</f>
        <v>—</v>
      </c>
    </row>
    <row r="37" spans="1:23" ht="15.75" customHeight="1">
      <c r="A37" s="9" t="s">
        <v>423</v>
      </c>
      <c r="B37" s="104">
        <f>+'Tables by type'!D43</f>
        <v>0.35772936823568985</v>
      </c>
      <c r="C37" s="104">
        <f>+'Tables by type'!D74</f>
        <v>0</v>
      </c>
      <c r="D37" s="104">
        <f>+'Tables by type'!D105</f>
        <v>0</v>
      </c>
      <c r="E37" s="104">
        <f>+'Tables by type'!D136</f>
        <v>0</v>
      </c>
      <c r="F37" s="104">
        <f>+'Tables by type'!D166</f>
        <v>0</v>
      </c>
      <c r="G37" s="104">
        <f>+'Tables by type'!D197</f>
        <v>0</v>
      </c>
      <c r="H37" s="105">
        <f>+'Tables by type'!D11</f>
        <v>0.35772936823568985</v>
      </c>
      <c r="I37" s="106">
        <f>+'Tables by type'!D259</f>
        <v>0</v>
      </c>
      <c r="J37" s="104">
        <f>+'Tables by type'!D290</f>
        <v>0</v>
      </c>
      <c r="K37" s="104">
        <f>+'Tables by type'!D321</f>
        <v>8.742911363646488</v>
      </c>
      <c r="L37" s="104">
        <f>+'Tables by type'!D352</f>
        <v>12.072538860103627</v>
      </c>
      <c r="M37" s="106">
        <f>+'Tables by type'!D228</f>
        <v>9.351231891181428</v>
      </c>
      <c r="N37" s="212">
        <f>+'Tables by type'!D413</f>
        <v>0</v>
      </c>
      <c r="O37">
        <f>+'Tables by type'!D444</f>
        <v>0</v>
      </c>
      <c r="P37" s="106">
        <f>+'Tables by type'!D383</f>
        <v>0</v>
      </c>
      <c r="R37" s="571">
        <f>(GETPIVOTDATA(" Old %UG EL Web",' Pivot Table for Data Exchange'!$A$3,"State","DE","Type2","Four-Year")+GETPIVOTDATA(" Old %UG EL CV",' Pivot Table for Data Exchange'!$A$3,"State","DE","Type2","Four-Year")+GETPIVOTDATA(" Old %UG EL O",' Pivot Table for Data Exchange'!$A$3,"State","DE","Type2","Four-Year"))*100</f>
        <v>2.0248623591950383</v>
      </c>
      <c r="S37" s="571">
        <f>(GETPIVOTDATA(" Old %UG EL Web",' Pivot Table for Data Exchange'!$A$3,"State","DE","Type2","Two-Year")+GETPIVOTDATA(" Old %UG EL CV",' Pivot Table for Data Exchange'!$A$3,"State","DE","Type2","Two-Year")+GETPIVOTDATA(" Old %UG EL O",' Pivot Table for Data Exchange'!$A$3,"State","DE","Type2","Two-Year"))*100</f>
        <v>9.396855759459621</v>
      </c>
      <c r="T37" s="571">
        <f>(GETPIVOTDATA(" Old %UG EL Web",' Pivot Table for Data Exchange'!$A$3,"State","DE","Type2","Technical")+GETPIVOTDATA(" Old %UG EL CV",' Pivot Table for Data Exchange'!$A$3,"State","DE","Type2","Technical")+GETPIVOTDATA(" Old %UG EL O",' Pivot Table for Data Exchange'!$A$3,"State","DE","Type2","Technical"))*100</f>
        <v>0</v>
      </c>
      <c r="U37" s="572">
        <f t="shared" si="0"/>
        <v>-1.6671329909593484</v>
      </c>
      <c r="V37" s="573">
        <f t="shared" si="1"/>
        <v>-0.045623868278193314</v>
      </c>
      <c r="W37" s="573" t="str">
        <f t="shared" si="2"/>
        <v>—</v>
      </c>
    </row>
    <row r="38" spans="1:23" ht="15.75" customHeight="1">
      <c r="A38" s="9" t="s">
        <v>750</v>
      </c>
      <c r="B38" s="104">
        <f>+'Tables by type'!D44</f>
        <v>13.546858281337439</v>
      </c>
      <c r="C38" s="104">
        <f>+'Tables by type'!D75</f>
        <v>12.238876493674903</v>
      </c>
      <c r="D38" s="104">
        <f>+'Tables by type'!D106</f>
        <v>2.7804108170894812</v>
      </c>
      <c r="E38" s="104">
        <f>+'Tables by type'!D137</f>
        <v>0</v>
      </c>
      <c r="F38" s="104">
        <f>+'Tables by type'!D167</f>
        <v>13.44475928627539</v>
      </c>
      <c r="G38" s="104">
        <f>+'Tables by type'!D198</f>
        <v>0</v>
      </c>
      <c r="H38" s="105">
        <f>+'Tables by type'!D12</f>
        <v>11.480768901644801</v>
      </c>
      <c r="I38" s="106">
        <f>+'Tables by type'!D260</f>
        <v>8.613565627035893</v>
      </c>
      <c r="J38" s="104">
        <f>+'Tables by type'!D291</f>
        <v>9.657351720646801</v>
      </c>
      <c r="K38" s="104">
        <f>+'Tables by type'!D322</f>
        <v>11.54882972273006</v>
      </c>
      <c r="L38" s="104">
        <f>+'Tables by type'!D353</f>
        <v>8.821727141419005</v>
      </c>
      <c r="M38" s="106">
        <f>+'Tables by type'!D229</f>
        <v>9.617685756281979</v>
      </c>
      <c r="N38" s="212">
        <f>+'Tables by type'!D414</f>
        <v>0</v>
      </c>
      <c r="O38">
        <f>+'Tables by type'!D445</f>
        <v>0</v>
      </c>
      <c r="P38" s="106">
        <f>+'Tables by type'!D384</f>
        <v>0</v>
      </c>
      <c r="R38" s="571">
        <f>(GETPIVOTDATA(" Old %UG EL Web",' Pivot Table for Data Exchange'!$A$3,"State","FL","Type2","Four-Year")+GETPIVOTDATA(" Old %UG EL CV",' Pivot Table for Data Exchange'!$A$3,"State","FL","Type2","Four-Year")+GETPIVOTDATA(" Old %UG EL O",' Pivot Table for Data Exchange'!$A$3,"State","FL","Type2","Four-Year"))*100</f>
        <v>10.225538834688633</v>
      </c>
      <c r="S38" s="571">
        <f>(GETPIVOTDATA(" Old %UG EL Web",' Pivot Table for Data Exchange'!$A$3,"State","FL","Type2","Two-Year")+GETPIVOTDATA(" Old %UG EL CV",' Pivot Table for Data Exchange'!$A$3,"State","FL","Type2","Two-Year")+GETPIVOTDATA(" Old %UG EL O",' Pivot Table for Data Exchange'!$A$3,"State","FL","Type2","Two-Year"))*100</f>
        <v>8.8540636420639</v>
      </c>
      <c r="T38" s="571">
        <f>(GETPIVOTDATA(" Old %UG EL Web",' Pivot Table for Data Exchange'!$A$3,"State","FL","Type2","Technical")+GETPIVOTDATA(" Old %UG EL CV",' Pivot Table for Data Exchange'!$A$3,"State","FL","Type2","Technical")+GETPIVOTDATA(" Old %UG EL O",' Pivot Table for Data Exchange'!$A$3,"State","FL","Type2","Technical"))*100</f>
        <v>0</v>
      </c>
      <c r="U38" s="572">
        <f t="shared" si="0"/>
        <v>1.2552300669561678</v>
      </c>
      <c r="V38" s="573">
        <f t="shared" si="1"/>
        <v>0.7636221142180784</v>
      </c>
      <c r="W38" s="573" t="str">
        <f t="shared" si="2"/>
        <v>—</v>
      </c>
    </row>
    <row r="39" spans="1:23" ht="15.75" customHeight="1">
      <c r="A39" s="9"/>
      <c r="B39" s="104"/>
      <c r="C39" s="104"/>
      <c r="D39" s="104"/>
      <c r="E39" s="104"/>
      <c r="F39" s="104"/>
      <c r="G39" s="104"/>
      <c r="H39" s="105"/>
      <c r="I39" s="106"/>
      <c r="J39" s="104"/>
      <c r="K39" s="104"/>
      <c r="L39" s="104"/>
      <c r="M39" s="106"/>
      <c r="N39" s="212"/>
      <c r="P39" s="106"/>
      <c r="R39" s="571"/>
      <c r="S39" s="571"/>
      <c r="T39" s="571"/>
      <c r="U39" s="572"/>
      <c r="V39" s="573"/>
      <c r="W39" s="573"/>
    </row>
    <row r="40" spans="1:23" ht="15.75" customHeight="1">
      <c r="A40" s="9" t="s">
        <v>425</v>
      </c>
      <c r="B40" s="104">
        <f>+'Tables by type'!D46</f>
        <v>0.19963079768589428</v>
      </c>
      <c r="C40" s="104">
        <f>+'Tables by type'!D77</f>
        <v>0.826919514290045</v>
      </c>
      <c r="D40" s="104">
        <f>+'Tables by type'!D108</f>
        <v>2.580679418059379</v>
      </c>
      <c r="E40" s="104">
        <f>+'Tables by type'!D139</f>
        <v>2.3832080840222174</v>
      </c>
      <c r="F40" s="104">
        <f>+'Tables by type'!D169</f>
        <v>3.125001482605042</v>
      </c>
      <c r="G40" s="104">
        <f>+'Tables by type'!D200</f>
        <v>10.017289853830217</v>
      </c>
      <c r="H40" s="105">
        <f>+'Tables by type'!D14</f>
        <v>1.9827592257611137</v>
      </c>
      <c r="I40" s="106">
        <f>+'Tables by type'!D262</f>
        <v>5.879498584714922</v>
      </c>
      <c r="J40" s="104">
        <f>+'Tables by type'!D293</f>
        <v>6.217303697499695</v>
      </c>
      <c r="K40" s="104">
        <f>+'Tables by type'!D324</f>
        <v>5.744305052704865</v>
      </c>
      <c r="L40" s="104">
        <f>+'Tables by type'!D355</f>
        <v>3.564650646803621</v>
      </c>
      <c r="M40" s="106">
        <f>+'Tables by type'!D231</f>
        <v>5.54402047027544</v>
      </c>
      <c r="N40" s="216">
        <f>+'Tables by type'!D416</f>
        <v>14.744264128740161</v>
      </c>
      <c r="O40" s="217">
        <f>+'Tables by type'!D447</f>
        <v>12.408023279983372</v>
      </c>
      <c r="P40" s="106">
        <f>+'Tables by type'!D386</f>
        <v>14.673727073772321</v>
      </c>
      <c r="R40" s="571">
        <f>(GETPIVOTDATA(" Old %UG EL Web",' Pivot Table for Data Exchange'!$A$3,"State","GA","Type2","Four-Year")+GETPIVOTDATA(" Old %UG EL CV",' Pivot Table for Data Exchange'!$A$3,"State","GA","Type2","Four-Year")+GETPIVOTDATA(" Old %UG EL O",' Pivot Table for Data Exchange'!$A$3,"State","GA","Type2","Four-Year"))*100</f>
        <v>1.9555502115266559</v>
      </c>
      <c r="S40" s="571">
        <f>(GETPIVOTDATA(" Old %UG EL Web",' Pivot Table for Data Exchange'!$A$3,"State","GA","Type2","Two-Year")+GETPIVOTDATA(" Old %UG EL CV",' Pivot Table for Data Exchange'!$A$3,"State","GA","Type2","Two-Year")+GETPIVOTDATA(" Old %UG EL O",' Pivot Table for Data Exchange'!$A$3,"State","GA","Type2","Two-Year"))*100</f>
        <v>4.322757492941717</v>
      </c>
      <c r="T40" s="571">
        <f>(GETPIVOTDATA(" Old %UG EL Web",' Pivot Table for Data Exchange'!$A$3,"State","GA","Type2","Technical")+GETPIVOTDATA(" Old %UG EL CV",' Pivot Table for Data Exchange'!$A$3,"State","GA","Type2","Technical")+GETPIVOTDATA(" Old %UG EL O",' Pivot Table for Data Exchange'!$A$3,"State","GA","Type2","Technical"))*100</f>
        <v>11.214333176085203</v>
      </c>
      <c r="U40" s="572">
        <f t="shared" si="0"/>
        <v>0.027209014234457873</v>
      </c>
      <c r="V40" s="573">
        <f t="shared" si="1"/>
        <v>1.2212629773337227</v>
      </c>
      <c r="W40" s="573">
        <f t="shared" si="2"/>
        <v>3.459393897687118</v>
      </c>
    </row>
    <row r="41" spans="1:23" ht="15.75" customHeight="1">
      <c r="A41" s="9" t="s">
        <v>426</v>
      </c>
      <c r="B41" s="104">
        <f>+'Tables by type'!D47</f>
        <v>2.068280994651432</v>
      </c>
      <c r="C41" s="107">
        <f>+'Tables by type'!D78</f>
        <v>2.7710388700199475</v>
      </c>
      <c r="D41" s="104">
        <f>+'Tables by type'!D109</f>
        <v>4.741356054906109</v>
      </c>
      <c r="E41" s="104">
        <f>+'Tables by type'!D140</f>
        <v>3.7359447956039764</v>
      </c>
      <c r="F41" s="104">
        <f>+'Tables by type'!D170</f>
        <v>6.589768044483634</v>
      </c>
      <c r="G41" s="104">
        <f>+'Tables by type'!D201</f>
        <v>0</v>
      </c>
      <c r="H41" s="105">
        <f>+'Tables by type'!D15</f>
        <v>3.7218757338682824</v>
      </c>
      <c r="I41" s="561">
        <f>+'Tables by type'!D263</f>
        <v>0</v>
      </c>
      <c r="J41" s="104">
        <f>+'Tables by type'!D294</f>
        <v>26.286183768154924</v>
      </c>
      <c r="K41" s="104">
        <f>+'Tables by type'!D325</f>
        <v>13.426064760399598</v>
      </c>
      <c r="L41" s="104">
        <f>+'Tables by type'!D356</f>
        <v>27.419936006457007</v>
      </c>
      <c r="M41" s="106">
        <f>+'Tables by type'!D232</f>
        <v>19.54164413093758</v>
      </c>
      <c r="N41" s="216">
        <f>+'Tables by type'!D417</f>
        <v>5.505519248723159</v>
      </c>
      <c r="O41" s="217">
        <f>+'Tables by type'!D448</f>
        <v>6.210749106554249</v>
      </c>
      <c r="P41" s="106">
        <f>+'Tables by type'!D387</f>
        <v>5.8170726099419054</v>
      </c>
      <c r="R41" s="571">
        <f>(GETPIVOTDATA(" Old %UG EL Web",' Pivot Table for Data Exchange'!$A$3,"State","KY","Type2","Four-Year")+GETPIVOTDATA(" Old %UG EL CV",' Pivot Table for Data Exchange'!$A$3,"State","KY","Type2","Four-Year")+GETPIVOTDATA(" Old %UG EL O",' Pivot Table for Data Exchange'!$A$3,"State","KY","Type2","Four-Year"))*100</f>
        <v>8.210440279965548</v>
      </c>
      <c r="S41" s="571">
        <f>(GETPIVOTDATA(" Old %UG EL Web",' Pivot Table for Data Exchange'!$A$3,"State","KY","Type2","Two-Year")+GETPIVOTDATA(" Old %UG EL CV",' Pivot Table for Data Exchange'!$A$3,"State","KY","Type2","Two-Year")+GETPIVOTDATA(" Old %UG EL O",' Pivot Table for Data Exchange'!$A$3,"State","KY","Type2","Two-Year"))*100</f>
        <v>19.64063325356471</v>
      </c>
      <c r="T41" s="571">
        <f>(GETPIVOTDATA(" Old %UG EL Web",' Pivot Table for Data Exchange'!$A$3,"State","KY","Type2","Technical")+GETPIVOTDATA(" Old %UG EL CV",' Pivot Table for Data Exchange'!$A$3,"State","KY","Type2","Technical")+GETPIVOTDATA(" Old %UG EL O",' Pivot Table for Data Exchange'!$A$3,"State","KY","Type2","Technical"))*100</f>
        <v>5.58944567828198</v>
      </c>
      <c r="U41" s="572">
        <f t="shared" si="0"/>
        <v>-4.488564546097265</v>
      </c>
      <c r="V41" s="573">
        <f t="shared" si="1"/>
        <v>-0.09898912262713111</v>
      </c>
      <c r="W41" s="573">
        <f t="shared" si="2"/>
        <v>0.2276269316599251</v>
      </c>
    </row>
    <row r="42" spans="1:23" ht="15.75" customHeight="1">
      <c r="A42" s="9" t="s">
        <v>427</v>
      </c>
      <c r="B42" s="104">
        <f>+'Tables by type'!D48</f>
        <v>0.727471649195651</v>
      </c>
      <c r="C42" s="104">
        <f>+'Tables by type'!D79</f>
        <v>1.1390070229332956</v>
      </c>
      <c r="D42" s="104">
        <f>+'Tables by type'!D110</f>
        <v>1.1170927308170129</v>
      </c>
      <c r="E42" s="104">
        <f>+'Tables by type'!D141</f>
        <v>5.071838527726942</v>
      </c>
      <c r="F42" s="104">
        <f>+'Tables by type'!D171</f>
        <v>2.4896985286029767</v>
      </c>
      <c r="G42" s="104">
        <f>+'Tables by type'!D202</f>
        <v>0</v>
      </c>
      <c r="H42" s="105">
        <f>+'Tables by type'!D16</f>
        <v>2.3419188552662495</v>
      </c>
      <c r="I42" s="561">
        <f>+'Tables by type'!D264</f>
        <v>0</v>
      </c>
      <c r="J42" s="104">
        <f>+'Tables by type'!D295</f>
        <v>3.1637946107668102</v>
      </c>
      <c r="K42" s="104">
        <f>+'Tables by type'!D326</f>
        <v>5.604983371304371</v>
      </c>
      <c r="L42" s="104">
        <f>+'Tables by type'!D357</f>
        <v>0</v>
      </c>
      <c r="M42" s="106">
        <f>+'Tables by type'!D233</f>
        <v>3.1816560440965658</v>
      </c>
      <c r="N42" s="212">
        <f>+'Tables by type'!D418</f>
        <v>0</v>
      </c>
      <c r="O42">
        <f>+'Tables by type'!D449</f>
        <v>0</v>
      </c>
      <c r="P42" s="106">
        <f>+'Tables by type'!D388</f>
        <v>0</v>
      </c>
      <c r="R42" s="571">
        <f>(GETPIVOTDATA(" Old %UG EL Web",' Pivot Table for Data Exchange'!$A$3,"State","LA","Type2","Four-Year")+GETPIVOTDATA(" Old %UG EL CV",' Pivot Table for Data Exchange'!$A$3,"State","LA","Type2","Four-Year")+GETPIVOTDATA(" Old %UG EL O",' Pivot Table for Data Exchange'!$A$3,"State","LA","Type2","Four-Year"))*100</f>
        <v>2.0383635138309293</v>
      </c>
      <c r="S42" s="571">
        <f>(GETPIVOTDATA(" Old %UG EL Web",' Pivot Table for Data Exchange'!$A$3,"State","LA","Type2","Two-Year")+GETPIVOTDATA(" Old %UG EL CV",' Pivot Table for Data Exchange'!$A$3,"State","LA","Type2","Two-Year")+GETPIVOTDATA(" Old %UG EL O",' Pivot Table for Data Exchange'!$A$3,"State","LA","Type2","Two-Year"))*100</f>
        <v>3.242795649900098</v>
      </c>
      <c r="T42" s="571">
        <f>(GETPIVOTDATA(" Old %UG EL Web",' Pivot Table for Data Exchange'!$A$3,"State","LA","Type2","Technical")+GETPIVOTDATA(" Old %UG EL CV",' Pivot Table for Data Exchange'!$A$3,"State","LA","Type2","Technical")+GETPIVOTDATA(" Old %UG EL O",' Pivot Table for Data Exchange'!$A$3,"State","LA","Type2","Technical"))*100</f>
        <v>0</v>
      </c>
      <c r="U42" s="572">
        <f t="shared" si="0"/>
        <v>0.30355534143532026</v>
      </c>
      <c r="V42" s="573">
        <f t="shared" si="1"/>
        <v>-0.06113960580353206</v>
      </c>
      <c r="W42" s="573" t="str">
        <f t="shared" si="2"/>
        <v>—</v>
      </c>
    </row>
    <row r="43" spans="1:23" ht="15.75" customHeight="1">
      <c r="A43" s="9" t="s">
        <v>475</v>
      </c>
      <c r="B43" s="104">
        <f>+'Tables by type'!D49</f>
        <v>0.06005957260309551</v>
      </c>
      <c r="C43" s="104">
        <f>+'Tables by type'!D80</f>
        <v>0</v>
      </c>
      <c r="D43" s="563">
        <f>+'Tables by type'!D111</f>
        <v>0.040195618677564146</v>
      </c>
      <c r="E43" s="104">
        <f>+'Tables by type'!D142</f>
        <v>1.4607758255922196</v>
      </c>
      <c r="F43" s="104">
        <f>+'Tables by type'!D172</f>
        <v>2.3765063385100733</v>
      </c>
      <c r="G43" s="104">
        <f>+'Tables by type'!D203</f>
        <v>0</v>
      </c>
      <c r="H43" s="105">
        <f>+'Tables by type'!D17</f>
        <v>10.534476052632337</v>
      </c>
      <c r="I43" s="561">
        <f>+'Tables by type'!D265</f>
        <v>0</v>
      </c>
      <c r="J43" s="104">
        <f>+'Tables by type'!D296</f>
        <v>7.463014326428705</v>
      </c>
      <c r="K43" s="104">
        <f>+'Tables by type'!D327</f>
        <v>9.685127087468938</v>
      </c>
      <c r="L43" s="104">
        <f>+'Tables by type'!D358</f>
        <v>7.748219594828182</v>
      </c>
      <c r="M43" s="106">
        <f>+'Tables by type'!D234</f>
        <v>8.163040593716273</v>
      </c>
      <c r="N43" s="212">
        <f>+'Tables by type'!D419</f>
        <v>0</v>
      </c>
      <c r="O43">
        <f>+'Tables by type'!D450</f>
        <v>0</v>
      </c>
      <c r="P43" s="106">
        <f>+'Tables by type'!D389</f>
        <v>0</v>
      </c>
      <c r="R43" s="571">
        <f>(GETPIVOTDATA(" Old %UG EL Web",' Pivot Table for Data Exchange'!$A$3,"State","MD","Type2","Four-Year")+GETPIVOTDATA(" Old %UG EL CV",' Pivot Table for Data Exchange'!$A$3,"State","MD","Type2","Four-Year")+GETPIVOTDATA(" Old %UG EL O",' Pivot Table for Data Exchange'!$A$3,"State","MD","Type2","Four-Year"))*100</f>
        <v>15.968096512270419</v>
      </c>
      <c r="S43" s="571">
        <f>(GETPIVOTDATA(" Old %UG EL Web",' Pivot Table for Data Exchange'!$A$3,"State","MD","Type2","Two-Year")+GETPIVOTDATA(" Old %UG EL CV",' Pivot Table for Data Exchange'!$A$3,"State","MD","Type2","Two-Year")+GETPIVOTDATA(" Old %UG EL O",' Pivot Table for Data Exchange'!$A$3,"State","MD","Type2","Two-Year"))*100</f>
        <v>7.399701018406053</v>
      </c>
      <c r="T43" s="571">
        <f>(GETPIVOTDATA(" Old %UG EL Web",' Pivot Table for Data Exchange'!$A$3,"State","MD","Type2","Technical")+GETPIVOTDATA(" Old %UG EL CV",' Pivot Table for Data Exchange'!$A$3,"State","MD","Type2","Technical")+GETPIVOTDATA(" Old %UG EL O",' Pivot Table for Data Exchange'!$A$3,"State","MD","Type2","Technical"))*100</f>
        <v>0</v>
      </c>
      <c r="U43" s="572">
        <f t="shared" si="0"/>
        <v>-5.433620459638082</v>
      </c>
      <c r="V43" s="573">
        <f t="shared" si="1"/>
        <v>0.7633395753102201</v>
      </c>
      <c r="W43" s="573" t="str">
        <f t="shared" si="2"/>
        <v>—</v>
      </c>
    </row>
    <row r="44" spans="1:23" ht="13.5" customHeight="1">
      <c r="A44" s="9"/>
      <c r="B44" s="104"/>
      <c r="C44" s="104"/>
      <c r="D44" s="563"/>
      <c r="E44" s="104"/>
      <c r="F44" s="104"/>
      <c r="G44" s="104"/>
      <c r="H44" s="105"/>
      <c r="I44" s="561"/>
      <c r="J44" s="104"/>
      <c r="K44" s="104"/>
      <c r="L44" s="104"/>
      <c r="M44" s="106"/>
      <c r="N44" s="212"/>
      <c r="P44" s="106"/>
      <c r="R44" s="571"/>
      <c r="S44" s="571"/>
      <c r="T44" s="571"/>
      <c r="U44" s="572"/>
      <c r="V44" s="573"/>
      <c r="W44" s="573"/>
    </row>
    <row r="45" spans="1:23" ht="15.75" customHeight="1">
      <c r="A45" s="9" t="s">
        <v>751</v>
      </c>
      <c r="B45" s="104">
        <f>+'Tables by type'!D51</f>
        <v>6.710619400633728</v>
      </c>
      <c r="C45" s="104">
        <f>+'Tables by type'!D82</f>
        <v>4.490972098108075</v>
      </c>
      <c r="D45" s="104">
        <f>+'Tables by type'!D113</f>
        <v>0</v>
      </c>
      <c r="E45" s="104">
        <f>+'Tables by type'!D144</f>
        <v>1.8103819622699406</v>
      </c>
      <c r="F45" s="104">
        <f>+'Tables by type'!D174</f>
        <v>1.6238392863060638</v>
      </c>
      <c r="G45" s="104">
        <f>+'Tables by type'!D205</f>
        <v>0</v>
      </c>
      <c r="H45" s="105">
        <f>+'Tables by type'!D19</f>
        <v>4.398693912388338</v>
      </c>
      <c r="I45" s="561">
        <f>+'Tables by type'!D267</f>
        <v>0</v>
      </c>
      <c r="J45" s="104">
        <f>+'Tables by type'!D298</f>
        <v>8.409898487245323</v>
      </c>
      <c r="K45" s="104">
        <f>+'Tables by type'!D329</f>
        <v>9.957631211572465</v>
      </c>
      <c r="L45" s="104">
        <f>+'Tables by type'!D360</f>
        <v>11.61995420412163</v>
      </c>
      <c r="M45" s="106">
        <f>+'Tables by type'!D236</f>
        <v>9.486242635770724</v>
      </c>
      <c r="N45" s="212">
        <f>+'Tables by type'!D421</f>
        <v>0</v>
      </c>
      <c r="O45">
        <f>+'Tables by type'!D452</f>
        <v>0</v>
      </c>
      <c r="P45" s="106">
        <f>+'Tables by type'!D391</f>
        <v>0</v>
      </c>
      <c r="R45" s="571">
        <f>(GETPIVOTDATA(" Old %UG EL Web",' Pivot Table for Data Exchange'!$A$3,"State","MS","Type2","Four-Year")+GETPIVOTDATA(" Old %UG EL CV",' Pivot Table for Data Exchange'!$A$3,"State","MS","Type2","Four-Year")+GETPIVOTDATA(" Old %UG EL O",' Pivot Table for Data Exchange'!$A$3,"State","MS","Type2","Four-Year"))*100</f>
        <v>4.025880661394679</v>
      </c>
      <c r="S45" s="571">
        <f>(GETPIVOTDATA(" Old %UG EL Web",' Pivot Table for Data Exchange'!$A$3,"State","MS","Type2","Two-Year")+GETPIVOTDATA(" Old %UG EL CV",' Pivot Table for Data Exchange'!$A$3,"State","MS","Type2","Two-Year")+GETPIVOTDATA(" Old %UG EL O",' Pivot Table for Data Exchange'!$A$3,"State","MS","Type2","Two-Year"))*100</f>
        <v>7.56186148430618</v>
      </c>
      <c r="T45" s="571">
        <f>(GETPIVOTDATA(" Old %UG EL Web",' Pivot Table for Data Exchange'!$A$3,"State","MS","Type2","Technical")+GETPIVOTDATA(" Old %UG EL CV",' Pivot Table for Data Exchange'!$A$3,"State","MS","Type2","Technical")+GETPIVOTDATA(" Old %UG EL O",' Pivot Table for Data Exchange'!$A$3,"State","MS","Type2","Technical"))*100</f>
        <v>0</v>
      </c>
      <c r="U45" s="572">
        <f t="shared" si="0"/>
        <v>0.3728132509936586</v>
      </c>
      <c r="V45" s="573">
        <f t="shared" si="1"/>
        <v>1.9243811514645435</v>
      </c>
      <c r="W45" s="573" t="str">
        <f t="shared" si="2"/>
        <v>—</v>
      </c>
    </row>
    <row r="46" spans="1:23" ht="15.75" customHeight="1">
      <c r="A46" s="9" t="s">
        <v>130</v>
      </c>
      <c r="B46" s="104">
        <f>+'Tables by type'!D52</f>
        <v>2.890830070898021</v>
      </c>
      <c r="C46" s="104">
        <f>+'Tables by type'!D83</f>
        <v>6.2561568979714055</v>
      </c>
      <c r="D46" s="104">
        <f>+'Tables by type'!D114</f>
        <v>3.8964769233175915</v>
      </c>
      <c r="E46" s="104">
        <f>+'Tables by type'!D145</f>
        <v>4.013000933577677</v>
      </c>
      <c r="F46" s="104">
        <f>+'Tables by type'!D175</f>
        <v>10.034009634766097</v>
      </c>
      <c r="G46" s="104">
        <f>+'Tables by type'!D206</f>
        <v>1.7705193758887101</v>
      </c>
      <c r="H46" s="105">
        <f>+'Tables by type'!D20</f>
        <v>3.8478993188065624</v>
      </c>
      <c r="I46" s="561">
        <f>+'Tables by type'!D268</f>
        <v>0</v>
      </c>
      <c r="J46" s="104">
        <f>+'Tables by type'!D299</f>
        <v>10.822991028181173</v>
      </c>
      <c r="K46" s="104">
        <f>+'Tables by type'!D330</f>
        <v>8.302116136333842</v>
      </c>
      <c r="L46" s="104">
        <f>+'Tables by type'!D361</f>
        <v>9.296117665899228</v>
      </c>
      <c r="M46" s="106">
        <f>+'Tables by type'!D237</f>
        <v>9.36036955307918</v>
      </c>
      <c r="N46" s="212">
        <f>+'Tables by type'!D422</f>
        <v>0</v>
      </c>
      <c r="O46">
        <f>+'Tables by type'!D453</f>
        <v>0</v>
      </c>
      <c r="P46" s="106">
        <f>+'Tables by type'!D392</f>
        <v>0</v>
      </c>
      <c r="R46" s="571">
        <f>(GETPIVOTDATA(" Old %UG EL Web",' Pivot Table for Data Exchange'!$A$3,"State","NC","Type2","Four-Year")+GETPIVOTDATA(" Old %UG EL CV",' Pivot Table for Data Exchange'!$A$3,"State","NC","Type2","Four-Year")+GETPIVOTDATA(" Old %UG EL O",' Pivot Table for Data Exchange'!$A$3,"State","NC","Type2","Four-Year"))*100</f>
        <v>1.6944499339094705</v>
      </c>
      <c r="S46" s="571">
        <f>(GETPIVOTDATA(" Old %UG EL Web",' Pivot Table for Data Exchange'!$A$3,"State","NC","Type2","Two-Year")+GETPIVOTDATA(" Old %UG EL CV",' Pivot Table for Data Exchange'!$A$3,"State","NC","Type2","Two-Year")+GETPIVOTDATA(" Old %UG EL O",' Pivot Table for Data Exchange'!$A$3,"State","NC","Type2","Two-Year"))*100</f>
        <v>8.6262628781385</v>
      </c>
      <c r="T46" s="571">
        <f>(GETPIVOTDATA(" Old %UG EL Web",' Pivot Table for Data Exchange'!$A$3,"State","NC","Type2","Technical")+GETPIVOTDATA(" Old %UG EL CV",' Pivot Table for Data Exchange'!$A$3,"State","NC","Type2","Technical")+GETPIVOTDATA(" Old %UG EL O",' Pivot Table for Data Exchange'!$A$3,"State","NC","Type2","Technical"))*100</f>
        <v>0</v>
      </c>
      <c r="U46" s="572">
        <f t="shared" si="0"/>
        <v>2.153449384897092</v>
      </c>
      <c r="V46" s="573">
        <f t="shared" si="1"/>
        <v>0.7341066749406799</v>
      </c>
      <c r="W46" s="573" t="str">
        <f t="shared" si="2"/>
        <v>—</v>
      </c>
    </row>
    <row r="47" spans="1:23" ht="15.75" customHeight="1">
      <c r="A47" s="9" t="s">
        <v>123</v>
      </c>
      <c r="B47" s="450">
        <f>+'Tables by type'!D53</f>
        <v>3.7243202114452765</v>
      </c>
      <c r="C47" s="450">
        <f>+'Tables by type'!D84</f>
        <v>0</v>
      </c>
      <c r="D47" s="450">
        <f>+'Tables by type'!D115</f>
        <v>2.1495313521761243</v>
      </c>
      <c r="E47" s="450">
        <f>+'Tables by type'!D146</f>
        <v>4.563452874730773</v>
      </c>
      <c r="F47" s="450">
        <f>+'Tables by type'!D176</f>
        <v>9.762330023930955</v>
      </c>
      <c r="G47" s="450">
        <f>+'Tables by type'!D207</f>
        <v>1.621015679159845</v>
      </c>
      <c r="H47" s="105">
        <f>+'Tables by type'!D21</f>
        <v>5.011325644725716</v>
      </c>
      <c r="I47" s="561">
        <f>+'Tables by type'!D269</f>
        <v>26.06194475459974</v>
      </c>
      <c r="J47" s="450">
        <f>+'Tables by type'!D300</f>
        <v>14.218667360145911</v>
      </c>
      <c r="K47" s="450">
        <f>+'Tables by type'!D331</f>
        <v>13.105260558676063</v>
      </c>
      <c r="L47" s="450">
        <f>+'Tables by type'!D362</f>
        <v>14.196041455333283</v>
      </c>
      <c r="M47" s="106">
        <f>+'Tables by type'!D238</f>
        <v>14.599862356866348</v>
      </c>
      <c r="N47" s="212">
        <f>+'Tables by type'!D423</f>
        <v>0</v>
      </c>
      <c r="O47" s="1">
        <f>+'Tables by type'!D454</f>
        <v>0</v>
      </c>
      <c r="P47" s="106">
        <f>+'Tables by type'!D393</f>
        <v>0</v>
      </c>
      <c r="R47" s="571">
        <f>(GETPIVOTDATA(" Old %UG EL Web",' Pivot Table for Data Exchange'!$A$3,"State","OK","Type2","Four-Year")+GETPIVOTDATA(" Old %UG EL CV",' Pivot Table for Data Exchange'!$A$3,"State","OK","Type2","Four-Year")+GETPIVOTDATA(" Old %UG EL O",' Pivot Table for Data Exchange'!$A$3,"State","OK","Type2","Four-Year"))*100</f>
        <v>3.383923968972723</v>
      </c>
      <c r="S47" s="571">
        <f>(GETPIVOTDATA(" Old %UG EL Web",' Pivot Table for Data Exchange'!$A$3,"State","OK","Type2","Two-Year")+GETPIVOTDATA(" Old %UG EL CV",' Pivot Table for Data Exchange'!$A$3,"State","OK","Type2","Two-Year")+GETPIVOTDATA(" Old %UG EL O",' Pivot Table for Data Exchange'!$A$3,"State","OK","Type2","Two-Year"))*100</f>
        <v>12.649194786189765</v>
      </c>
      <c r="T47" s="571">
        <f>(GETPIVOTDATA(" Old %UG EL Web",' Pivot Table for Data Exchange'!$A$3,"State","OK","Type2","Technical")+GETPIVOTDATA(" Old %UG EL CV",' Pivot Table for Data Exchange'!$A$3,"State","OK","Type2","Technical")+GETPIVOTDATA(" Old %UG EL O",' Pivot Table for Data Exchange'!$A$3,"State","OK","Type2","Technical"))*100</f>
        <v>0</v>
      </c>
      <c r="U47" s="572">
        <f t="shared" si="0"/>
        <v>1.6274016757529925</v>
      </c>
      <c r="V47" s="573">
        <f t="shared" si="1"/>
        <v>1.9506675706765826</v>
      </c>
      <c r="W47" s="573" t="str">
        <f t="shared" si="2"/>
        <v>—</v>
      </c>
    </row>
    <row r="48" spans="1:23" ht="15.75" customHeight="1">
      <c r="A48" s="9" t="s">
        <v>429</v>
      </c>
      <c r="B48" s="450">
        <f>+'Tables by type'!D54</f>
        <v>0</v>
      </c>
      <c r="C48" s="450">
        <f>+'Tables by type'!D85</f>
        <v>0</v>
      </c>
      <c r="D48" s="450">
        <f>+'Tables by type'!D116</f>
        <v>0</v>
      </c>
      <c r="E48" s="450">
        <f>+'Tables by type'!D147</f>
        <v>0</v>
      </c>
      <c r="F48" s="451">
        <f>+'Tables by type'!D177</f>
        <v>0</v>
      </c>
      <c r="G48" s="450">
        <f>+'Tables by type'!D208</f>
        <v>0</v>
      </c>
      <c r="H48" s="105">
        <f>+'Tables by type'!D22</f>
        <v>0</v>
      </c>
      <c r="I48" s="561">
        <f>+'Tables by type'!D270</f>
        <v>0</v>
      </c>
      <c r="J48" s="451">
        <f>+'Tables by type'!D301</f>
        <v>0</v>
      </c>
      <c r="K48" s="450">
        <f>+'Tables by type'!D332</f>
        <v>0</v>
      </c>
      <c r="L48" s="450">
        <f>+'Tables by type'!D363</f>
        <v>0</v>
      </c>
      <c r="M48" s="106">
        <f>+'Tables by type'!D239</f>
        <v>0</v>
      </c>
      <c r="N48" s="212">
        <f>+'Tables by type'!D424</f>
        <v>0</v>
      </c>
      <c r="O48" s="1">
        <f>+'Tables by type'!D455</f>
        <v>0</v>
      </c>
      <c r="P48" s="106">
        <f>+'Tables by type'!D394</f>
        <v>0</v>
      </c>
      <c r="R48" s="571" t="e">
        <f>(GETPIVOTDATA(" Old %UG EL Web",' Pivot Table for Data Exchange'!$A$3,"State","SC","Type2","Four-Year")+GETPIVOTDATA(" Old %UG EL CV",' Pivot Table for Data Exchange'!$A$3,"State","SC","Type2","Four-Year")+GETPIVOTDATA(" Old %UG EL O",' Pivot Table for Data Exchange'!$A$3,"State","SC","Type2","Four-Year"))*100</f>
        <v>#REF!</v>
      </c>
      <c r="S48" s="571" t="e">
        <f>(GETPIVOTDATA(" Old %UG EL Web",' Pivot Table for Data Exchange'!$A$3,"State","SC","Type2","Two-Year")+GETPIVOTDATA(" Old %UG EL CV",' Pivot Table for Data Exchange'!$A$3,"State","SC","Type2","Two-Year")+GETPIVOTDATA(" Old %UG EL O",' Pivot Table for Data Exchange'!$A$3,"State","SC","Type2","Two-Year"))*100</f>
        <v>#REF!</v>
      </c>
      <c r="T48" s="571" t="e">
        <f>(GETPIVOTDATA(" Old %UG EL Web",' Pivot Table for Data Exchange'!$A$3,"State","SC","Type2","Technical")+GETPIVOTDATA(" Old %UG EL CV",' Pivot Table for Data Exchange'!$A$3,"State","SC","Type2","Technical")+GETPIVOTDATA(" Old %UG EL O",' Pivot Table for Data Exchange'!$A$3,"State","SC","Type2","Technical"))*100</f>
        <v>#REF!</v>
      </c>
      <c r="U48" s="572" t="e">
        <f t="shared" si="0"/>
        <v>#REF!</v>
      </c>
      <c r="V48" s="573" t="e">
        <f t="shared" si="1"/>
        <v>#REF!</v>
      </c>
      <c r="W48" s="573" t="e">
        <f t="shared" si="2"/>
        <v>#REF!</v>
      </c>
    </row>
    <row r="49" spans="1:23" ht="12" customHeight="1">
      <c r="A49" s="9"/>
      <c r="B49" s="450"/>
      <c r="C49" s="450"/>
      <c r="D49" s="450"/>
      <c r="E49" s="450"/>
      <c r="F49" s="451"/>
      <c r="G49" s="450"/>
      <c r="H49" s="105"/>
      <c r="I49" s="561"/>
      <c r="J49" s="451"/>
      <c r="K49" s="450"/>
      <c r="L49" s="450"/>
      <c r="M49" s="106"/>
      <c r="N49" s="212"/>
      <c r="O49" s="1"/>
      <c r="P49" s="106"/>
      <c r="R49" s="571"/>
      <c r="S49" s="571"/>
      <c r="T49" s="571"/>
      <c r="U49" s="572"/>
      <c r="V49" s="573"/>
      <c r="W49" s="573"/>
    </row>
    <row r="50" spans="1:23" ht="15.75" customHeight="1">
      <c r="A50" s="9" t="s">
        <v>430</v>
      </c>
      <c r="B50" s="450">
        <f>+'Tables by type'!D56</f>
        <v>0</v>
      </c>
      <c r="C50" s="450">
        <f>+'Tables by type'!D87</f>
        <v>0</v>
      </c>
      <c r="D50" s="450">
        <f>+'Tables by type'!D118</f>
        <v>0</v>
      </c>
      <c r="E50" s="450">
        <f>+'Tables by type'!D149</f>
        <v>0</v>
      </c>
      <c r="F50" s="451">
        <f>+'Tables by type'!D179</f>
        <v>0</v>
      </c>
      <c r="G50" s="450">
        <f>+'Tables by type'!D210</f>
        <v>0</v>
      </c>
      <c r="H50" s="105">
        <f>+'Tables by type'!D24</f>
        <v>0</v>
      </c>
      <c r="I50" s="561">
        <f>+'Tables by type'!D272</f>
        <v>0</v>
      </c>
      <c r="J50" s="451">
        <f>+'Tables by type'!D303</f>
        <v>0</v>
      </c>
      <c r="K50" s="450">
        <f>+'Tables by type'!D334</f>
        <v>0</v>
      </c>
      <c r="L50" s="450">
        <f>+'Tables by type'!D365</f>
        <v>0</v>
      </c>
      <c r="M50" s="106">
        <f>+'Tables by type'!D241</f>
        <v>0</v>
      </c>
      <c r="N50" s="212">
        <f>+'Tables by type'!D426</f>
        <v>0</v>
      </c>
      <c r="O50" s="1">
        <f>+'Tables by type'!D457</f>
        <v>0</v>
      </c>
      <c r="P50" s="106">
        <f>+'Tables by type'!D396</f>
        <v>0</v>
      </c>
      <c r="R50" s="571" t="e">
        <f>(GETPIVOTDATA(" Old %UG EL Web",' Pivot Table for Data Exchange'!$A$3,"State","TN","Type2","Four-Year")+GETPIVOTDATA(" Old %UG EL CV",' Pivot Table for Data Exchange'!$A$3,"State","TN","Type2","Four-Year")+GETPIVOTDATA(" Old %UG EL O",' Pivot Table for Data Exchange'!$A$3,"State","TN","Type2","Four-Year"))*100</f>
        <v>#REF!</v>
      </c>
      <c r="S50" s="571" t="e">
        <f>(GETPIVOTDATA(" Old %UG EL Web",' Pivot Table for Data Exchange'!$A$3,"State","TN","Type2","Two-Year")+GETPIVOTDATA(" Old %UG EL CV",' Pivot Table for Data Exchange'!$A$3,"State","TN","Type2","Two-Year")+GETPIVOTDATA(" Old %UG EL O",' Pivot Table for Data Exchange'!$A$3,"State","TN","Type2","Two-Year"))*100</f>
        <v>#REF!</v>
      </c>
      <c r="T50" s="571" t="e">
        <f>(GETPIVOTDATA(" Old %UG EL Web",' Pivot Table for Data Exchange'!$A$3,"State","TN","Type2","Technical")+GETPIVOTDATA(" Old %UG EL CV",' Pivot Table for Data Exchange'!$A$3,"State","TN","Type2","Technical")+GETPIVOTDATA(" Old %UG EL O",' Pivot Table for Data Exchange'!$A$3,"State","TN","Type2","Technical"))*100</f>
        <v>#REF!</v>
      </c>
      <c r="U50" s="572" t="e">
        <f t="shared" si="0"/>
        <v>#REF!</v>
      </c>
      <c r="V50" s="573" t="e">
        <f t="shared" si="1"/>
        <v>#REF!</v>
      </c>
      <c r="W50" s="573" t="e">
        <f t="shared" si="2"/>
        <v>#REF!</v>
      </c>
    </row>
    <row r="51" spans="1:23" ht="15.75" customHeight="1">
      <c r="A51" s="9" t="s">
        <v>229</v>
      </c>
      <c r="B51" s="450">
        <f>+'Tables by type'!D57</f>
        <v>3.3726631376606244</v>
      </c>
      <c r="C51" s="450">
        <f>+'Tables by type'!D88</f>
        <v>2.968286952575044</v>
      </c>
      <c r="D51" s="450">
        <f>+'Tables by type'!D119</f>
        <v>2.907515986727247</v>
      </c>
      <c r="E51" s="450">
        <f>+'Tables by type'!D150</f>
        <v>7.068563734216</v>
      </c>
      <c r="F51" s="450">
        <f>+'Tables by type'!D180</f>
        <v>33.5019961006406</v>
      </c>
      <c r="G51" s="450">
        <f>+'Tables by type'!D211</f>
        <v>5.043542480844386</v>
      </c>
      <c r="H51" s="105">
        <f>+'Tables by type'!D25</f>
        <v>3.069490320918901</v>
      </c>
      <c r="I51" s="561">
        <f>+'Tables by type'!D273</f>
        <v>0</v>
      </c>
      <c r="J51" s="450">
        <f>+'Tables by type'!D304</f>
        <v>10.348990343774403</v>
      </c>
      <c r="K51" s="450">
        <f>+'Tables by type'!D335</f>
        <v>10.604950582361601</v>
      </c>
      <c r="L51" s="450">
        <f>+'Tables by type'!D366</f>
        <v>11.239635023518192</v>
      </c>
      <c r="M51" s="106">
        <f>+'Tables by type'!D242</f>
        <v>10.45329794376671</v>
      </c>
      <c r="N51" s="212">
        <f>+'Tables by type'!D427</f>
        <v>0</v>
      </c>
      <c r="O51" s="1">
        <f>+'Tables by type'!D458</f>
        <v>0</v>
      </c>
      <c r="P51" s="106">
        <f>+'Tables by type'!D397</f>
        <v>0</v>
      </c>
      <c r="R51" s="571">
        <f>(GETPIVOTDATA(" Old %UG EL Web",' Pivot Table for Data Exchange'!$A$3,"State","TX","Type2","Four-Year")+GETPIVOTDATA(" Old %UG EL CV",' Pivot Table for Data Exchange'!$A$3,"State","TX","Type2","Four-Year")+GETPIVOTDATA(" Old %UG EL O",' Pivot Table for Data Exchange'!$A$3,"State","TX","Type2","Four-Year"))*100</f>
        <v>2.1621940622795788</v>
      </c>
      <c r="S51" s="571">
        <f>(GETPIVOTDATA(" Old %UG EL Web",' Pivot Table for Data Exchange'!$A$3,"State","TX","Type2","Two-Year")+GETPIVOTDATA(" Old %UG EL CV",' Pivot Table for Data Exchange'!$A$3,"State","TX","Type2","Two-Year")+GETPIVOTDATA(" Old %UG EL O",' Pivot Table for Data Exchange'!$A$3,"State","TX","Type2","Two-Year"))*100</f>
        <v>7.479916773779618</v>
      </c>
      <c r="T51" s="571">
        <f>(GETPIVOTDATA(" Old %UG EL Web",' Pivot Table for Data Exchange'!$A$3,"State","TX","Type2","Technical")+GETPIVOTDATA(" Old %UG EL CV",' Pivot Table for Data Exchange'!$A$3,"State","TX","Type2","Technical")+GETPIVOTDATA(" Old %UG EL O",' Pivot Table for Data Exchange'!$A$3,"State","TX","Type2","Technical"))*100</f>
        <v>0</v>
      </c>
      <c r="U51" s="572">
        <f t="shared" si="0"/>
        <v>0.9072962586393221</v>
      </c>
      <c r="V51" s="573">
        <f t="shared" si="1"/>
        <v>2.973381169987092</v>
      </c>
      <c r="W51" s="573" t="str">
        <f t="shared" si="2"/>
        <v>—</v>
      </c>
    </row>
    <row r="52" spans="1:23" ht="15.75" customHeight="1">
      <c r="A52" s="9" t="s">
        <v>431</v>
      </c>
      <c r="B52" s="450">
        <f>+'Tables by type'!D58</f>
        <v>0</v>
      </c>
      <c r="C52" s="450">
        <f>+'Tables by type'!D89</f>
        <v>0</v>
      </c>
      <c r="D52" s="450">
        <f>+'Tables by type'!D120</f>
        <v>0</v>
      </c>
      <c r="E52" s="450">
        <f>+'Tables by type'!D151</f>
        <v>0</v>
      </c>
      <c r="F52" s="451">
        <f>+'Tables by type'!D181</f>
        <v>0</v>
      </c>
      <c r="G52" s="450">
        <f>+'Tables by type'!D212</f>
        <v>0</v>
      </c>
      <c r="H52" s="105">
        <f>+'Tables by type'!D26</f>
        <v>0</v>
      </c>
      <c r="I52" s="561">
        <f>+'Tables by type'!D274</f>
        <v>0</v>
      </c>
      <c r="J52" s="451">
        <f>+'Tables by type'!D305</f>
        <v>0</v>
      </c>
      <c r="K52" s="450">
        <f>+'Tables by type'!D336</f>
        <v>0</v>
      </c>
      <c r="L52" s="450">
        <f>+'Tables by type'!D367</f>
        <v>0</v>
      </c>
      <c r="M52" s="106">
        <f>+'Tables by type'!D243</f>
        <v>0</v>
      </c>
      <c r="N52" s="212">
        <f>+'Tables by type'!D428</f>
        <v>0</v>
      </c>
      <c r="O52" s="1">
        <f>+'Tables by type'!D459</f>
        <v>0</v>
      </c>
      <c r="P52" s="106">
        <f>+'Tables by type'!D398</f>
        <v>0</v>
      </c>
      <c r="R52" s="571" t="e">
        <f>(GETPIVOTDATA(" Old %UG EL Web",' Pivot Table for Data Exchange'!$A$3,"State","VA","Type2","Four-Year")+GETPIVOTDATA(" Old %UG EL CV",' Pivot Table for Data Exchange'!$A$3,"State","VA","Type2","Four-Year")+GETPIVOTDATA(" Old %UG EL O",' Pivot Table for Data Exchange'!$A$3,"State","VA","Type2","Four-Year"))*100</f>
        <v>#REF!</v>
      </c>
      <c r="S52" s="571" t="e">
        <f>(GETPIVOTDATA(" Old %UG EL Web",' Pivot Table for Data Exchange'!$A$3,"State","VA","Type2","Two-Year")+GETPIVOTDATA(" Old %UG EL CV",' Pivot Table for Data Exchange'!$A$3,"State","VA","Type2","Two-Year")+GETPIVOTDATA(" Old %UG EL O",' Pivot Table for Data Exchange'!$A$3,"State","VA","Type2","Two-Year"))*100</f>
        <v>#REF!</v>
      </c>
      <c r="T52" s="571" t="e">
        <f>(GETPIVOTDATA(" Old %UG EL Web",' Pivot Table for Data Exchange'!$A$3,"State","VA","Type2","Technical")+GETPIVOTDATA(" Old %UG EL CV",' Pivot Table for Data Exchange'!$A$3,"State","VA","Type2","Technical")+GETPIVOTDATA(" Old %UG EL O",' Pivot Table for Data Exchange'!$A$3,"State","VA","Type2","Technical"))*100</f>
        <v>#REF!</v>
      </c>
      <c r="U52" s="572" t="e">
        <f t="shared" si="0"/>
        <v>#REF!</v>
      </c>
      <c r="V52" s="573" t="e">
        <f t="shared" si="1"/>
        <v>#REF!</v>
      </c>
      <c r="W52" s="573" t="e">
        <f t="shared" si="2"/>
        <v>#REF!</v>
      </c>
    </row>
    <row r="53" spans="1:23" ht="15.75" customHeight="1">
      <c r="A53" s="10" t="s">
        <v>124</v>
      </c>
      <c r="B53" s="109">
        <f>+'Tables by type'!D59</f>
        <v>3.2294109508188678</v>
      </c>
      <c r="C53" s="109">
        <f>+'Tables by type'!D90</f>
        <v>0</v>
      </c>
      <c r="D53" s="109">
        <f>+'Tables by type'!D121</f>
        <v>7.079612900328571</v>
      </c>
      <c r="E53" s="109">
        <f>+'Tables by type'!D152</f>
        <v>0</v>
      </c>
      <c r="F53" s="110">
        <f>+'Tables by type'!D182</f>
        <v>0</v>
      </c>
      <c r="G53" s="109">
        <f>+'Tables by type'!D213</f>
        <v>3.3891393449734677</v>
      </c>
      <c r="H53" s="215">
        <f>+'Tables by type'!D27</f>
        <v>4.021856934500601</v>
      </c>
      <c r="I53" s="562">
        <f>+'Tables by type'!D275</f>
        <v>7.6730862993661635</v>
      </c>
      <c r="J53" s="110">
        <f>+'Tables by type'!D306</f>
        <v>0</v>
      </c>
      <c r="K53" s="109">
        <f>+'Tables by type'!D337</f>
        <v>3.802616005584049</v>
      </c>
      <c r="L53" s="109">
        <f>+'Tables by type'!D368</f>
        <v>8.072134522545296</v>
      </c>
      <c r="M53" s="111">
        <f>+'Tables by type'!D244</f>
        <v>7.3816725431061005</v>
      </c>
      <c r="N53" s="213">
        <f>+'Tables by type'!D429</f>
        <v>0</v>
      </c>
      <c r="O53" s="2">
        <f>+'Tables by type'!D460</f>
        <v>0</v>
      </c>
      <c r="P53" s="111">
        <f>+'Tables by type'!D399</f>
        <v>0</v>
      </c>
      <c r="R53" s="571">
        <f>(GETPIVOTDATA(" Old %UG EL Web",' Pivot Table for Data Exchange'!$A$3,"State","WV","Type2","Four-Year")+GETPIVOTDATA(" Old %UG EL CV",' Pivot Table for Data Exchange'!$A$3,"State","WV","Type2","Four-Year")+GETPIVOTDATA(" Old %UG EL O",' Pivot Table for Data Exchange'!$A$3,"State","WV","Type2","Four-Year"))*100</f>
        <v>2.3879579382300054</v>
      </c>
      <c r="S53" s="571">
        <f>(GETPIVOTDATA(" Old %UG EL Web",' Pivot Table for Data Exchange'!$A$3,"State","WV","Type2","Two-Year")+GETPIVOTDATA(" Old %UG EL CV",' Pivot Table for Data Exchange'!$A$3,"State","WV","Type2","Two-Year")+GETPIVOTDATA(" Old %UG EL O",' Pivot Table for Data Exchange'!$A$3,"State","WV","Type2","Two-Year"))*100</f>
        <v>6.91720865454578</v>
      </c>
      <c r="T53" s="571">
        <f>(GETPIVOTDATA(" Old %UG EL Web",' Pivot Table for Data Exchange'!$A$3,"State","WV","Type2","Technical")+GETPIVOTDATA(" Old %UG EL CV",' Pivot Table for Data Exchange'!$A$3,"State","WV","Type2","Technical")+GETPIVOTDATA(" Old %UG EL O",' Pivot Table for Data Exchange'!$A$3,"State","WV","Type2","Technical"))*100</f>
        <v>0</v>
      </c>
      <c r="U53" s="572">
        <f t="shared" si="0"/>
        <v>1.6338989962705956</v>
      </c>
      <c r="V53" s="573">
        <f t="shared" si="1"/>
        <v>0.4644638885603207</v>
      </c>
      <c r="W53" s="573" t="str">
        <f t="shared" si="2"/>
        <v>—</v>
      </c>
    </row>
    <row r="54" spans="1:13" s="60" customFormat="1" ht="15" customHeight="1">
      <c r="A54" s="115" t="s">
        <v>754</v>
      </c>
      <c r="B54" s="73"/>
      <c r="C54" s="73"/>
      <c r="D54" s="73"/>
      <c r="E54" s="73"/>
      <c r="F54" s="73"/>
      <c r="G54" s="73"/>
      <c r="H54" s="73"/>
      <c r="I54" s="73"/>
      <c r="J54" s="73"/>
      <c r="K54" s="73"/>
      <c r="L54" s="73"/>
      <c r="M54" s="73"/>
    </row>
    <row r="55" spans="1:13" s="60" customFormat="1" ht="14.25" customHeight="1">
      <c r="A55" s="115" t="s">
        <v>755</v>
      </c>
      <c r="M55" s="72"/>
    </row>
    <row r="56" spans="1:16" s="60" customFormat="1" ht="30" customHeight="1">
      <c r="A56" s="687" t="s">
        <v>756</v>
      </c>
      <c r="B56" s="688"/>
      <c r="C56" s="688"/>
      <c r="D56" s="688"/>
      <c r="E56" s="688"/>
      <c r="F56" s="688"/>
      <c r="G56" s="688"/>
      <c r="H56" s="688"/>
      <c r="I56" s="688"/>
      <c r="J56" s="688"/>
      <c r="K56" s="688"/>
      <c r="L56" s="688"/>
      <c r="M56" s="688"/>
      <c r="N56" s="688"/>
      <c r="O56" s="688"/>
      <c r="P56" s="688"/>
    </row>
    <row r="57" spans="1:16" s="60" customFormat="1" ht="13.5" customHeight="1">
      <c r="A57" s="474"/>
      <c r="B57" s="566"/>
      <c r="C57" s="566"/>
      <c r="D57" s="566"/>
      <c r="E57" s="566"/>
      <c r="F57" s="566"/>
      <c r="G57" s="566"/>
      <c r="H57" s="566"/>
      <c r="I57" s="566"/>
      <c r="J57" s="566"/>
      <c r="K57" s="566"/>
      <c r="L57" s="566"/>
      <c r="M57" s="566"/>
      <c r="N57" s="566"/>
      <c r="O57" s="566"/>
      <c r="P57" s="566"/>
    </row>
    <row r="58" spans="13:16" s="60" customFormat="1" ht="11.25">
      <c r="M58" s="118"/>
      <c r="P58" s="218" t="s">
        <v>766</v>
      </c>
    </row>
    <row r="59" spans="1:13" ht="18">
      <c r="A59" s="31" t="s">
        <v>440</v>
      </c>
      <c r="B59" s="6"/>
      <c r="C59" s="6"/>
      <c r="D59" s="6"/>
      <c r="E59" s="6"/>
      <c r="F59" s="6"/>
      <c r="G59" s="16"/>
      <c r="H59" s="16"/>
      <c r="I59" s="16" t="s">
        <v>14</v>
      </c>
      <c r="J59" s="16"/>
      <c r="K59" s="16"/>
      <c r="L59" s="16"/>
      <c r="M59" s="53"/>
    </row>
    <row r="60" spans="1:13" s="9" customFormat="1" ht="12.75">
      <c r="A60" s="78"/>
      <c r="B60" s="8"/>
      <c r="C60" s="8"/>
      <c r="D60" s="8"/>
      <c r="E60" s="8"/>
      <c r="F60" s="8"/>
      <c r="G60" s="8"/>
      <c r="H60" s="8"/>
      <c r="I60" s="8"/>
      <c r="J60" s="8"/>
      <c r="K60" s="8"/>
      <c r="L60" s="8"/>
      <c r="M60" s="77"/>
    </row>
    <row r="61" spans="1:13" ht="15.75">
      <c r="A61" s="7" t="s">
        <v>467</v>
      </c>
      <c r="B61" s="8"/>
      <c r="C61" s="8"/>
      <c r="D61" s="8"/>
      <c r="E61" s="8"/>
      <c r="F61" s="8"/>
      <c r="G61" s="16"/>
      <c r="H61" s="16"/>
      <c r="I61" s="16" t="s">
        <v>14</v>
      </c>
      <c r="J61" s="16"/>
      <c r="K61" s="16"/>
      <c r="L61" s="16"/>
      <c r="M61" s="53"/>
    </row>
    <row r="62" spans="1:13" ht="15.75">
      <c r="A62" s="7" t="s">
        <v>468</v>
      </c>
      <c r="B62" s="8"/>
      <c r="C62" s="8"/>
      <c r="D62" s="8"/>
      <c r="E62" s="8"/>
      <c r="F62" s="8"/>
      <c r="G62" s="16"/>
      <c r="H62" s="16"/>
      <c r="I62" s="16" t="s">
        <v>14</v>
      </c>
      <c r="J62" s="16"/>
      <c r="K62" s="16"/>
      <c r="L62" s="16"/>
      <c r="M62" s="53"/>
    </row>
    <row r="63" spans="1:13" ht="15.75">
      <c r="A63" s="7" t="s">
        <v>729</v>
      </c>
      <c r="B63" s="8"/>
      <c r="C63" s="8"/>
      <c r="D63" s="8"/>
      <c r="E63" s="8"/>
      <c r="F63" s="8"/>
      <c r="G63" s="16"/>
      <c r="H63" s="16"/>
      <c r="I63" s="16" t="s">
        <v>14</v>
      </c>
      <c r="J63" s="16"/>
      <c r="K63" s="16"/>
      <c r="L63" s="16"/>
      <c r="M63" s="53"/>
    </row>
    <row r="64" spans="1:12" ht="12.75">
      <c r="A64" s="17"/>
      <c r="B64" s="2"/>
      <c r="C64" s="2"/>
      <c r="D64" s="2"/>
      <c r="E64" s="2"/>
      <c r="F64" s="2"/>
      <c r="G64" s="2"/>
      <c r="H64" s="2"/>
      <c r="I64" s="1"/>
      <c r="J64" s="1"/>
      <c r="K64" s="1"/>
      <c r="L64" s="1"/>
    </row>
    <row r="65" spans="1:13" s="49" customFormat="1" ht="12.75">
      <c r="A65" s="18"/>
      <c r="B65" s="682" t="s">
        <v>121</v>
      </c>
      <c r="C65" s="682"/>
      <c r="D65" s="682"/>
      <c r="E65" s="682"/>
      <c r="F65" s="682"/>
      <c r="G65" s="682"/>
      <c r="H65" s="682"/>
      <c r="I65" s="83"/>
      <c r="J65" s="83"/>
      <c r="K65" s="83"/>
      <c r="L65" s="83"/>
      <c r="M65" s="84"/>
    </row>
    <row r="66" spans="1:13" s="82" customFormat="1" ht="12.75">
      <c r="A66" s="19"/>
      <c r="B66" s="79">
        <v>1</v>
      </c>
      <c r="C66" s="79">
        <v>2</v>
      </c>
      <c r="D66" s="79">
        <v>3</v>
      </c>
      <c r="E66" s="79">
        <v>4</v>
      </c>
      <c r="F66" s="79">
        <v>5</v>
      </c>
      <c r="G66" s="79">
        <v>6</v>
      </c>
      <c r="H66" s="80" t="s">
        <v>461</v>
      </c>
      <c r="I66" s="83"/>
      <c r="J66" s="83"/>
      <c r="K66" s="83"/>
      <c r="L66" s="83"/>
      <c r="M66" s="83"/>
    </row>
    <row r="67" spans="1:13" ht="15.75" customHeight="1">
      <c r="A67" s="9" t="s">
        <v>421</v>
      </c>
      <c r="B67" s="104">
        <f>+'Tables by type'!J41+'Tables by type'!K41</f>
        <v>86.15005587727319</v>
      </c>
      <c r="C67" s="104">
        <f>+'Tables by type'!J72+'Tables by type'!K72</f>
        <v>0</v>
      </c>
      <c r="D67" s="104">
        <f>+'Tables by type'!J103+'Tables by type'!K103</f>
        <v>88.57550983193022</v>
      </c>
      <c r="E67" s="104">
        <f>+'Tables by type'!J134+'Tables by type'!K134</f>
        <v>59.48442222033425</v>
      </c>
      <c r="F67" s="104">
        <f>+'Tables by type'!J164+'Tables by type'!K164</f>
        <v>53.489700183561084</v>
      </c>
      <c r="G67" s="104">
        <f>+'Tables by type'!J195+'Tables by type'!K195</f>
        <v>0</v>
      </c>
      <c r="H67" s="106">
        <f>+'Tables by type'!J9+'Tables by type'!K9</f>
        <v>69.86544482456483</v>
      </c>
      <c r="I67" s="54"/>
      <c r="J67" s="54"/>
      <c r="K67" s="54"/>
      <c r="L67" s="54"/>
      <c r="M67" s="54"/>
    </row>
    <row r="68" spans="1:13" ht="15.75" customHeight="1">
      <c r="A68" s="9" t="s">
        <v>422</v>
      </c>
      <c r="B68" s="104">
        <f>+'Tables by type'!J42+'Tables by type'!K42</f>
        <v>90.66471746524256</v>
      </c>
      <c r="C68" s="104">
        <f>+'Tables by type'!J73+'Tables by type'!K73</f>
        <v>0</v>
      </c>
      <c r="D68" s="104">
        <f>+'Tables by type'!J104+'Tables by type'!K104</f>
        <v>86.2399373881932</v>
      </c>
      <c r="E68" s="104">
        <f>+'Tables by type'!J135+'Tables by type'!K135</f>
        <v>0</v>
      </c>
      <c r="F68" s="104">
        <f>+'Tables by type'!J165+'Tables by type'!K165</f>
        <v>92.1898212997156</v>
      </c>
      <c r="G68" s="104">
        <f>+'Tables by type'!J196+'Tables by type'!K196</f>
        <v>59.47521865889213</v>
      </c>
      <c r="H68" s="106">
        <f>+'Tables by type'!J10+'Tables by type'!K10</f>
        <v>87.85505994167836</v>
      </c>
      <c r="I68" s="54"/>
      <c r="J68" s="54"/>
      <c r="K68" s="54"/>
      <c r="L68" s="54"/>
      <c r="M68" s="54"/>
    </row>
    <row r="69" spans="1:13" ht="15.75" customHeight="1">
      <c r="A69" s="9" t="s">
        <v>423</v>
      </c>
      <c r="B69" s="104">
        <f>+'Tables by type'!J43+'Tables by type'!K43</f>
        <v>95.66453203657409</v>
      </c>
      <c r="C69" s="104">
        <f>+'Tables by type'!J74+'Tables by type'!K74</f>
        <v>0</v>
      </c>
      <c r="D69" s="104">
        <f>+'Tables by type'!J105+'Tables by type'!K105</f>
        <v>0</v>
      </c>
      <c r="E69" s="104">
        <f>+'Tables by type'!J136+'Tables by type'!K136</f>
        <v>0</v>
      </c>
      <c r="F69" s="104">
        <f>+'Tables by type'!J166+'Tables by type'!K166</f>
        <v>0</v>
      </c>
      <c r="G69" s="104">
        <f>+'Tables by type'!J197+'Tables by type'!K197</f>
        <v>0</v>
      </c>
      <c r="H69" s="106">
        <f>+'Tables by type'!J11+'Tables by type'!K11</f>
        <v>95.66453203657409</v>
      </c>
      <c r="I69" s="54"/>
      <c r="J69" s="54"/>
      <c r="K69" s="54"/>
      <c r="L69" s="54"/>
      <c r="M69" s="54"/>
    </row>
    <row r="70" spans="1:13" ht="15.75" customHeight="1">
      <c r="A70" s="9" t="s">
        <v>424</v>
      </c>
      <c r="B70" s="104">
        <f>+'Tables by type'!J44+'Tables by type'!K44</f>
        <v>88.24746093949494</v>
      </c>
      <c r="C70" s="104">
        <f>+'Tables by type'!J75+'Tables by type'!K75</f>
        <v>81.65650807822398</v>
      </c>
      <c r="D70" s="104">
        <f>+'Tables by type'!J106+'Tables by type'!K106</f>
        <v>94.01122529088502</v>
      </c>
      <c r="E70" s="104">
        <f>+'Tables by type'!J137+'Tables by type'!K137</f>
        <v>0</v>
      </c>
      <c r="F70" s="104">
        <f>+'Tables by type'!J167+'Tables by type'!K167</f>
        <v>70.4141226440138</v>
      </c>
      <c r="G70" s="104">
        <f>+'Tables by type'!J198+'Tables by type'!K198</f>
        <v>0</v>
      </c>
      <c r="H70" s="106">
        <f>+'Tables by type'!J12+'Tables by type'!K12</f>
        <v>86.51496147277763</v>
      </c>
      <c r="I70" s="54"/>
      <c r="J70" s="54"/>
      <c r="K70" s="54"/>
      <c r="L70" s="54"/>
      <c r="M70" s="54"/>
    </row>
    <row r="71" spans="1:13" ht="15.75" customHeight="1">
      <c r="A71" s="9"/>
      <c r="B71" s="104">
        <f>+'Tables by type'!J45+'Tables by type'!K45</f>
        <v>0</v>
      </c>
      <c r="C71" s="104">
        <f>+'Tables by type'!J76+'Tables by type'!K76</f>
        <v>0</v>
      </c>
      <c r="D71" s="104">
        <f>+'Tables by type'!J107+'Tables by type'!K107</f>
        <v>0</v>
      </c>
      <c r="E71" s="104">
        <f>+'Tables by type'!J138+'Tables by type'!K138</f>
        <v>0</v>
      </c>
      <c r="F71" s="104">
        <f>+'Tables by type'!J168+'Tables by type'!K168</f>
        <v>0</v>
      </c>
      <c r="G71" s="104">
        <f>+'Tables by type'!J199+'Tables by type'!K199</f>
        <v>0</v>
      </c>
      <c r="H71" s="106"/>
      <c r="I71" s="54"/>
      <c r="J71" s="54"/>
      <c r="K71" s="54"/>
      <c r="L71" s="54"/>
      <c r="M71" s="54"/>
    </row>
    <row r="72" spans="1:13" ht="15.75" customHeight="1">
      <c r="A72" s="9" t="s">
        <v>425</v>
      </c>
      <c r="B72" s="104">
        <f>+'Tables by type'!J46+'Tables by type'!K46</f>
        <v>96.58033178752173</v>
      </c>
      <c r="C72" s="104">
        <f>+'Tables by type'!J77+'Tables by type'!K77</f>
        <v>98.38820571143287</v>
      </c>
      <c r="D72" s="104">
        <f>+'Tables by type'!J108+'Tables by type'!K108</f>
        <v>72.37409892494576</v>
      </c>
      <c r="E72" s="104">
        <f>+'Tables by type'!J139+'Tables by type'!K139</f>
        <v>90.89743438929996</v>
      </c>
      <c r="F72" s="104">
        <f>+'Tables by type'!J169+'Tables by type'!K169</f>
        <v>93.76059005282568</v>
      </c>
      <c r="G72" s="104">
        <f>+'Tables by type'!J200+'Tables by type'!K200</f>
        <v>0</v>
      </c>
      <c r="H72" s="106">
        <f>+'Tables by type'!J14+'Tables by type'!K14</f>
        <v>93.77030417464177</v>
      </c>
      <c r="I72" s="54"/>
      <c r="J72" s="54"/>
      <c r="K72" s="54"/>
      <c r="L72" s="54"/>
      <c r="M72" s="54"/>
    </row>
    <row r="73" spans="1:13" ht="15.75" customHeight="1">
      <c r="A73" s="9" t="s">
        <v>426</v>
      </c>
      <c r="B73" s="104">
        <f>+'Tables by type'!J47+'Tables by type'!K47</f>
        <v>94.3245375849985</v>
      </c>
      <c r="C73" s="104">
        <f>+'Tables by type'!J78+'Tables by type'!K78</f>
        <v>91.82552188646093</v>
      </c>
      <c r="D73" s="107">
        <f>+'Tables by type'!J109+'Tables by type'!K109</f>
        <v>76.68471530458207</v>
      </c>
      <c r="E73" s="104">
        <f>+'Tables by type'!J140+'Tables by type'!K140</f>
        <v>81.96677095695328</v>
      </c>
      <c r="F73" s="104">
        <f>+'Tables by type'!J170+'Tables by type'!K170</f>
        <v>95.67515617491591</v>
      </c>
      <c r="G73" s="104">
        <f>+'Tables by type'!J201+'Tables by type'!K201</f>
        <v>0</v>
      </c>
      <c r="H73" s="106">
        <f>+'Tables by type'!J15+'Tables by type'!K15</f>
        <v>85.69484168222408</v>
      </c>
      <c r="I73" s="54"/>
      <c r="J73" s="54"/>
      <c r="K73" s="54"/>
      <c r="L73" s="54"/>
      <c r="M73" s="54"/>
    </row>
    <row r="74" spans="1:13" ht="15.75" customHeight="1">
      <c r="A74" s="9" t="s">
        <v>427</v>
      </c>
      <c r="B74" s="104">
        <f>+'Tables by type'!J48+'Tables by type'!K48</f>
        <v>97.58925293007906</v>
      </c>
      <c r="C74" s="104">
        <f>+'Tables by type'!J79+'Tables by type'!K79</f>
        <v>95.5339429155902</v>
      </c>
      <c r="D74" s="104">
        <f>+'Tables by type'!J110+'Tables by type'!K110</f>
        <v>98.15915627996165</v>
      </c>
      <c r="E74" s="104">
        <f>+'Tables by type'!J141+'Tables by type'!K141</f>
        <v>82.03675573374505</v>
      </c>
      <c r="F74" s="104">
        <f>+'Tables by type'!J171+'Tables by type'!K171</f>
        <v>98.79342504080205</v>
      </c>
      <c r="G74" s="104">
        <f>+'Tables by type'!J202+'Tables by type'!K202</f>
        <v>0</v>
      </c>
      <c r="H74" s="106">
        <f>+'Tables by type'!J16+'Tables by type'!K16</f>
        <v>93.7146714707852</v>
      </c>
      <c r="I74" s="54"/>
      <c r="J74" s="54"/>
      <c r="K74" s="54"/>
      <c r="L74" s="54"/>
      <c r="M74" s="54"/>
    </row>
    <row r="75" spans="1:13" ht="15.75" customHeight="1">
      <c r="A75" s="9" t="s">
        <v>752</v>
      </c>
      <c r="B75" s="104">
        <f>+'Tables by type'!J49+'Tables by type'!K49</f>
        <v>99.06010701236075</v>
      </c>
      <c r="C75" s="104">
        <f>+'Tables by type'!J80+'Tables by type'!K80</f>
        <v>88.00018065215428</v>
      </c>
      <c r="D75" s="104">
        <f>+'Tables by type'!J111+'Tables by type'!K111</f>
        <v>97.99991640193949</v>
      </c>
      <c r="E75" s="104">
        <f>+'Tables by type'!J142+'Tables by type'!K142</f>
        <v>92.97619180872854</v>
      </c>
      <c r="F75" s="104">
        <f>+'Tables by type'!J172+'Tables by type'!K172</f>
        <v>99.99999999999999</v>
      </c>
      <c r="G75" s="104">
        <f>+'Tables by type'!J203+'Tables by type'!K203</f>
        <v>0</v>
      </c>
      <c r="H75" s="106">
        <f>+'Tables by type'!J17+'Tables by type'!K17</f>
        <v>76.86444113397216</v>
      </c>
      <c r="I75" s="54"/>
      <c r="J75" s="54"/>
      <c r="K75" s="54"/>
      <c r="L75" s="54"/>
      <c r="M75" s="54"/>
    </row>
    <row r="76" spans="1:13" ht="15.75" customHeight="1">
      <c r="A76" s="9"/>
      <c r="B76" s="104">
        <f>+'Tables by type'!J50+'Tables by type'!K50</f>
        <v>0</v>
      </c>
      <c r="C76" s="104">
        <f>+'Tables by type'!J81+'Tables by type'!K81</f>
        <v>0</v>
      </c>
      <c r="D76" s="104">
        <f>+'Tables by type'!J112+'Tables by type'!K112</f>
        <v>0</v>
      </c>
      <c r="E76" s="104">
        <f>+'Tables by type'!J143+'Tables by type'!K143</f>
        <v>0</v>
      </c>
      <c r="F76" s="104">
        <f>+'Tables by type'!J173+'Tables by type'!K173</f>
        <v>0</v>
      </c>
      <c r="G76" s="104">
        <f>+'Tables by type'!J204+'Tables by type'!K204</f>
        <v>0</v>
      </c>
      <c r="H76" s="106"/>
      <c r="I76" s="54"/>
      <c r="J76" s="54"/>
      <c r="K76" s="54"/>
      <c r="L76" s="54"/>
      <c r="M76" s="54"/>
    </row>
    <row r="77" spans="1:13" ht="15.75" customHeight="1">
      <c r="A77" s="9" t="s">
        <v>122</v>
      </c>
      <c r="B77" s="104">
        <f>+'Tables by type'!J51+'Tables by type'!K51</f>
        <v>89.45534879768886</v>
      </c>
      <c r="C77" s="104">
        <f>+'Tables by type'!J82+'Tables by type'!K82</f>
        <v>91.41302046697761</v>
      </c>
      <c r="D77" s="104">
        <f>+'Tables by type'!J113+'Tables by type'!K113</f>
        <v>0</v>
      </c>
      <c r="E77" s="104">
        <f>+'Tables by type'!J144+'Tables by type'!K144</f>
        <v>90.512116117922</v>
      </c>
      <c r="F77" s="104">
        <f>+'Tables by type'!J174+'Tables by type'!K174</f>
        <v>96.66666666666666</v>
      </c>
      <c r="G77" s="104">
        <f>+'Tables by type'!J205+'Tables by type'!K205</f>
        <v>0</v>
      </c>
      <c r="H77" s="106">
        <f>+'Tables by type'!J19+'Tables by type'!K19</f>
        <v>91.08480279145118</v>
      </c>
      <c r="I77" s="54"/>
      <c r="J77" s="54"/>
      <c r="K77" s="54"/>
      <c r="L77" s="54"/>
      <c r="M77" s="54"/>
    </row>
    <row r="78" spans="1:13" ht="15.75" customHeight="1">
      <c r="A78" s="9" t="s">
        <v>130</v>
      </c>
      <c r="B78" s="104">
        <f>+'Tables by type'!J52+'Tables by type'!K52</f>
        <v>95.79545664249201</v>
      </c>
      <c r="C78" s="104">
        <f>+'Tables by type'!J83+'Tables by type'!K83</f>
        <v>87.9499194823659</v>
      </c>
      <c r="D78" s="104">
        <f>+'Tables by type'!J114+'Tables by type'!K114</f>
        <v>83.97231912823784</v>
      </c>
      <c r="E78" s="107">
        <f>+'Tables by type'!J145+'Tables by type'!K145</f>
        <v>88.76726342710998</v>
      </c>
      <c r="F78" s="104">
        <f>+'Tables by type'!J175+'Tables by type'!K175</f>
        <v>71.43006809848087</v>
      </c>
      <c r="G78" s="104">
        <f>+'Tables by type'!J206+'Tables by type'!K206</f>
        <v>99.19865035849853</v>
      </c>
      <c r="H78" s="106">
        <f>+'Tables by type'!J20+'Tables by type'!K20</f>
        <v>89.40262839795095</v>
      </c>
      <c r="I78" s="54"/>
      <c r="J78" s="54"/>
      <c r="K78" s="54"/>
      <c r="L78" s="54"/>
      <c r="M78" s="54"/>
    </row>
    <row r="79" spans="1:13" ht="15.75" customHeight="1">
      <c r="A79" s="9" t="s">
        <v>123</v>
      </c>
      <c r="B79" s="450">
        <f>+'Tables by type'!J53+'Tables by type'!K53</f>
        <v>91.8350839552774</v>
      </c>
      <c r="C79" s="450">
        <f>+'Tables by type'!J84+'Tables by type'!K84</f>
        <v>0</v>
      </c>
      <c r="D79" s="450">
        <f>+'Tables by type'!J115+'Tables by type'!K115</f>
        <v>95.94295959638077</v>
      </c>
      <c r="E79" s="450">
        <f>+'Tables by type'!J146+'Tables by type'!K146</f>
        <v>98.10691749017741</v>
      </c>
      <c r="F79" s="450">
        <f>+'Tables by type'!J176+'Tables by type'!K176</f>
        <v>88.21997887652593</v>
      </c>
      <c r="G79" s="450">
        <f>+'Tables by type'!J207+'Tables by type'!K207</f>
        <v>0</v>
      </c>
      <c r="H79" s="106">
        <f>+'Tables by type'!J21+'Tables by type'!K21</f>
        <v>92.05669766587312</v>
      </c>
      <c r="I79" s="54"/>
      <c r="J79" s="54"/>
      <c r="K79" s="54"/>
      <c r="L79" s="54"/>
      <c r="M79" s="54"/>
    </row>
    <row r="80" spans="1:13" ht="15.75" customHeight="1">
      <c r="A80" s="9" t="s">
        <v>429</v>
      </c>
      <c r="B80" s="450">
        <f>+'Tables by type'!J54+'Tables by type'!K54</f>
        <v>0</v>
      </c>
      <c r="C80" s="450">
        <f>+'Tables by type'!J85+'Tables by type'!K85</f>
        <v>0</v>
      </c>
      <c r="D80" s="450">
        <f>+'Tables by type'!J116+'Tables by type'!K116</f>
        <v>0</v>
      </c>
      <c r="E80" s="450">
        <f>+'Tables by type'!J147+'Tables by type'!K147</f>
        <v>0</v>
      </c>
      <c r="F80" s="450">
        <f>+'Tables by type'!J177+'Tables by type'!K177</f>
        <v>0</v>
      </c>
      <c r="G80" s="450">
        <f>+'Tables by type'!J208+'Tables by type'!K208</f>
        <v>0</v>
      </c>
      <c r="H80" s="106">
        <f>+'Tables by type'!J22+'Tables by type'!K22</f>
        <v>0</v>
      </c>
      <c r="I80" s="54"/>
      <c r="J80" s="54"/>
      <c r="K80" s="54"/>
      <c r="L80" s="54"/>
      <c r="M80" s="54"/>
    </row>
    <row r="81" spans="1:13" ht="15.75" customHeight="1">
      <c r="A81" s="9"/>
      <c r="B81" s="450"/>
      <c r="C81" s="450"/>
      <c r="D81" s="450"/>
      <c r="E81" s="450"/>
      <c r="F81" s="450"/>
      <c r="G81" s="450"/>
      <c r="H81" s="106"/>
      <c r="I81" s="54"/>
      <c r="J81" s="54"/>
      <c r="K81" s="54"/>
      <c r="L81" s="54"/>
      <c r="M81" s="54"/>
    </row>
    <row r="82" spans="1:13" ht="15.75" customHeight="1">
      <c r="A82" s="9" t="s">
        <v>430</v>
      </c>
      <c r="B82" s="450">
        <f>+'Tables by type'!J56+'Tables by type'!K56</f>
        <v>0</v>
      </c>
      <c r="C82" s="450">
        <f>+'Tables by type'!J87+'Tables by type'!K87</f>
        <v>0</v>
      </c>
      <c r="D82" s="450">
        <f>+'Tables by type'!J118+'Tables by type'!K118</f>
        <v>0</v>
      </c>
      <c r="E82" s="450">
        <f>+'Tables by type'!J149+'Tables by type'!K149</f>
        <v>0</v>
      </c>
      <c r="F82" s="450">
        <f>+'Tables by type'!J179+'Tables by type'!K179</f>
        <v>0</v>
      </c>
      <c r="G82" s="450">
        <f>+'Tables by type'!J210+'Tables by type'!K210</f>
        <v>0</v>
      </c>
      <c r="H82" s="106">
        <f>+'Tables by type'!J24+'Tables by type'!K24</f>
        <v>0</v>
      </c>
      <c r="I82" s="54"/>
      <c r="J82" s="54"/>
      <c r="K82" s="54"/>
      <c r="L82" s="54"/>
      <c r="M82" s="54"/>
    </row>
    <row r="83" spans="1:13" ht="15.75" customHeight="1">
      <c r="A83" s="9" t="s">
        <v>229</v>
      </c>
      <c r="B83" s="450">
        <f>+'Tables by type'!J57+'Tables by type'!K57</f>
        <v>94.51639342143025</v>
      </c>
      <c r="C83" s="450">
        <f>+'Tables by type'!J88+'Tables by type'!K88</f>
        <v>81.73645753090668</v>
      </c>
      <c r="D83" s="450">
        <f>+'Tables by type'!J119+'Tables by type'!K119</f>
        <v>89.49240749631721</v>
      </c>
      <c r="E83" s="450">
        <f>+'Tables by type'!J150+'Tables by type'!K150</f>
        <v>84.3419099455715</v>
      </c>
      <c r="F83" s="450">
        <f>+'Tables by type'!J180+'Tables by type'!K180</f>
        <v>44.61394353004148</v>
      </c>
      <c r="G83" s="450">
        <f>+'Tables by type'!J211+'Tables by type'!K211</f>
        <v>100</v>
      </c>
      <c r="H83" s="106">
        <f>+'Tables by type'!J25+'Tables by type'!K25</f>
        <v>89.85645280803054</v>
      </c>
      <c r="I83" s="54"/>
      <c r="J83" s="54"/>
      <c r="K83" s="54"/>
      <c r="L83" s="54"/>
      <c r="M83" s="54"/>
    </row>
    <row r="84" spans="1:13" ht="15.75" customHeight="1">
      <c r="A84" s="9" t="s">
        <v>431</v>
      </c>
      <c r="B84" s="450">
        <f>+'Tables by type'!J58+'Tables by type'!K58</f>
        <v>0</v>
      </c>
      <c r="C84" s="450">
        <f>+'Tables by type'!J89+'Tables by type'!K89</f>
        <v>0</v>
      </c>
      <c r="D84" s="450">
        <f>+'Tables by type'!J120+'Tables by type'!K120</f>
        <v>0</v>
      </c>
      <c r="E84" s="450">
        <f>+'Tables by type'!J151+'Tables by type'!K151</f>
        <v>0</v>
      </c>
      <c r="F84" s="450">
        <f>+'Tables by type'!J181+'Tables by type'!K181</f>
        <v>0</v>
      </c>
      <c r="G84" s="450">
        <f>+'Tables by type'!J212+'Tables by type'!K212</f>
        <v>0</v>
      </c>
      <c r="H84" s="106">
        <f>+'Tables by type'!J26+'Tables by type'!K26</f>
        <v>0</v>
      </c>
      <c r="I84" s="54"/>
      <c r="J84" s="54"/>
      <c r="K84" s="54"/>
      <c r="L84" s="54"/>
      <c r="M84" s="54"/>
    </row>
    <row r="85" spans="1:13" ht="15.75" customHeight="1">
      <c r="A85" s="10" t="s">
        <v>124</v>
      </c>
      <c r="B85" s="109">
        <f>+'Tables by type'!J59+'Tables by type'!K59</f>
        <v>89.2984673869917</v>
      </c>
      <c r="C85" s="109">
        <f>+'Tables by type'!J90+'Tables by type'!K90</f>
        <v>0</v>
      </c>
      <c r="D85" s="109">
        <f>+'Tables by type'!J121+'Tables by type'!K121</f>
        <v>80.44353376369044</v>
      </c>
      <c r="E85" s="109">
        <f>+'Tables by type'!J152+'Tables by type'!K152</f>
        <v>0</v>
      </c>
      <c r="F85" s="109">
        <f>+'Tables by type'!J182+'Tables by type'!K182</f>
        <v>0</v>
      </c>
      <c r="G85" s="109">
        <f>+'Tables by type'!J213+'Tables by type'!K213</f>
        <v>59.699484189280106</v>
      </c>
      <c r="H85" s="111">
        <f>+'Tables by type'!J27+'Tables by type'!K27</f>
        <v>85.60577197828366</v>
      </c>
      <c r="I85" s="54"/>
      <c r="J85" s="54"/>
      <c r="K85" s="54"/>
      <c r="L85" s="54"/>
      <c r="M85" s="54"/>
    </row>
    <row r="86" spans="10:13" s="61" customFormat="1" ht="11.25">
      <c r="J86" s="74"/>
      <c r="M86" s="74"/>
    </row>
    <row r="87" spans="1:13" s="61" customFormat="1" ht="27.75" customHeight="1">
      <c r="A87" s="677" t="s">
        <v>757</v>
      </c>
      <c r="B87" s="678"/>
      <c r="C87" s="678"/>
      <c r="D87" s="678"/>
      <c r="E87" s="678"/>
      <c r="F87" s="678"/>
      <c r="G87" s="678"/>
      <c r="H87" s="678"/>
      <c r="M87" s="74"/>
    </row>
    <row r="88" spans="8:13" s="61" customFormat="1" ht="11.25">
      <c r="H88" s="218" t="s">
        <v>766</v>
      </c>
      <c r="M88" s="74"/>
    </row>
    <row r="89" spans="1:13" ht="18">
      <c r="A89" s="31" t="s">
        <v>441</v>
      </c>
      <c r="B89" s="6"/>
      <c r="C89" s="6"/>
      <c r="D89" s="6"/>
      <c r="E89" s="6"/>
      <c r="F89" s="6"/>
      <c r="G89" s="16"/>
      <c r="H89" s="16"/>
      <c r="I89" s="16" t="s">
        <v>14</v>
      </c>
      <c r="J89" s="16"/>
      <c r="K89" s="16"/>
      <c r="L89" s="16"/>
      <c r="M89" s="53"/>
    </row>
    <row r="90" spans="1:13" s="9" customFormat="1" ht="12.75">
      <c r="A90" s="78"/>
      <c r="B90" s="8"/>
      <c r="C90" s="8"/>
      <c r="D90" s="8"/>
      <c r="E90" s="8"/>
      <c r="F90" s="8"/>
      <c r="G90" s="8"/>
      <c r="H90" s="8"/>
      <c r="I90" s="8"/>
      <c r="J90" s="8"/>
      <c r="K90" s="8"/>
      <c r="L90" s="8"/>
      <c r="M90" s="77"/>
    </row>
    <row r="91" spans="1:13" ht="18">
      <c r="A91" s="7" t="s">
        <v>471</v>
      </c>
      <c r="B91" s="6"/>
      <c r="C91" s="6"/>
      <c r="D91" s="6"/>
      <c r="E91" s="6"/>
      <c r="F91" s="6"/>
      <c r="G91" s="16"/>
      <c r="H91" s="16"/>
      <c r="I91" s="16" t="s">
        <v>14</v>
      </c>
      <c r="J91" s="16"/>
      <c r="K91" s="16"/>
      <c r="L91" s="16"/>
      <c r="M91" s="53"/>
    </row>
    <row r="92" spans="1:13" ht="15.75">
      <c r="A92" s="7" t="s">
        <v>729</v>
      </c>
      <c r="B92" s="8"/>
      <c r="C92" s="8"/>
      <c r="D92" s="8"/>
      <c r="E92" s="8"/>
      <c r="F92" s="8"/>
      <c r="G92" s="16"/>
      <c r="H92" s="16"/>
      <c r="I92" s="16" t="s">
        <v>14</v>
      </c>
      <c r="J92" s="16"/>
      <c r="K92" s="16"/>
      <c r="L92" s="16"/>
      <c r="M92" s="53"/>
    </row>
    <row r="93" spans="1:13" ht="15.75">
      <c r="A93" s="7"/>
      <c r="B93" s="8"/>
      <c r="C93" s="8"/>
      <c r="D93" s="8"/>
      <c r="E93" s="8"/>
      <c r="F93" s="8"/>
      <c r="G93" s="16"/>
      <c r="H93" s="16"/>
      <c r="I93" s="16"/>
      <c r="J93" s="16"/>
      <c r="K93" s="16"/>
      <c r="L93" s="16"/>
      <c r="M93" s="53"/>
    </row>
    <row r="94" spans="1:14" s="82" customFormat="1" ht="12.75">
      <c r="A94" s="19"/>
      <c r="B94" s="682" t="s">
        <v>121</v>
      </c>
      <c r="C94" s="682"/>
      <c r="D94" s="682"/>
      <c r="E94" s="682"/>
      <c r="F94" s="682"/>
      <c r="G94" s="682"/>
      <c r="H94" s="682"/>
      <c r="I94" s="679"/>
      <c r="J94" s="679"/>
      <c r="K94" s="679"/>
      <c r="L94" s="679"/>
      <c r="M94" s="83"/>
      <c r="N94" s="83"/>
    </row>
    <row r="95" spans="1:14" s="82" customFormat="1" ht="12.75">
      <c r="A95" s="19"/>
      <c r="B95" s="79">
        <v>1</v>
      </c>
      <c r="C95" s="79">
        <v>2</v>
      </c>
      <c r="D95" s="79">
        <v>3</v>
      </c>
      <c r="E95" s="79">
        <v>4</v>
      </c>
      <c r="F95" s="79">
        <v>5</v>
      </c>
      <c r="G95" s="79">
        <v>6</v>
      </c>
      <c r="H95" s="80" t="s">
        <v>461</v>
      </c>
      <c r="I95" s="83"/>
      <c r="J95" s="83"/>
      <c r="K95" s="83"/>
      <c r="L95" s="83"/>
      <c r="M95" s="83"/>
      <c r="N95" s="83"/>
    </row>
    <row r="96" spans="1:14" ht="15.75" customHeight="1">
      <c r="A96" s="9" t="s">
        <v>421</v>
      </c>
      <c r="B96" s="104">
        <f>+'Tables by type'!L41</f>
        <v>13.84994412272681</v>
      </c>
      <c r="C96" s="104">
        <f>+'Tables by type'!L72</f>
        <v>0</v>
      </c>
      <c r="D96" s="104">
        <f>+'Tables by type'!L103</f>
        <v>11.42449016806978</v>
      </c>
      <c r="E96" s="104">
        <f>+'Tables by type'!L134</f>
        <v>40.51557777966575</v>
      </c>
      <c r="F96" s="104">
        <f>+'Tables by type'!L164</f>
        <v>46.510299816438916</v>
      </c>
      <c r="G96" s="104">
        <f>+'Tables by type'!L195</f>
        <v>0</v>
      </c>
      <c r="H96" s="106">
        <f>+'Tables by type'!L9</f>
        <v>30.134555175435167</v>
      </c>
      <c r="I96" s="54"/>
      <c r="J96" s="54"/>
      <c r="K96" s="54"/>
      <c r="L96" s="54"/>
      <c r="M96" s="54"/>
      <c r="N96" s="1"/>
    </row>
    <row r="97" spans="1:14" ht="15.75" customHeight="1">
      <c r="A97" s="9" t="s">
        <v>422</v>
      </c>
      <c r="B97" s="104">
        <f>+'Tables by type'!L42</f>
        <v>9.335282534757443</v>
      </c>
      <c r="C97" s="104">
        <f>+'Tables by type'!L73</f>
        <v>0</v>
      </c>
      <c r="D97" s="104">
        <f>+'Tables by type'!L104</f>
        <v>13.760062611806799</v>
      </c>
      <c r="E97" s="104">
        <f>+'Tables by type'!L135</f>
        <v>0</v>
      </c>
      <c r="F97" s="104">
        <f>+'Tables by type'!L165</f>
        <v>7.810178700284392</v>
      </c>
      <c r="G97" s="104">
        <f>+'Tables by type'!L196</f>
        <v>40.524781341107875</v>
      </c>
      <c r="H97" s="106">
        <f>+'Tables by type'!L10</f>
        <v>12.144940058321632</v>
      </c>
      <c r="I97" s="54"/>
      <c r="J97" s="54"/>
      <c r="K97" s="54"/>
      <c r="L97" s="54"/>
      <c r="M97" s="54"/>
      <c r="N97" s="1"/>
    </row>
    <row r="98" spans="1:14" ht="15.75" customHeight="1">
      <c r="A98" s="9" t="s">
        <v>423</v>
      </c>
      <c r="B98" s="104">
        <f>+'Tables by type'!L43</f>
        <v>2.172870792096161</v>
      </c>
      <c r="C98" s="104">
        <f>+'Tables by type'!L74</f>
        <v>0</v>
      </c>
      <c r="D98" s="104">
        <f>+'Tables by type'!L105</f>
        <v>0</v>
      </c>
      <c r="E98" s="104">
        <f>+'Tables by type'!L136</f>
        <v>0</v>
      </c>
      <c r="F98" s="104">
        <f>+'Tables by type'!L166</f>
        <v>0</v>
      </c>
      <c r="G98" s="104">
        <f>+'Tables by type'!L197</f>
        <v>0</v>
      </c>
      <c r="H98" s="106">
        <f>+'Tables by type'!L11</f>
        <v>2.172870792096161</v>
      </c>
      <c r="I98" s="54"/>
      <c r="J98" s="54"/>
      <c r="K98" s="54"/>
      <c r="L98" s="54"/>
      <c r="M98" s="54"/>
      <c r="N98" s="1"/>
    </row>
    <row r="99" spans="1:14" ht="15.75" customHeight="1">
      <c r="A99" s="9" t="s">
        <v>750</v>
      </c>
      <c r="B99" s="104">
        <f>+'Tables by type'!L44</f>
        <v>11.748453411686999</v>
      </c>
      <c r="C99" s="104">
        <f>+'Tables by type'!L75</f>
        <v>18.343491921776007</v>
      </c>
      <c r="D99" s="104">
        <f>+'Tables by type'!L106</f>
        <v>5.988774709114983</v>
      </c>
      <c r="E99" s="104">
        <f>+'Tables by type'!L137</f>
        <v>0</v>
      </c>
      <c r="F99" s="104">
        <f>+'Tables by type'!L167</f>
        <v>29.585877355986195</v>
      </c>
      <c r="G99" s="104">
        <f>+'Tables by type'!L198</f>
        <v>0</v>
      </c>
      <c r="H99" s="106">
        <f>+'Tables by type'!L12</f>
        <v>13.482587166308496</v>
      </c>
      <c r="I99" s="54"/>
      <c r="J99" s="54"/>
      <c r="K99" s="54"/>
      <c r="L99" s="54"/>
      <c r="M99" s="54"/>
      <c r="N99" s="1"/>
    </row>
    <row r="100" spans="1:14" ht="15.75" customHeight="1">
      <c r="A100" s="9"/>
      <c r="B100" s="104">
        <f>+'Tables by type'!L45</f>
        <v>0</v>
      </c>
      <c r="C100" s="104">
        <f>+'Tables by type'!L76</f>
        <v>0</v>
      </c>
      <c r="D100" s="104">
        <f>+'Tables by type'!L107</f>
        <v>0</v>
      </c>
      <c r="E100" s="104">
        <f>+'Tables by type'!L138</f>
        <v>0</v>
      </c>
      <c r="F100" s="104">
        <f>+'Tables by type'!L168</f>
        <v>0</v>
      </c>
      <c r="G100" s="104">
        <f>+'Tables by type'!L199</f>
        <v>0</v>
      </c>
      <c r="H100" s="106"/>
      <c r="I100" s="54"/>
      <c r="J100" s="54"/>
      <c r="K100" s="54"/>
      <c r="L100" s="54"/>
      <c r="M100" s="54"/>
      <c r="N100" s="1"/>
    </row>
    <row r="101" spans="1:14" ht="15.75" customHeight="1">
      <c r="A101" s="9" t="s">
        <v>425</v>
      </c>
      <c r="B101" s="104">
        <f>+'Tables by type'!L46</f>
        <v>3.4196682124782756</v>
      </c>
      <c r="C101" s="104">
        <f>+'Tables by type'!L77</f>
        <v>1.611794288567128</v>
      </c>
      <c r="D101" s="104">
        <f>+'Tables by type'!L108</f>
        <v>27.30413309720386</v>
      </c>
      <c r="E101" s="104">
        <f>+'Tables by type'!L139</f>
        <v>9.102565610700042</v>
      </c>
      <c r="F101" s="107">
        <f>+'Tables by type'!L169</f>
        <v>6.197548091298714</v>
      </c>
      <c r="G101" s="104">
        <f>+'Tables by type'!L200</f>
        <v>0</v>
      </c>
      <c r="H101" s="106">
        <f>+'Tables by type'!L14</f>
        <v>6.19470022244064</v>
      </c>
      <c r="I101" s="54"/>
      <c r="J101" s="54"/>
      <c r="K101" s="54"/>
      <c r="L101" s="54"/>
      <c r="M101" s="54"/>
      <c r="N101" s="1"/>
    </row>
    <row r="102" spans="1:14" ht="15.75" customHeight="1">
      <c r="A102" s="9" t="s">
        <v>426</v>
      </c>
      <c r="B102" s="104">
        <f>+'Tables by type'!L47</f>
        <v>5.675462415001508</v>
      </c>
      <c r="C102" s="104">
        <f>+'Tables by type'!L78</f>
        <v>8.174478113539067</v>
      </c>
      <c r="D102" s="107">
        <f>+'Tables by type'!L109</f>
        <v>23.315284695417937</v>
      </c>
      <c r="E102" s="104">
        <f>+'Tables by type'!L140</f>
        <v>18.033229043046713</v>
      </c>
      <c r="F102" s="104">
        <f>+'Tables by type'!L170</f>
        <v>4.324843825084095</v>
      </c>
      <c r="G102" s="104">
        <f>+'Tables by type'!L201</f>
        <v>0</v>
      </c>
      <c r="H102" s="106">
        <f>+'Tables by type'!L15</f>
        <v>14.305158317775918</v>
      </c>
      <c r="I102" s="54"/>
      <c r="J102" s="54"/>
      <c r="K102" s="54"/>
      <c r="L102" s="54"/>
      <c r="M102" s="54"/>
      <c r="N102" s="1"/>
    </row>
    <row r="103" spans="1:14" ht="15.75" customHeight="1">
      <c r="A103" s="9" t="s">
        <v>427</v>
      </c>
      <c r="B103" s="104">
        <f>+'Tables by type'!L48</f>
        <v>2.4107470699209506</v>
      </c>
      <c r="C103" s="104">
        <f>+'Tables by type'!L79</f>
        <v>4.466057084409802</v>
      </c>
      <c r="D103" s="104">
        <f>+'Tables by type'!L110</f>
        <v>1.840843720038351</v>
      </c>
      <c r="E103" s="104">
        <f>+'Tables by type'!L141</f>
        <v>17.963244266254947</v>
      </c>
      <c r="F103" s="104">
        <f>+'Tables by type'!L171</f>
        <v>1.2065749591979482</v>
      </c>
      <c r="G103" s="104">
        <f>+'Tables by type'!L202</f>
        <v>0</v>
      </c>
      <c r="H103" s="106">
        <f>+'Tables by type'!L16</f>
        <v>6.2853285292148</v>
      </c>
      <c r="I103" s="54"/>
      <c r="J103" s="54"/>
      <c r="K103" s="54"/>
      <c r="L103" s="54"/>
      <c r="M103" s="54"/>
      <c r="N103" s="1"/>
    </row>
    <row r="104" spans="1:14" ht="15.75" customHeight="1">
      <c r="A104" s="9" t="s">
        <v>475</v>
      </c>
      <c r="B104" s="104">
        <f>+'Tables by type'!L49</f>
        <v>0.9398929876392538</v>
      </c>
      <c r="C104" s="104">
        <f>+'Tables by type'!L80</f>
        <v>11.999819347845724</v>
      </c>
      <c r="D104" s="104">
        <f>+'Tables by type'!L111</f>
        <v>2.000083598060525</v>
      </c>
      <c r="E104" s="104">
        <f>+'Tables by type'!L142</f>
        <v>7.023808191271449</v>
      </c>
      <c r="F104" s="104">
        <f>+'Tables by type'!L172</f>
        <v>0</v>
      </c>
      <c r="G104" s="104">
        <f>+'Tables by type'!L203</f>
        <v>0</v>
      </c>
      <c r="H104" s="106">
        <f>+'Tables by type'!L17</f>
        <v>23.135558866027843</v>
      </c>
      <c r="I104" s="54"/>
      <c r="J104" s="54"/>
      <c r="K104" s="54"/>
      <c r="L104" s="54"/>
      <c r="M104" s="54"/>
      <c r="N104" s="1"/>
    </row>
    <row r="105" spans="1:14" ht="15.75" customHeight="1">
      <c r="A105" s="9"/>
      <c r="B105" s="104">
        <f>+'Tables by type'!L50</f>
        <v>0</v>
      </c>
      <c r="C105" s="104">
        <f>+'Tables by type'!L81</f>
        <v>0</v>
      </c>
      <c r="D105" s="104">
        <f>+'Tables by type'!L112</f>
        <v>0</v>
      </c>
      <c r="E105" s="104">
        <f>+'Tables by type'!L143</f>
        <v>0</v>
      </c>
      <c r="F105" s="104">
        <f>+'Tables by type'!L173</f>
        <v>0</v>
      </c>
      <c r="G105" s="104">
        <f>+'Tables by type'!L204</f>
        <v>0</v>
      </c>
      <c r="H105" s="106"/>
      <c r="I105" s="54"/>
      <c r="J105" s="54"/>
      <c r="K105" s="54"/>
      <c r="L105" s="54"/>
      <c r="M105" s="54"/>
      <c r="N105" s="1"/>
    </row>
    <row r="106" spans="1:14" ht="15.75" customHeight="1">
      <c r="A106" s="9" t="s">
        <v>122</v>
      </c>
      <c r="B106" s="104">
        <f>+'Tables by type'!L51</f>
        <v>10.534454923952758</v>
      </c>
      <c r="C106" s="104">
        <f>+'Tables by type'!L82</f>
        <v>8.566492067936435</v>
      </c>
      <c r="D106" s="104">
        <f>+'Tables by type'!L113</f>
        <v>0</v>
      </c>
      <c r="E106" s="107">
        <f>+'Tables by type'!L144</f>
        <v>9.487883882077986</v>
      </c>
      <c r="F106" s="104">
        <f>+'Tables by type'!L174</f>
        <v>3.3333333333333335</v>
      </c>
      <c r="G106" s="104">
        <f>+'Tables by type'!L205</f>
        <v>0</v>
      </c>
      <c r="H106" s="106">
        <f>+'Tables by type'!L19</f>
        <v>8.900243005794753</v>
      </c>
      <c r="I106" s="54"/>
      <c r="J106" s="54"/>
      <c r="K106" s="54"/>
      <c r="L106" s="54"/>
      <c r="M106" s="54"/>
      <c r="N106" s="1"/>
    </row>
    <row r="107" spans="1:14" ht="15.75" customHeight="1">
      <c r="A107" s="9" t="s">
        <v>130</v>
      </c>
      <c r="B107" s="104">
        <f>+'Tables by type'!L52</f>
        <v>4.204543357507982</v>
      </c>
      <c r="C107" s="104">
        <f>+'Tables by type'!L83</f>
        <v>12.050080517634088</v>
      </c>
      <c r="D107" s="104">
        <f>+'Tables by type'!L114</f>
        <v>16.027680871762158</v>
      </c>
      <c r="E107" s="104">
        <f>+'Tables by type'!L145</f>
        <v>11.232736572890026</v>
      </c>
      <c r="F107" s="104">
        <f>+'Tables by type'!L175</f>
        <v>28.56993190151912</v>
      </c>
      <c r="G107" s="104">
        <f>+'Tables by type'!L206</f>
        <v>0.8013496415014763</v>
      </c>
      <c r="H107" s="106">
        <f>+'Tables by type'!L20</f>
        <v>10.597371602049051</v>
      </c>
      <c r="I107" s="54"/>
      <c r="J107" s="54"/>
      <c r="K107" s="54"/>
      <c r="L107" s="54"/>
      <c r="M107" s="54"/>
      <c r="N107" s="1"/>
    </row>
    <row r="108" spans="1:14" ht="15.75" customHeight="1">
      <c r="A108" s="9" t="s">
        <v>123</v>
      </c>
      <c r="B108" s="450">
        <f>+'Tables by type'!L53</f>
        <v>8.15803211353897</v>
      </c>
      <c r="C108" s="450">
        <f>+'Tables by type'!L84</f>
        <v>0</v>
      </c>
      <c r="D108" s="450">
        <f>+'Tables by type'!L115</f>
        <v>4.05704040361923</v>
      </c>
      <c r="E108" s="450">
        <f>+'Tables by type'!L146</f>
        <v>1.893082509822598</v>
      </c>
      <c r="F108" s="450">
        <f>+'Tables by type'!L176</f>
        <v>11.780021123474075</v>
      </c>
      <c r="G108" s="450">
        <f>+'Tables by type'!L207</f>
        <v>0</v>
      </c>
      <c r="H108" s="106">
        <f>+'Tables by type'!L21</f>
        <v>7.938611407551609</v>
      </c>
      <c r="I108" s="54"/>
      <c r="J108" s="54"/>
      <c r="K108" s="54"/>
      <c r="L108" s="54"/>
      <c r="M108" s="54"/>
      <c r="N108" s="1"/>
    </row>
    <row r="109" spans="1:14" ht="15.75" customHeight="1">
      <c r="A109" s="9" t="s">
        <v>429</v>
      </c>
      <c r="B109" s="450">
        <f>+'Tables by type'!L54</f>
        <v>0</v>
      </c>
      <c r="C109" s="450">
        <f>+'Tables by type'!L85</f>
        <v>0</v>
      </c>
      <c r="D109" s="450">
        <f>+'Tables by type'!L116</f>
        <v>0</v>
      </c>
      <c r="E109" s="450">
        <f>+'Tables by type'!L147</f>
        <v>0</v>
      </c>
      <c r="F109" s="450">
        <f>+'Tables by type'!L177</f>
        <v>0</v>
      </c>
      <c r="G109" s="450">
        <f>+'Tables by type'!L208</f>
        <v>0</v>
      </c>
      <c r="H109" s="106">
        <f>+'Tables by type'!L22</f>
        <v>0</v>
      </c>
      <c r="I109" s="54"/>
      <c r="J109" s="54"/>
      <c r="K109" s="54"/>
      <c r="L109" s="54"/>
      <c r="M109" s="54"/>
      <c r="N109" s="1"/>
    </row>
    <row r="110" spans="1:14" ht="15.75" customHeight="1">
      <c r="A110" s="9"/>
      <c r="B110" s="450"/>
      <c r="C110" s="450"/>
      <c r="D110" s="450"/>
      <c r="E110" s="450"/>
      <c r="F110" s="450"/>
      <c r="G110" s="450"/>
      <c r="H110" s="106"/>
      <c r="I110" s="54"/>
      <c r="J110" s="54"/>
      <c r="K110" s="54"/>
      <c r="L110" s="54"/>
      <c r="M110" s="54"/>
      <c r="N110" s="1"/>
    </row>
    <row r="111" spans="1:14" ht="15.75" customHeight="1">
      <c r="A111" s="9" t="s">
        <v>430</v>
      </c>
      <c r="B111" s="450">
        <f>+'Tables by type'!L56</f>
        <v>0</v>
      </c>
      <c r="C111" s="450">
        <f>+'Tables by type'!L87</f>
        <v>0</v>
      </c>
      <c r="D111" s="450">
        <f>+'Tables by type'!L118</f>
        <v>0</v>
      </c>
      <c r="E111" s="450">
        <f>+'Tables by type'!L149</f>
        <v>0</v>
      </c>
      <c r="F111" s="450">
        <f>+'Tables by type'!L179</f>
        <v>0</v>
      </c>
      <c r="G111" s="450">
        <f>+'Tables by type'!L210</f>
        <v>0</v>
      </c>
      <c r="H111" s="106">
        <f>+'Tables by type'!L24</f>
        <v>0</v>
      </c>
      <c r="I111" s="54"/>
      <c r="J111" s="54"/>
      <c r="K111" s="54"/>
      <c r="L111" s="54"/>
      <c r="M111" s="54"/>
      <c r="N111" s="1"/>
    </row>
    <row r="112" spans="1:14" ht="15.75" customHeight="1">
      <c r="A112" s="9" t="s">
        <v>229</v>
      </c>
      <c r="B112" s="450">
        <f>+'Tables by type'!L57</f>
        <v>5.483606578569748</v>
      </c>
      <c r="C112" s="450">
        <f>+'Tables by type'!L88</f>
        <v>18.26354246909333</v>
      </c>
      <c r="D112" s="450">
        <f>+'Tables by type'!L119</f>
        <v>10.507592503682778</v>
      </c>
      <c r="E112" s="450">
        <f>+'Tables by type'!L150</f>
        <v>15.6580900544285</v>
      </c>
      <c r="F112" s="450">
        <f>+'Tables by type'!L180</f>
        <v>55.38605646995852</v>
      </c>
      <c r="G112" s="450">
        <f>+'Tables by type'!L211</f>
        <v>0</v>
      </c>
      <c r="H112" s="106">
        <f>+'Tables by type'!L25</f>
        <v>10.143547191969468</v>
      </c>
      <c r="I112" s="54"/>
      <c r="J112" s="54"/>
      <c r="K112" s="54"/>
      <c r="L112" s="54"/>
      <c r="M112" s="54"/>
      <c r="N112" s="1"/>
    </row>
    <row r="113" spans="1:14" ht="15.75" customHeight="1">
      <c r="A113" s="9" t="s">
        <v>431</v>
      </c>
      <c r="B113" s="450">
        <f>+'Tables by type'!L58</f>
        <v>0</v>
      </c>
      <c r="C113" s="450">
        <f>+'Tables by type'!L89</f>
        <v>0</v>
      </c>
      <c r="D113" s="450">
        <f>+'Tables by type'!L120</f>
        <v>0</v>
      </c>
      <c r="E113" s="450">
        <f>+'Tables by type'!L151</f>
        <v>0</v>
      </c>
      <c r="F113" s="450">
        <f>+'Tables by type'!L181</f>
        <v>0</v>
      </c>
      <c r="G113" s="450">
        <f>+'Tables by type'!L212</f>
        <v>0</v>
      </c>
      <c r="H113" s="106">
        <f>+'Tables by type'!L26</f>
        <v>0</v>
      </c>
      <c r="I113" s="54"/>
      <c r="J113" s="54"/>
      <c r="K113" s="54"/>
      <c r="L113" s="54"/>
      <c r="M113" s="54"/>
      <c r="N113" s="1"/>
    </row>
    <row r="114" spans="1:14" ht="15.75" customHeight="1">
      <c r="A114" s="10" t="s">
        <v>124</v>
      </c>
      <c r="B114" s="109">
        <f>+'Tables by type'!L59</f>
        <v>10.701532613008295</v>
      </c>
      <c r="C114" s="109">
        <f>+'Tables by type'!L90</f>
        <v>0</v>
      </c>
      <c r="D114" s="109">
        <f>+'Tables by type'!L121</f>
        <v>19.556466236309564</v>
      </c>
      <c r="E114" s="109">
        <f>+'Tables by type'!L152</f>
        <v>0</v>
      </c>
      <c r="F114" s="109">
        <f>+'Tables by type'!L182</f>
        <v>0</v>
      </c>
      <c r="G114" s="109">
        <f>+'Tables by type'!L213</f>
        <v>40.300515810719894</v>
      </c>
      <c r="H114" s="111">
        <f>+'Tables by type'!L27</f>
        <v>14.394228021716355</v>
      </c>
      <c r="I114" s="54"/>
      <c r="J114" s="54"/>
      <c r="K114" s="54"/>
      <c r="L114" s="54"/>
      <c r="M114" s="54"/>
      <c r="N114" s="1"/>
    </row>
    <row r="115" spans="1:14" s="60" customFormat="1" ht="27.75" customHeight="1">
      <c r="A115" s="680" t="s">
        <v>754</v>
      </c>
      <c r="B115" s="681"/>
      <c r="C115" s="681"/>
      <c r="D115" s="681"/>
      <c r="E115" s="681"/>
      <c r="F115" s="681"/>
      <c r="G115" s="681"/>
      <c r="H115" s="681"/>
      <c r="I115" s="73"/>
      <c r="J115" s="73"/>
      <c r="K115" s="73"/>
      <c r="L115" s="73"/>
      <c r="M115" s="73"/>
      <c r="N115" s="72"/>
    </row>
    <row r="116" spans="1:14" s="60" customFormat="1" ht="15.75" customHeight="1">
      <c r="A116" s="677" t="s">
        <v>755</v>
      </c>
      <c r="B116" s="678"/>
      <c r="C116" s="678"/>
      <c r="D116" s="678"/>
      <c r="E116" s="678"/>
      <c r="F116" s="678"/>
      <c r="G116" s="678"/>
      <c r="H116" s="678"/>
      <c r="I116" s="72"/>
      <c r="J116" s="72"/>
      <c r="K116" s="72"/>
      <c r="L116" s="72"/>
      <c r="M116" s="72"/>
      <c r="N116" s="72"/>
    </row>
    <row r="117" spans="1:16" s="60" customFormat="1" ht="13.5" customHeight="1">
      <c r="A117" s="474"/>
      <c r="B117" s="566"/>
      <c r="C117" s="566"/>
      <c r="D117" s="566"/>
      <c r="E117" s="566"/>
      <c r="F117" s="566"/>
      <c r="G117" s="566"/>
      <c r="H117" s="566"/>
      <c r="I117" s="566"/>
      <c r="J117" s="566"/>
      <c r="K117" s="566"/>
      <c r="L117" s="566"/>
      <c r="M117" s="566"/>
      <c r="N117" s="566"/>
      <c r="O117" s="566"/>
      <c r="P117" s="566"/>
    </row>
    <row r="118" spans="8:14" s="60" customFormat="1" ht="11.25">
      <c r="H118" s="218" t="s">
        <v>766</v>
      </c>
      <c r="I118" s="72"/>
      <c r="J118" s="72"/>
      <c r="K118" s="72"/>
      <c r="L118" s="72"/>
      <c r="M118" s="72"/>
      <c r="N118" s="72"/>
    </row>
  </sheetData>
  <mergeCells count="11">
    <mergeCell ref="B5:H5"/>
    <mergeCell ref="I5:M5"/>
    <mergeCell ref="B65:H65"/>
    <mergeCell ref="B94:H94"/>
    <mergeCell ref="A29:P29"/>
    <mergeCell ref="A31:P31"/>
    <mergeCell ref="A56:P56"/>
    <mergeCell ref="A116:H116"/>
    <mergeCell ref="A87:H87"/>
    <mergeCell ref="I94:L94"/>
    <mergeCell ref="A115:H115"/>
  </mergeCells>
  <printOptions horizontalCentered="1"/>
  <pageMargins left="0.5" right="0.5" top="1" bottom="1" header="0.75" footer="0.5"/>
  <pageSetup firstPageNumber="56" useFirstPageNumber="1" horizontalDpi="600" verticalDpi="600" orientation="landscape" r:id="rId1"/>
  <headerFooter alignWithMargins="0">
    <oddHeader>&amp;R&amp;8SREB-State Data Exchange</oddHeader>
    <oddFooter>&amp;C&amp;P</oddFooter>
  </headerFooter>
  <rowBreaks count="3" manualBreakCount="3">
    <brk id="28" max="15" man="1"/>
    <brk id="58" max="15" man="1"/>
    <brk id="88" max="15" man="1"/>
  </rowBreaks>
</worksheet>
</file>

<file path=xl/worksheets/sheet5.xml><?xml version="1.0" encoding="utf-8"?>
<worksheet xmlns="http://schemas.openxmlformats.org/spreadsheetml/2006/main" xmlns:r="http://schemas.openxmlformats.org/officeDocument/2006/relationships">
  <sheetPr>
    <tabColor indexed="16"/>
  </sheetPr>
  <dimension ref="A1:AO534"/>
  <sheetViews>
    <sheetView showGridLines="0" showZeros="0" tabSelected="1" view="pageBreakPreview" zoomScale="85" zoomScaleSheetLayoutView="85" workbookViewId="0" topLeftCell="I1">
      <selection activeCell="Q112" sqref="Q112"/>
    </sheetView>
  </sheetViews>
  <sheetFormatPr defaultColWidth="9.140625" defaultRowHeight="12.75"/>
  <cols>
    <col min="1" max="1" width="13.421875" style="38" customWidth="1"/>
    <col min="2" max="3" width="9.421875" style="38" bestFit="1" customWidth="1"/>
    <col min="4" max="4" width="9.8515625" style="38" bestFit="1" customWidth="1"/>
    <col min="5" max="5" width="5.7109375" style="38" bestFit="1" customWidth="1"/>
    <col min="6" max="6" width="11.421875" style="38" customWidth="1"/>
    <col min="7" max="7" width="7.8515625" style="38" bestFit="1" customWidth="1"/>
    <col min="8" max="8" width="12.28125" style="40" bestFit="1" customWidth="1"/>
    <col min="9" max="9" width="13.00390625" style="44" customWidth="1"/>
    <col min="10" max="11" width="9.00390625" style="38" customWidth="1"/>
    <col min="12" max="12" width="10.00390625" style="38" bestFit="1" customWidth="1"/>
    <col min="13" max="13" width="6.421875" style="38" bestFit="1" customWidth="1"/>
    <col min="14" max="14" width="11.28125" style="38" customWidth="1"/>
    <col min="15" max="15" width="7.8515625" style="38" bestFit="1" customWidth="1"/>
    <col min="16" max="16" width="12.28125" style="38" bestFit="1" customWidth="1"/>
    <col min="17" max="17" width="11.57421875" style="57" bestFit="1" customWidth="1"/>
    <col min="18" max="18" width="11.57421875" style="26" bestFit="1" customWidth="1"/>
    <col min="19" max="16384" width="9.140625" style="38" customWidth="1"/>
  </cols>
  <sheetData>
    <row r="1" spans="1:18" ht="18">
      <c r="A1" s="31" t="s">
        <v>545</v>
      </c>
      <c r="B1" s="32"/>
      <c r="C1" s="32"/>
      <c r="D1" s="32"/>
      <c r="E1" s="32"/>
      <c r="F1" s="32"/>
      <c r="G1" s="32"/>
      <c r="H1" s="46"/>
      <c r="I1" s="31" t="s">
        <v>456</v>
      </c>
      <c r="J1" s="33"/>
      <c r="K1" s="33"/>
      <c r="L1" s="32"/>
      <c r="M1" s="33"/>
      <c r="N1" s="33"/>
      <c r="O1" s="33"/>
      <c r="P1" s="33"/>
      <c r="Q1" s="55"/>
      <c r="R1" s="56"/>
    </row>
    <row r="2" spans="1:24" ht="12.75">
      <c r="A2" s="78"/>
      <c r="B2" s="33"/>
      <c r="C2" s="33"/>
      <c r="D2" s="33"/>
      <c r="E2" s="33"/>
      <c r="F2" s="33"/>
      <c r="G2" s="33"/>
      <c r="H2" s="43"/>
      <c r="I2" s="78"/>
      <c r="J2" s="33"/>
      <c r="K2" s="33"/>
      <c r="L2" s="33"/>
      <c r="M2" s="33"/>
      <c r="N2" s="33"/>
      <c r="O2" s="33"/>
      <c r="P2" s="33"/>
      <c r="Q2" s="692"/>
      <c r="R2" s="689"/>
      <c r="S2" s="689"/>
      <c r="T2" s="689"/>
      <c r="U2" s="689"/>
      <c r="V2" s="689"/>
      <c r="W2" s="689"/>
      <c r="X2" s="689"/>
    </row>
    <row r="3" spans="1:18" ht="15.75">
      <c r="A3" s="42" t="s">
        <v>465</v>
      </c>
      <c r="B3" s="33"/>
      <c r="C3" s="33"/>
      <c r="D3" s="33"/>
      <c r="E3" s="33"/>
      <c r="F3" s="33"/>
      <c r="G3" s="33"/>
      <c r="H3" s="43"/>
      <c r="I3" s="42" t="s">
        <v>466</v>
      </c>
      <c r="J3" s="33"/>
      <c r="K3" s="33"/>
      <c r="L3" s="33"/>
      <c r="M3" s="33"/>
      <c r="N3" s="33"/>
      <c r="O3" s="33"/>
      <c r="P3" s="33"/>
      <c r="R3" s="58" t="s">
        <v>14</v>
      </c>
    </row>
    <row r="4" spans="1:18" ht="15.75">
      <c r="A4" s="42" t="s">
        <v>730</v>
      </c>
      <c r="B4" s="33"/>
      <c r="C4" s="33"/>
      <c r="D4" s="33"/>
      <c r="E4" s="33"/>
      <c r="F4" s="33"/>
      <c r="G4" s="33"/>
      <c r="H4" s="43"/>
      <c r="I4" s="42" t="s">
        <v>730</v>
      </c>
      <c r="J4" s="33"/>
      <c r="K4" s="33"/>
      <c r="L4" s="33"/>
      <c r="M4" s="33"/>
      <c r="N4" s="33"/>
      <c r="O4" s="33"/>
      <c r="P4" s="33"/>
      <c r="R4" s="58" t="s">
        <v>14</v>
      </c>
    </row>
    <row r="5" spans="1:16" ht="12.75">
      <c r="A5" s="34"/>
      <c r="B5" s="35"/>
      <c r="C5" s="35"/>
      <c r="D5" s="35"/>
      <c r="E5" s="35"/>
      <c r="F5" s="35"/>
      <c r="G5" s="35"/>
      <c r="H5" s="35"/>
      <c r="I5" s="36"/>
      <c r="L5" s="37"/>
      <c r="P5" s="34"/>
    </row>
    <row r="6" spans="1:18" s="90" customFormat="1" ht="12">
      <c r="A6" s="85"/>
      <c r="B6" s="86" t="s">
        <v>231</v>
      </c>
      <c r="C6" s="86"/>
      <c r="D6" s="86"/>
      <c r="E6" s="86"/>
      <c r="F6" s="86"/>
      <c r="G6" s="86"/>
      <c r="H6" s="87"/>
      <c r="I6" s="85"/>
      <c r="J6" s="86" t="s">
        <v>231</v>
      </c>
      <c r="K6" s="86"/>
      <c r="L6" s="86"/>
      <c r="M6" s="86"/>
      <c r="N6" s="86"/>
      <c r="O6" s="86"/>
      <c r="P6" s="87"/>
      <c r="Q6" s="88"/>
      <c r="R6" s="89"/>
    </row>
    <row r="7" spans="1:18" s="90" customFormat="1" ht="12">
      <c r="A7" s="85"/>
      <c r="B7" s="86" t="s">
        <v>127</v>
      </c>
      <c r="C7" s="86"/>
      <c r="D7" s="690" t="s">
        <v>472</v>
      </c>
      <c r="E7" s="691"/>
      <c r="F7" s="691"/>
      <c r="G7" s="691"/>
      <c r="H7" s="91" t="s">
        <v>14</v>
      </c>
      <c r="I7" s="85"/>
      <c r="J7" s="86" t="s">
        <v>127</v>
      </c>
      <c r="K7" s="86"/>
      <c r="L7" s="690" t="s">
        <v>472</v>
      </c>
      <c r="M7" s="691"/>
      <c r="N7" s="691"/>
      <c r="O7" s="691"/>
      <c r="P7" s="91" t="s">
        <v>14</v>
      </c>
      <c r="Q7" s="88"/>
      <c r="R7" s="89"/>
    </row>
    <row r="8" spans="1:20" s="90" customFormat="1" ht="40.5" customHeight="1">
      <c r="A8" s="85"/>
      <c r="B8" s="92" t="s">
        <v>464</v>
      </c>
      <c r="C8" s="93" t="s">
        <v>463</v>
      </c>
      <c r="D8" s="94" t="s">
        <v>470</v>
      </c>
      <c r="E8" s="95" t="s">
        <v>12</v>
      </c>
      <c r="F8" s="92" t="s">
        <v>128</v>
      </c>
      <c r="G8" s="96" t="s">
        <v>474</v>
      </c>
      <c r="H8" s="97" t="s">
        <v>473</v>
      </c>
      <c r="I8" s="85"/>
      <c r="J8" s="92" t="s">
        <v>464</v>
      </c>
      <c r="K8" s="93" t="s">
        <v>463</v>
      </c>
      <c r="L8" s="94" t="s">
        <v>470</v>
      </c>
      <c r="M8" s="95" t="s">
        <v>12</v>
      </c>
      <c r="N8" s="92" t="s">
        <v>128</v>
      </c>
      <c r="O8" s="96" t="s">
        <v>474</v>
      </c>
      <c r="P8" s="97" t="s">
        <v>473</v>
      </c>
      <c r="Q8" s="98" t="s">
        <v>129</v>
      </c>
      <c r="R8" s="99" t="s">
        <v>129</v>
      </c>
      <c r="T8" s="100"/>
    </row>
    <row r="9" spans="1:41" ht="15.75" customHeight="1">
      <c r="A9" s="206" t="s">
        <v>421</v>
      </c>
      <c r="B9" s="197">
        <f>(' Pivot Table for Data Exchange'!$J$7)*100</f>
        <v>91.6743935418735</v>
      </c>
      <c r="C9" s="197">
        <f>(' Pivot Table for Data Exchange'!$J$10)*100</f>
        <v>1.3795729721050698</v>
      </c>
      <c r="D9" s="113">
        <f aca="true" t="shared" si="0" ref="D9:D26">SUM(E9:G9)</f>
        <v>6.666773147630533</v>
      </c>
      <c r="E9" s="197">
        <f>(' Pivot Table for Data Exchange'!$J$13)*100</f>
        <v>5.858834823646508</v>
      </c>
      <c r="F9" s="197">
        <f>(' Pivot Table for Data Exchange'!$J$16)*100</f>
        <v>0.8079383239840245</v>
      </c>
      <c r="G9" s="198">
        <f>(' Pivot Table for Data Exchange'!$J$19)*100</f>
        <v>0</v>
      </c>
      <c r="H9" s="197">
        <f>(' Pivot Table for Data Exchange'!$J$22)*100</f>
        <v>0.2792603383908989</v>
      </c>
      <c r="I9" s="41" t="s">
        <v>421</v>
      </c>
      <c r="J9" s="197">
        <f>(' Pivot Table for Data Exchange'!$J$25)*100</f>
        <v>66.85678886947981</v>
      </c>
      <c r="K9" s="197">
        <f>(' Pivot Table for Data Exchange'!$J$28)*100</f>
        <v>3.008655955085025</v>
      </c>
      <c r="L9" s="113">
        <f aca="true" t="shared" si="1" ref="L9:L26">SUM(M9:O9)</f>
        <v>30.134555175435167</v>
      </c>
      <c r="M9" s="197">
        <f>(' Pivot Table for Data Exchange'!$J$31)*100</f>
        <v>26.958472622960883</v>
      </c>
      <c r="N9" s="197">
        <f>(' Pivot Table for Data Exchange'!$J$34)*100</f>
        <v>3.176082552474286</v>
      </c>
      <c r="O9" s="198">
        <f>(' Pivot Table for Data Exchange'!$J$37)*100</f>
        <v>0</v>
      </c>
      <c r="P9" s="205">
        <f>(' Pivot Table for Data Exchange'!$J$40)*100</f>
        <v>0</v>
      </c>
      <c r="Q9" s="39">
        <f>SUM(B9,C9,D9,H9)</f>
        <v>100</v>
      </c>
      <c r="R9" s="39">
        <f>SUM(J9,K9,L9,P9)</f>
        <v>100</v>
      </c>
      <c r="S9" s="47"/>
      <c r="T9" s="47"/>
      <c r="U9" s="47"/>
      <c r="V9" s="47"/>
      <c r="W9" s="47"/>
      <c r="X9" s="47"/>
      <c r="Y9" s="47"/>
      <c r="Z9" s="47"/>
      <c r="AA9" s="47"/>
      <c r="AB9" s="47"/>
      <c r="AC9" s="47"/>
      <c r="AD9" s="47"/>
      <c r="AE9" s="47"/>
      <c r="AF9" s="47"/>
      <c r="AG9" s="47"/>
      <c r="AH9" s="47"/>
      <c r="AI9" s="47"/>
      <c r="AJ9" s="47"/>
      <c r="AK9" s="47"/>
      <c r="AL9" s="47"/>
      <c r="AM9" s="47"/>
      <c r="AN9" s="47"/>
      <c r="AO9" s="47"/>
    </row>
    <row r="10" spans="1:41" ht="15.75" customHeight="1">
      <c r="A10" s="40" t="s">
        <v>422</v>
      </c>
      <c r="B10" s="197">
        <f>(' Pivot Table for Data Exchange'!$J$43)*100</f>
        <v>91.29928221052708</v>
      </c>
      <c r="C10" s="197">
        <f>(' Pivot Table for Data Exchange'!$J$46)*100</f>
        <v>3.946923741909256</v>
      </c>
      <c r="D10" s="113">
        <f t="shared" si="0"/>
        <v>4.743141081998448</v>
      </c>
      <c r="E10" s="197">
        <f>(' Pivot Table for Data Exchange'!$J$49)*100</f>
        <v>3.3956021619397703</v>
      </c>
      <c r="F10" s="197">
        <f>(' Pivot Table for Data Exchange'!$J$52)*100</f>
        <v>0.7421566010427662</v>
      </c>
      <c r="G10" s="199">
        <f>(' Pivot Table for Data Exchange'!$J$55)*100</f>
        <v>0.6053823190159109</v>
      </c>
      <c r="H10" s="200">
        <f>(' Pivot Table for Data Exchange'!$J$58)*100</f>
        <v>0.01065296556520717</v>
      </c>
      <c r="I10" s="40" t="s">
        <v>422</v>
      </c>
      <c r="J10" s="197">
        <f>(' Pivot Table for Data Exchange'!$J$61)*100</f>
        <v>74.76941354357922</v>
      </c>
      <c r="K10" s="197">
        <f>(' Pivot Table for Data Exchange'!$J$64)*100</f>
        <v>13.085646398099145</v>
      </c>
      <c r="L10" s="113">
        <f t="shared" si="1"/>
        <v>12.144940058321632</v>
      </c>
      <c r="M10" s="197">
        <f>(' Pivot Table for Data Exchange'!$J$67)*100</f>
        <v>8.126147532130899</v>
      </c>
      <c r="N10" s="197">
        <f>(' Pivot Table for Data Exchange'!$J$70)*100</f>
        <v>2.5164704611729127</v>
      </c>
      <c r="O10" s="199">
        <f>(' Pivot Table for Data Exchange'!$J$73)*100</f>
        <v>1.5023220650178204</v>
      </c>
      <c r="P10" s="197">
        <f>(' Pivot Table for Data Exchange'!$J$76)*100</f>
        <v>0</v>
      </c>
      <c r="Q10" s="39">
        <f aca="true" t="shared" si="2" ref="Q10:Q27">SUM(B10,C10,D10,H10)</f>
        <v>100</v>
      </c>
      <c r="R10" s="39">
        <f>SUM(J10,K10,L10,P10)</f>
        <v>100</v>
      </c>
      <c r="S10" s="47"/>
      <c r="T10" s="47"/>
      <c r="U10" s="47"/>
      <c r="V10" s="47"/>
      <c r="W10" s="47"/>
      <c r="X10" s="47"/>
      <c r="Y10" s="47"/>
      <c r="Z10" s="47"/>
      <c r="AA10" s="47"/>
      <c r="AB10" s="47"/>
      <c r="AC10" s="47"/>
      <c r="AD10" s="47"/>
      <c r="AE10" s="47"/>
      <c r="AF10" s="47"/>
      <c r="AG10" s="47"/>
      <c r="AH10" s="47"/>
      <c r="AI10" s="47"/>
      <c r="AJ10" s="47"/>
      <c r="AK10" s="47"/>
      <c r="AL10" s="47"/>
      <c r="AM10" s="47"/>
      <c r="AN10" s="47"/>
      <c r="AO10" s="47"/>
    </row>
    <row r="11" spans="1:41" ht="15.75" customHeight="1">
      <c r="A11" s="40" t="s">
        <v>423</v>
      </c>
      <c r="B11" s="197">
        <f>(' Pivot Table for Data Exchange'!$J$79)*100</f>
        <v>97.20246928236482</v>
      </c>
      <c r="C11" s="197">
        <f>(' Pivot Table for Data Exchange'!$J$82)*100</f>
        <v>0</v>
      </c>
      <c r="D11" s="113">
        <f t="shared" si="0"/>
        <v>0.35772936823568985</v>
      </c>
      <c r="E11" s="197">
        <f>(' Pivot Table for Data Exchange'!$J$85)*100</f>
        <v>0</v>
      </c>
      <c r="F11" s="197">
        <f>(' Pivot Table for Data Exchange'!$J$88)*100</f>
        <v>0.35772936823568985</v>
      </c>
      <c r="G11" s="199">
        <f>(' Pivot Table for Data Exchange'!$J$91)*100</f>
        <v>0</v>
      </c>
      <c r="H11" s="197">
        <f>(' Pivot Table for Data Exchange'!$J$94)*100</f>
        <v>2.4398013493994974</v>
      </c>
      <c r="I11" s="40" t="s">
        <v>423</v>
      </c>
      <c r="J11" s="197">
        <f>(' Pivot Table for Data Exchange'!$J$97)*100</f>
        <v>95.66453203657409</v>
      </c>
      <c r="K11" s="197">
        <f>(' Pivot Table for Data Exchange'!$J$100)*100</f>
        <v>0</v>
      </c>
      <c r="L11" s="113">
        <f t="shared" si="1"/>
        <v>2.172870792096161</v>
      </c>
      <c r="M11" s="197">
        <f>(' Pivot Table for Data Exchange'!$J$103)*100</f>
        <v>1.335570699633574</v>
      </c>
      <c r="N11" s="197">
        <f>(' Pivot Table for Data Exchange'!$J$106)*100</f>
        <v>0.837300092462587</v>
      </c>
      <c r="O11" s="199">
        <f>(' Pivot Table for Data Exchange'!$J$109)*100</f>
        <v>0</v>
      </c>
      <c r="P11" s="197">
        <f>(' Pivot Table for Data Exchange'!$J$112)*100</f>
        <v>2.162597171329749</v>
      </c>
      <c r="Q11" s="39">
        <f t="shared" si="2"/>
        <v>100.00000000000001</v>
      </c>
      <c r="R11" s="39">
        <f aca="true" t="shared" si="3" ref="R11:R27">SUM(J11,K11,L11,P11)</f>
        <v>100</v>
      </c>
      <c r="S11" s="47"/>
      <c r="T11" s="59"/>
      <c r="U11" s="47"/>
      <c r="V11" s="47"/>
      <c r="W11" s="47"/>
      <c r="X11" s="47"/>
      <c r="Y11" s="47"/>
      <c r="Z11" s="47"/>
      <c r="AA11" s="47"/>
      <c r="AB11" s="47"/>
      <c r="AC11" s="47"/>
      <c r="AD11" s="47"/>
      <c r="AE11" s="47"/>
      <c r="AF11" s="47"/>
      <c r="AG11" s="47"/>
      <c r="AH11" s="47"/>
      <c r="AI11" s="47"/>
      <c r="AJ11" s="47"/>
      <c r="AK11" s="47"/>
      <c r="AL11" s="47"/>
      <c r="AM11" s="47"/>
      <c r="AN11" s="47"/>
      <c r="AO11" s="47"/>
    </row>
    <row r="12" spans="1:41" ht="15.75" customHeight="1">
      <c r="A12" s="40" t="s">
        <v>745</v>
      </c>
      <c r="B12" s="197">
        <f>(' Pivot Table for Data Exchange'!$J$115)*100</f>
        <v>79.12293822556839</v>
      </c>
      <c r="C12" s="197">
        <f>(' Pivot Table for Data Exchange'!$J$118)*100</f>
        <v>9.260590077030072</v>
      </c>
      <c r="D12" s="113">
        <f t="shared" si="0"/>
        <v>11.480768901644801</v>
      </c>
      <c r="E12" s="197">
        <f>(' Pivot Table for Data Exchange'!$J$121)*100</f>
        <v>7.220212887395591</v>
      </c>
      <c r="F12" s="197">
        <f>(' Pivot Table for Data Exchange'!$J$124)*100</f>
        <v>0.13008659091214977</v>
      </c>
      <c r="G12" s="199">
        <f>(' Pivot Table for Data Exchange'!$J$127)*100</f>
        <v>4.130469423337059</v>
      </c>
      <c r="H12" s="197">
        <f>(' Pivot Table for Data Exchange'!$J$130)*100</f>
        <v>0.13570279575674124</v>
      </c>
      <c r="I12" s="40" t="s">
        <v>745</v>
      </c>
      <c r="J12" s="197">
        <f>(' Pivot Table for Data Exchange'!$J$133)*100</f>
        <v>73.51141108505405</v>
      </c>
      <c r="K12" s="197">
        <f>(' Pivot Table for Data Exchange'!$J$136)*100</f>
        <v>13.003550387723584</v>
      </c>
      <c r="L12" s="113">
        <f t="shared" si="1"/>
        <v>13.482587166308496</v>
      </c>
      <c r="M12" s="197">
        <f>(' Pivot Table for Data Exchange'!$J$139)*100</f>
        <v>10.575885962690288</v>
      </c>
      <c r="N12" s="197">
        <f>(' Pivot Table for Data Exchange'!$J$142)*100</f>
        <v>0.28088510471396705</v>
      </c>
      <c r="O12" s="199">
        <f>(' Pivot Table for Data Exchange'!$J$145)*100</f>
        <v>2.6258160989042416</v>
      </c>
      <c r="P12" s="205">
        <f>(' Pivot Table for Data Exchange'!$J$148)*100</f>
        <v>0.0024513609138673486</v>
      </c>
      <c r="Q12" s="39">
        <f t="shared" si="2"/>
        <v>100</v>
      </c>
      <c r="R12" s="39">
        <f t="shared" si="3"/>
        <v>99.99999999999999</v>
      </c>
      <c r="S12" s="47"/>
      <c r="U12" s="47"/>
      <c r="V12" s="47"/>
      <c r="W12" s="47"/>
      <c r="X12" s="47"/>
      <c r="Y12" s="47"/>
      <c r="Z12" s="47"/>
      <c r="AA12" s="47"/>
      <c r="AB12" s="47"/>
      <c r="AC12" s="47"/>
      <c r="AD12" s="47"/>
      <c r="AE12" s="47"/>
      <c r="AF12" s="47"/>
      <c r="AG12" s="47"/>
      <c r="AH12" s="47"/>
      <c r="AI12" s="47"/>
      <c r="AJ12" s="47"/>
      <c r="AK12" s="47"/>
      <c r="AL12" s="47"/>
      <c r="AM12" s="47"/>
      <c r="AN12" s="47"/>
      <c r="AO12" s="47"/>
    </row>
    <row r="13" spans="1:41" ht="9.75" customHeight="1">
      <c r="A13" s="40"/>
      <c r="B13" s="197"/>
      <c r="C13" s="197"/>
      <c r="D13" s="113"/>
      <c r="E13" s="197"/>
      <c r="F13" s="197"/>
      <c r="G13" s="199"/>
      <c r="H13" s="197"/>
      <c r="I13" s="40"/>
      <c r="J13" s="197"/>
      <c r="K13" s="197"/>
      <c r="L13" s="113"/>
      <c r="M13" s="197"/>
      <c r="N13" s="197"/>
      <c r="O13" s="199"/>
      <c r="P13" s="200"/>
      <c r="Q13" s="39"/>
      <c r="R13" s="39"/>
      <c r="S13" s="47"/>
      <c r="U13" s="47"/>
      <c r="V13" s="47"/>
      <c r="W13" s="47"/>
      <c r="X13" s="47"/>
      <c r="Y13" s="47"/>
      <c r="Z13" s="47"/>
      <c r="AA13" s="47"/>
      <c r="AB13" s="47"/>
      <c r="AC13" s="47"/>
      <c r="AD13" s="47"/>
      <c r="AE13" s="47"/>
      <c r="AF13" s="47"/>
      <c r="AG13" s="47"/>
      <c r="AH13" s="47"/>
      <c r="AI13" s="47"/>
      <c r="AJ13" s="47"/>
      <c r="AK13" s="47"/>
      <c r="AL13" s="47"/>
      <c r="AM13" s="47"/>
      <c r="AN13" s="47"/>
      <c r="AO13" s="47"/>
    </row>
    <row r="14" spans="1:41" ht="15.75" customHeight="1">
      <c r="A14" s="40" t="s">
        <v>425</v>
      </c>
      <c r="B14" s="197">
        <f>(' Pivot Table for Data Exchange'!$J$151)*100</f>
        <v>96.10334345834003</v>
      </c>
      <c r="C14" s="197">
        <f>(' Pivot Table for Data Exchange'!$J$154)*100</f>
        <v>1.8786483983886115</v>
      </c>
      <c r="D14" s="113">
        <f t="shared" si="0"/>
        <v>1.9827592257611137</v>
      </c>
      <c r="E14" s="197">
        <f>(' Pivot Table for Data Exchange'!$J$157)*100</f>
        <v>1.7810677597277045</v>
      </c>
      <c r="F14" s="197">
        <f>(' Pivot Table for Data Exchange'!$J$160)*100</f>
        <v>0.12854529444504453</v>
      </c>
      <c r="G14" s="199">
        <f>(' Pivot Table for Data Exchange'!$J$163)*100</f>
        <v>0.07314617158836474</v>
      </c>
      <c r="H14" s="200">
        <f>(' Pivot Table for Data Exchange'!$J$166)*100</f>
        <v>0.03524891751023905</v>
      </c>
      <c r="I14" s="40" t="s">
        <v>425</v>
      </c>
      <c r="J14" s="197">
        <f>(' Pivot Table for Data Exchange'!$J$169)*100</f>
        <v>87.4518907454348</v>
      </c>
      <c r="K14" s="197">
        <f>(' Pivot Table for Data Exchange'!$J$172)*100</f>
        <v>6.318413429206974</v>
      </c>
      <c r="L14" s="113">
        <f t="shared" si="1"/>
        <v>6.19470022244064</v>
      </c>
      <c r="M14" s="197">
        <f>(' Pivot Table for Data Exchange'!$J$175)*100</f>
        <v>5.621915576017796</v>
      </c>
      <c r="N14" s="197">
        <f>(' Pivot Table for Data Exchange'!$J$178)*100</f>
        <v>0.13951683823909786</v>
      </c>
      <c r="O14" s="199">
        <f>(' Pivot Table for Data Exchange'!$J$181)*100</f>
        <v>0.4332678081837463</v>
      </c>
      <c r="P14" s="200">
        <f>(' Pivot Table for Data Exchange'!$J$184)*100</f>
        <v>0.03499560291759351</v>
      </c>
      <c r="Q14" s="39">
        <f t="shared" si="2"/>
        <v>100</v>
      </c>
      <c r="R14" s="39">
        <f t="shared" si="3"/>
        <v>100</v>
      </c>
      <c r="S14" s="47"/>
      <c r="T14" s="47"/>
      <c r="U14" s="47"/>
      <c r="V14" s="47"/>
      <c r="W14" s="47"/>
      <c r="X14" s="47"/>
      <c r="Y14" s="47"/>
      <c r="Z14" s="47"/>
      <c r="AA14" s="47"/>
      <c r="AB14" s="47"/>
      <c r="AC14" s="47"/>
      <c r="AD14" s="47"/>
      <c r="AE14" s="47"/>
      <c r="AF14" s="47"/>
      <c r="AG14" s="47"/>
      <c r="AH14" s="47"/>
      <c r="AI14" s="47"/>
      <c r="AJ14" s="47"/>
      <c r="AK14" s="47"/>
      <c r="AL14" s="47"/>
      <c r="AM14" s="47"/>
      <c r="AN14" s="47"/>
      <c r="AO14" s="47"/>
    </row>
    <row r="15" spans="1:41" ht="15.75" customHeight="1">
      <c r="A15" s="40" t="s">
        <v>426</v>
      </c>
      <c r="B15" s="197">
        <f>(' Pivot Table for Data Exchange'!$J$187)*100</f>
        <v>91.33480779596769</v>
      </c>
      <c r="C15" s="197">
        <f>(' Pivot Table for Data Exchange'!$J$190)*100</f>
        <v>4.943316470164034</v>
      </c>
      <c r="D15" s="113">
        <f t="shared" si="0"/>
        <v>3.7218757338682824</v>
      </c>
      <c r="E15" s="197">
        <f>(' Pivot Table for Data Exchange'!$J$193)*100</f>
        <v>2.58204013658721</v>
      </c>
      <c r="F15" s="197">
        <f>(' Pivot Table for Data Exchange'!$J$196)*100</f>
        <v>0.788511683690045</v>
      </c>
      <c r="G15" s="199">
        <f>(' Pivot Table for Data Exchange'!$J$199)*100</f>
        <v>0.35132391359102766</v>
      </c>
      <c r="H15" s="197">
        <f>(' Pivot Table for Data Exchange'!$J$202)*100</f>
        <v>0</v>
      </c>
      <c r="I15" s="40" t="s">
        <v>426</v>
      </c>
      <c r="J15" s="197">
        <f>(' Pivot Table for Data Exchange'!$J$205)*100</f>
        <v>75.22125250221482</v>
      </c>
      <c r="K15" s="197">
        <f>(' Pivot Table for Data Exchange'!$J$208)*100</f>
        <v>10.473589180009258</v>
      </c>
      <c r="L15" s="113">
        <f t="shared" si="1"/>
        <v>14.305158317775918</v>
      </c>
      <c r="M15" s="197">
        <f>(' Pivot Table for Data Exchange'!$J$211)*100</f>
        <v>12.559355754404358</v>
      </c>
      <c r="N15" s="197">
        <f>(' Pivot Table for Data Exchange'!$J$214)*100</f>
        <v>1.7071772564383174</v>
      </c>
      <c r="O15" s="199">
        <f>(' Pivot Table for Data Exchange'!$J$217)*100</f>
        <v>0.03862530693324259</v>
      </c>
      <c r="P15" s="197">
        <f>(' Pivot Table for Data Exchange'!$J$220)*100</f>
        <v>0</v>
      </c>
      <c r="Q15" s="39">
        <f t="shared" si="2"/>
        <v>100.00000000000001</v>
      </c>
      <c r="R15" s="39">
        <f t="shared" si="3"/>
        <v>100</v>
      </c>
      <c r="S15" s="47"/>
      <c r="T15" s="47"/>
      <c r="U15" s="47"/>
      <c r="V15" s="47"/>
      <c r="W15" s="47"/>
      <c r="X15" s="47"/>
      <c r="Y15" s="47"/>
      <c r="Z15" s="47"/>
      <c r="AA15" s="47"/>
      <c r="AB15" s="47"/>
      <c r="AC15" s="47"/>
      <c r="AD15" s="47"/>
      <c r="AE15" s="47"/>
      <c r="AF15" s="47"/>
      <c r="AG15" s="47"/>
      <c r="AH15" s="47"/>
      <c r="AI15" s="47"/>
      <c r="AJ15" s="47"/>
      <c r="AK15" s="47"/>
      <c r="AL15" s="47"/>
      <c r="AM15" s="47"/>
      <c r="AN15" s="47"/>
      <c r="AO15" s="47"/>
    </row>
    <row r="16" spans="1:41" ht="15.75" customHeight="1">
      <c r="A16" s="40" t="s">
        <v>427</v>
      </c>
      <c r="B16" s="197">
        <f>(' Pivot Table for Data Exchange'!$J$223)*100</f>
        <v>96.64437140884948</v>
      </c>
      <c r="C16" s="197">
        <f>(' Pivot Table for Data Exchange'!$J$226)*100</f>
        <v>0</v>
      </c>
      <c r="D16" s="113">
        <f t="shared" si="0"/>
        <v>2.3419188552662495</v>
      </c>
      <c r="E16" s="197">
        <f>(' Pivot Table for Data Exchange'!$J$229)*100</f>
        <v>1.9913968946112537</v>
      </c>
      <c r="F16" s="197">
        <f>(' Pivot Table for Data Exchange'!$J$232)*100</f>
        <v>0.28011291399518023</v>
      </c>
      <c r="G16" s="199">
        <f>(' Pivot Table for Data Exchange'!$J$235)*100</f>
        <v>0.0704090466598157</v>
      </c>
      <c r="H16" s="197">
        <f>(' Pivot Table for Data Exchange'!$J$238)*100</f>
        <v>1.0137097358842697</v>
      </c>
      <c r="I16" s="40" t="s">
        <v>427</v>
      </c>
      <c r="J16" s="197">
        <f>(' Pivot Table for Data Exchange'!$J$241)*100</f>
        <v>93.7146714707852</v>
      </c>
      <c r="K16" s="197">
        <f>(' Pivot Table for Data Exchange'!$J$244)*100</f>
        <v>0</v>
      </c>
      <c r="L16" s="113">
        <f t="shared" si="1"/>
        <v>6.2853285292148</v>
      </c>
      <c r="M16" s="197">
        <f>(' Pivot Table for Data Exchange'!$J$247)*100</f>
        <v>4.557624494536753</v>
      </c>
      <c r="N16" s="197">
        <f>(' Pivot Table for Data Exchange'!$J$250)*100</f>
        <v>1.7228532044449776</v>
      </c>
      <c r="O16" s="203">
        <f>(' Pivot Table for Data Exchange'!$J$253)*100</f>
        <v>0.004850830233068918</v>
      </c>
      <c r="P16" s="197">
        <f>(' Pivot Table for Data Exchange'!$J$256)*100</f>
        <v>0</v>
      </c>
      <c r="Q16" s="39">
        <f t="shared" si="2"/>
        <v>100</v>
      </c>
      <c r="R16" s="39">
        <f t="shared" si="3"/>
        <v>100</v>
      </c>
      <c r="S16" s="47"/>
      <c r="T16" s="59"/>
      <c r="U16" s="47"/>
      <c r="V16" s="47"/>
      <c r="W16" s="47"/>
      <c r="X16" s="47"/>
      <c r="Y16" s="47"/>
      <c r="Z16" s="47"/>
      <c r="AA16" s="47"/>
      <c r="AB16" s="47"/>
      <c r="AC16" s="47"/>
      <c r="AD16" s="47"/>
      <c r="AE16" s="47"/>
      <c r="AF16" s="47"/>
      <c r="AG16" s="47"/>
      <c r="AH16" s="47"/>
      <c r="AI16" s="47"/>
      <c r="AJ16" s="47"/>
      <c r="AK16" s="47"/>
      <c r="AL16" s="47"/>
      <c r="AM16" s="47"/>
      <c r="AN16" s="47"/>
      <c r="AO16" s="47"/>
    </row>
    <row r="17" spans="1:41" ht="15.75" customHeight="1">
      <c r="A17" s="40" t="s">
        <v>748</v>
      </c>
      <c r="B17" s="197">
        <f>(' Pivot Table for Data Exchange'!$J$259)*100</f>
        <v>85.44971469666422</v>
      </c>
      <c r="C17" s="197">
        <f>(' Pivot Table for Data Exchange'!$J$262)*100</f>
        <v>4.015809250703453</v>
      </c>
      <c r="D17" s="113">
        <f t="shared" si="0"/>
        <v>10.534476052632337</v>
      </c>
      <c r="E17" s="197">
        <f>(' Pivot Table for Data Exchange'!$J$265)*100</f>
        <v>10.511352785080524</v>
      </c>
      <c r="F17" s="200">
        <f>(' Pivot Table for Data Exchange'!$J$268)*100</f>
        <v>0.023123267551812755</v>
      </c>
      <c r="G17" s="199">
        <f>(' Pivot Table for Data Exchange'!$J$271)*100</f>
        <v>0</v>
      </c>
      <c r="H17" s="197">
        <f>(' Pivot Table for Data Exchange'!$J$274)*100</f>
        <v>0</v>
      </c>
      <c r="I17" s="40" t="s">
        <v>748</v>
      </c>
      <c r="J17" s="197">
        <f>(' Pivot Table for Data Exchange'!$J$277)*100</f>
        <v>61.12621272299057</v>
      </c>
      <c r="K17" s="197">
        <f>(' Pivot Table for Data Exchange'!$J$280)*100</f>
        <v>15.738228410981595</v>
      </c>
      <c r="L17" s="113">
        <f t="shared" si="1"/>
        <v>23.135558866027843</v>
      </c>
      <c r="M17" s="197">
        <f>(' Pivot Table for Data Exchange'!$J$283)*100</f>
        <v>22.93286843028071</v>
      </c>
      <c r="N17" s="197">
        <f>(' Pivot Table for Data Exchange'!$J$286)*100</f>
        <v>0.20269043574713186</v>
      </c>
      <c r="O17" s="199">
        <f>(' Pivot Table for Data Exchange'!$J$289)*100</f>
        <v>0</v>
      </c>
      <c r="P17" s="197">
        <f>(' Pivot Table for Data Exchange'!$J$292)*100</f>
        <v>0</v>
      </c>
      <c r="Q17" s="39">
        <f t="shared" si="2"/>
        <v>100.00000000000001</v>
      </c>
      <c r="R17" s="39">
        <f t="shared" si="3"/>
        <v>100</v>
      </c>
      <c r="S17" s="47"/>
      <c r="U17" s="47"/>
      <c r="V17" s="47"/>
      <c r="W17" s="47"/>
      <c r="X17" s="47"/>
      <c r="Y17" s="47"/>
      <c r="Z17" s="47"/>
      <c r="AA17" s="47"/>
      <c r="AB17" s="47"/>
      <c r="AC17" s="47"/>
      <c r="AD17" s="47"/>
      <c r="AE17" s="47"/>
      <c r="AF17" s="47"/>
      <c r="AG17" s="47"/>
      <c r="AH17" s="47"/>
      <c r="AI17" s="47"/>
      <c r="AJ17" s="47"/>
      <c r="AK17" s="47"/>
      <c r="AL17" s="47"/>
      <c r="AM17" s="47"/>
      <c r="AN17" s="47"/>
      <c r="AO17" s="47"/>
    </row>
    <row r="18" spans="1:41" ht="7.5" customHeight="1">
      <c r="A18" s="40"/>
      <c r="B18" s="197"/>
      <c r="C18" s="197"/>
      <c r="D18" s="113"/>
      <c r="E18" s="197"/>
      <c r="F18" s="197"/>
      <c r="G18" s="199"/>
      <c r="H18" s="197"/>
      <c r="I18" s="40"/>
      <c r="J18" s="197"/>
      <c r="K18" s="197"/>
      <c r="L18" s="113"/>
      <c r="M18" s="197"/>
      <c r="N18" s="197"/>
      <c r="O18" s="199"/>
      <c r="P18" s="200"/>
      <c r="Q18" s="39"/>
      <c r="R18" s="39"/>
      <c r="S18" s="47"/>
      <c r="U18" s="47"/>
      <c r="V18" s="47"/>
      <c r="W18" s="47"/>
      <c r="X18" s="47"/>
      <c r="Y18" s="47"/>
      <c r="Z18" s="47"/>
      <c r="AA18" s="47"/>
      <c r="AB18" s="47"/>
      <c r="AC18" s="47"/>
      <c r="AD18" s="47"/>
      <c r="AE18" s="47"/>
      <c r="AF18" s="47"/>
      <c r="AG18" s="47"/>
      <c r="AH18" s="47"/>
      <c r="AI18" s="47"/>
      <c r="AJ18" s="47"/>
      <c r="AK18" s="47"/>
      <c r="AL18" s="47"/>
      <c r="AM18" s="47"/>
      <c r="AN18" s="47"/>
      <c r="AO18" s="47"/>
    </row>
    <row r="19" spans="1:41" ht="15.75" customHeight="1">
      <c r="A19" s="40" t="s">
        <v>122</v>
      </c>
      <c r="B19" s="197">
        <f>(' Pivot Table for Data Exchange'!$J$295)*100</f>
        <v>90.410543008954</v>
      </c>
      <c r="C19" s="197">
        <f>(' Pivot Table for Data Exchange'!$J$298)*100</f>
        <v>4.930230475201985</v>
      </c>
      <c r="D19" s="113">
        <f t="shared" si="0"/>
        <v>4.398693912388338</v>
      </c>
      <c r="E19" s="197">
        <f>(' Pivot Table for Data Exchange'!$J$301)*100</f>
        <v>3.4329582963433234</v>
      </c>
      <c r="F19" s="197">
        <f>(' Pivot Table for Data Exchange'!$J$304)*100</f>
        <v>0.7081007462981452</v>
      </c>
      <c r="G19" s="199">
        <f>(' Pivot Table for Data Exchange'!$J$307)*100</f>
        <v>0.2576348697468698</v>
      </c>
      <c r="H19" s="197">
        <f>(' Pivot Table for Data Exchange'!$J$310)*100</f>
        <v>0.2605326034556792</v>
      </c>
      <c r="I19" s="40" t="s">
        <v>122</v>
      </c>
      <c r="J19" s="197">
        <f>(' Pivot Table for Data Exchange'!$J$313)*100</f>
        <v>80.38008598666583</v>
      </c>
      <c r="K19" s="197">
        <f>(' Pivot Table for Data Exchange'!$J$316)*100</f>
        <v>10.704716804785345</v>
      </c>
      <c r="L19" s="113">
        <f t="shared" si="1"/>
        <v>8.900243005794753</v>
      </c>
      <c r="M19" s="197">
        <f>(' Pivot Table for Data Exchange'!$J$319)*100</f>
        <v>7.774939248551312</v>
      </c>
      <c r="N19" s="197">
        <f>(' Pivot Table for Data Exchange'!$J$322)*100</f>
        <v>0.8860365131783912</v>
      </c>
      <c r="O19" s="199">
        <f>(' Pivot Table for Data Exchange'!$J$325)*100</f>
        <v>0.23926724406505076</v>
      </c>
      <c r="P19" s="200">
        <f>(' Pivot Table for Data Exchange'!$J$328)*100</f>
        <v>0.014954202754065673</v>
      </c>
      <c r="Q19" s="39">
        <f t="shared" si="2"/>
        <v>99.99999999999999</v>
      </c>
      <c r="R19" s="39">
        <f t="shared" si="3"/>
        <v>100</v>
      </c>
      <c r="S19" s="47"/>
      <c r="T19" s="47"/>
      <c r="U19" s="47"/>
      <c r="V19" s="47"/>
      <c r="W19" s="47"/>
      <c r="X19" s="47"/>
      <c r="Y19" s="47"/>
      <c r="Z19" s="47"/>
      <c r="AA19" s="47"/>
      <c r="AB19" s="47"/>
      <c r="AC19" s="47"/>
      <c r="AD19" s="47"/>
      <c r="AE19" s="47"/>
      <c r="AF19" s="47"/>
      <c r="AG19" s="47"/>
      <c r="AH19" s="47"/>
      <c r="AI19" s="47"/>
      <c r="AJ19" s="47"/>
      <c r="AK19" s="47"/>
      <c r="AL19" s="47"/>
      <c r="AM19" s="47"/>
      <c r="AN19" s="47"/>
      <c r="AO19" s="47"/>
    </row>
    <row r="20" spans="1:41" ht="15.75" customHeight="1">
      <c r="A20" s="40" t="s">
        <v>130</v>
      </c>
      <c r="B20" s="197">
        <f>(' Pivot Table for Data Exchange'!$J$331)*100</f>
        <v>94.4830103355466</v>
      </c>
      <c r="C20" s="197">
        <f>(' Pivot Table for Data Exchange'!$J$334)*100</f>
        <v>1.6690903456468467</v>
      </c>
      <c r="D20" s="113">
        <f t="shared" si="0"/>
        <v>3.8478993188065624</v>
      </c>
      <c r="E20" s="197">
        <f>(' Pivot Table for Data Exchange'!$J$337)*100</f>
        <v>3.2786350880616113</v>
      </c>
      <c r="F20" s="200">
        <f>(' Pivot Table for Data Exchange'!$J$340)*100</f>
        <v>0.03328493627082461</v>
      </c>
      <c r="G20" s="199">
        <f>(' Pivot Table for Data Exchange'!$J$343)*100</f>
        <v>0.5359792944741267</v>
      </c>
      <c r="H20" s="197">
        <f>(' Pivot Table for Data Exchange'!$J$346)*100</f>
        <v>0</v>
      </c>
      <c r="I20" s="40" t="s">
        <v>130</v>
      </c>
      <c r="J20" s="197">
        <f>(' Pivot Table for Data Exchange'!$J$349)*100</f>
        <v>80.03753087641088</v>
      </c>
      <c r="K20" s="197">
        <f>(' Pivot Table for Data Exchange'!$J$352)*100</f>
        <v>9.365097521540063</v>
      </c>
      <c r="L20" s="113">
        <f t="shared" si="1"/>
        <v>10.597371602049051</v>
      </c>
      <c r="M20" s="197">
        <f>(' Pivot Table for Data Exchange'!$J$355)*100</f>
        <v>10.08758234997697</v>
      </c>
      <c r="N20" s="197">
        <f>(' Pivot Table for Data Exchange'!$J$358)*100</f>
        <v>0.21887858730566023</v>
      </c>
      <c r="O20" s="199">
        <f>(' Pivot Table for Data Exchange'!$J$361)*100</f>
        <v>0.2909106647664213</v>
      </c>
      <c r="P20" s="197">
        <f>(' Pivot Table for Data Exchange'!$J$364)*100</f>
        <v>0</v>
      </c>
      <c r="Q20" s="39">
        <f t="shared" si="2"/>
        <v>100.00000000000001</v>
      </c>
      <c r="R20" s="39">
        <f t="shared" si="3"/>
        <v>100</v>
      </c>
      <c r="S20" s="47"/>
      <c r="T20" s="47"/>
      <c r="U20" s="47"/>
      <c r="V20" s="47"/>
      <c r="W20" s="47"/>
      <c r="X20" s="47"/>
      <c r="Y20" s="47"/>
      <c r="Z20" s="47"/>
      <c r="AA20" s="47"/>
      <c r="AB20" s="47"/>
      <c r="AC20" s="47"/>
      <c r="AD20" s="47"/>
      <c r="AE20" s="47"/>
      <c r="AF20" s="47"/>
      <c r="AG20" s="47"/>
      <c r="AH20" s="47"/>
      <c r="AI20" s="47"/>
      <c r="AJ20" s="47"/>
      <c r="AK20" s="47"/>
      <c r="AL20" s="47"/>
      <c r="AM20" s="47"/>
      <c r="AN20" s="47"/>
      <c r="AO20" s="47"/>
    </row>
    <row r="21" spans="1:41" ht="15.75" customHeight="1">
      <c r="A21" s="40" t="s">
        <v>123</v>
      </c>
      <c r="B21" s="197">
        <f>(' Pivot Table for Data Exchange'!$J$367)*100</f>
        <v>94.65256266116509</v>
      </c>
      <c r="C21" s="197">
        <f>(' Pivot Table for Data Exchange'!$J$370)*100</f>
        <v>0.2447140459766311</v>
      </c>
      <c r="D21" s="113">
        <f t="shared" si="0"/>
        <v>5.011325644725716</v>
      </c>
      <c r="E21" s="197">
        <f>(' Pivot Table for Data Exchange'!$J$373)*100</f>
        <v>3.2242164143034926</v>
      </c>
      <c r="F21" s="197">
        <f>(' Pivot Table for Data Exchange'!$J$376)*100</f>
        <v>1.2724694956539309</v>
      </c>
      <c r="G21" s="199">
        <f>(' Pivot Table for Data Exchange'!$J$379)*100</f>
        <v>0.5146397347682924</v>
      </c>
      <c r="H21" s="197">
        <f>(' Pivot Table for Data Exchange'!$J$382)*100</f>
        <v>0.09139764813255316</v>
      </c>
      <c r="I21" s="40" t="s">
        <v>123</v>
      </c>
      <c r="J21" s="197">
        <f>(' Pivot Table for Data Exchange'!$J$385)*100</f>
        <v>88.6053484381169</v>
      </c>
      <c r="K21" s="197">
        <f>(' Pivot Table for Data Exchange'!$J$388)*100</f>
        <v>3.4513492277562126</v>
      </c>
      <c r="L21" s="113">
        <f t="shared" si="1"/>
        <v>7.938611407551609</v>
      </c>
      <c r="M21" s="197">
        <f>(' Pivot Table for Data Exchange'!$J$391)*100</f>
        <v>2.7746830692732583</v>
      </c>
      <c r="N21" s="197">
        <f>(' Pivot Table for Data Exchange'!$J$394)*100</f>
        <v>4.789826943900427</v>
      </c>
      <c r="O21" s="199">
        <f>(' Pivot Table for Data Exchange'!$J$397)*100</f>
        <v>0.3741013943779245</v>
      </c>
      <c r="P21" s="205">
        <f>(' Pivot Table for Data Exchange'!$J$400)*100</f>
        <v>0.0046909265752717805</v>
      </c>
      <c r="Q21" s="39">
        <f t="shared" si="2"/>
        <v>100</v>
      </c>
      <c r="R21" s="39">
        <f t="shared" si="3"/>
        <v>100</v>
      </c>
      <c r="S21" s="47"/>
      <c r="T21" s="59"/>
      <c r="U21" s="47"/>
      <c r="V21" s="47"/>
      <c r="W21" s="47"/>
      <c r="X21" s="47"/>
      <c r="Y21" s="47"/>
      <c r="Z21" s="47"/>
      <c r="AA21" s="47"/>
      <c r="AB21" s="47"/>
      <c r="AC21" s="47"/>
      <c r="AD21" s="47"/>
      <c r="AE21" s="47"/>
      <c r="AF21" s="47"/>
      <c r="AG21" s="47"/>
      <c r="AH21" s="47"/>
      <c r="AI21" s="47"/>
      <c r="AJ21" s="47"/>
      <c r="AK21" s="47"/>
      <c r="AL21" s="47"/>
      <c r="AM21" s="47"/>
      <c r="AN21" s="47"/>
      <c r="AO21" s="47"/>
    </row>
    <row r="22" spans="1:41" ht="15.75" customHeight="1">
      <c r="A22" s="40" t="s">
        <v>429</v>
      </c>
      <c r="B22" s="197"/>
      <c r="C22" s="197"/>
      <c r="D22" s="113"/>
      <c r="E22" s="197"/>
      <c r="F22" s="197"/>
      <c r="G22" s="199"/>
      <c r="H22" s="197">
        <f>(' Pivot Table for Data Exchange'!$J$418)*100</f>
        <v>0</v>
      </c>
      <c r="I22" s="40" t="s">
        <v>429</v>
      </c>
      <c r="J22" s="197"/>
      <c r="K22" s="197"/>
      <c r="L22" s="113"/>
      <c r="M22" s="197"/>
      <c r="N22" s="197"/>
      <c r="O22" s="199"/>
      <c r="P22" s="200">
        <f>(' Pivot Table for Data Exchange'!$J$436)*100</f>
        <v>0</v>
      </c>
      <c r="Q22" s="39">
        <f t="shared" si="2"/>
        <v>0</v>
      </c>
      <c r="R22" s="39">
        <f t="shared" si="3"/>
        <v>0</v>
      </c>
      <c r="S22" s="47"/>
      <c r="T22" s="47"/>
      <c r="U22" s="47"/>
      <c r="V22" s="47"/>
      <c r="W22" s="47"/>
      <c r="X22" s="47"/>
      <c r="Y22" s="47"/>
      <c r="Z22" s="47"/>
      <c r="AA22" s="47"/>
      <c r="AB22" s="47"/>
      <c r="AC22" s="47"/>
      <c r="AD22" s="47"/>
      <c r="AE22" s="47"/>
      <c r="AF22" s="47"/>
      <c r="AG22" s="47"/>
      <c r="AH22" s="47"/>
      <c r="AI22" s="47"/>
      <c r="AJ22" s="47"/>
      <c r="AK22" s="47"/>
      <c r="AL22" s="47"/>
      <c r="AM22" s="47"/>
      <c r="AN22" s="47"/>
      <c r="AO22" s="47"/>
    </row>
    <row r="23" spans="1:41" ht="9.75" customHeight="1">
      <c r="A23" s="40"/>
      <c r="B23" s="197"/>
      <c r="C23" s="197"/>
      <c r="D23" s="113"/>
      <c r="E23" s="197"/>
      <c r="F23" s="197"/>
      <c r="G23" s="199"/>
      <c r="H23" s="197"/>
      <c r="I23" s="40"/>
      <c r="J23" s="197"/>
      <c r="K23" s="197"/>
      <c r="L23" s="113"/>
      <c r="M23" s="197"/>
      <c r="N23" s="197"/>
      <c r="O23" s="199"/>
      <c r="P23" s="200"/>
      <c r="Q23" s="39"/>
      <c r="R23" s="39"/>
      <c r="S23" s="47"/>
      <c r="T23" s="47"/>
      <c r="U23" s="47"/>
      <c r="V23" s="47"/>
      <c r="W23" s="47"/>
      <c r="X23" s="47"/>
      <c r="Y23" s="47"/>
      <c r="Z23" s="47"/>
      <c r="AA23" s="47"/>
      <c r="AB23" s="47"/>
      <c r="AC23" s="47"/>
      <c r="AD23" s="47"/>
      <c r="AE23" s="47"/>
      <c r="AF23" s="47"/>
      <c r="AG23" s="47"/>
      <c r="AH23" s="47"/>
      <c r="AI23" s="47"/>
      <c r="AJ23" s="47"/>
      <c r="AK23" s="47"/>
      <c r="AL23" s="47"/>
      <c r="AM23" s="47"/>
      <c r="AN23" s="47"/>
      <c r="AO23" s="47"/>
    </row>
    <row r="24" spans="1:41" ht="15.75" customHeight="1">
      <c r="A24" s="40" t="s">
        <v>430</v>
      </c>
      <c r="B24" s="197"/>
      <c r="C24" s="197"/>
      <c r="D24" s="113"/>
      <c r="E24" s="197"/>
      <c r="F24" s="197"/>
      <c r="G24" s="199"/>
      <c r="H24" s="197"/>
      <c r="I24" s="40" t="s">
        <v>430</v>
      </c>
      <c r="J24" s="197"/>
      <c r="K24" s="197"/>
      <c r="L24" s="113"/>
      <c r="M24" s="197"/>
      <c r="N24" s="197"/>
      <c r="O24" s="199"/>
      <c r="P24" s="200"/>
      <c r="Q24" s="39">
        <f t="shared" si="2"/>
        <v>0</v>
      </c>
      <c r="R24" s="39">
        <f t="shared" si="3"/>
        <v>0</v>
      </c>
      <c r="S24" s="47"/>
      <c r="T24" s="47"/>
      <c r="U24" s="47"/>
      <c r="V24" s="47"/>
      <c r="W24" s="47"/>
      <c r="X24" s="47"/>
      <c r="Y24" s="47"/>
      <c r="Z24" s="47"/>
      <c r="AA24" s="47"/>
      <c r="AB24" s="47"/>
      <c r="AC24" s="47"/>
      <c r="AD24" s="47"/>
      <c r="AE24" s="47"/>
      <c r="AF24" s="47"/>
      <c r="AG24" s="47"/>
      <c r="AH24" s="47"/>
      <c r="AI24" s="47"/>
      <c r="AJ24" s="47"/>
      <c r="AK24" s="47"/>
      <c r="AL24" s="47"/>
      <c r="AM24" s="47"/>
      <c r="AN24" s="47"/>
      <c r="AO24" s="47"/>
    </row>
    <row r="25" spans="1:41" ht="15.75" customHeight="1">
      <c r="A25" s="40" t="s">
        <v>229</v>
      </c>
      <c r="B25" s="197">
        <f>(' Pivot Table for Data Exchange'!$J$403)*100</f>
        <v>94.88466215187985</v>
      </c>
      <c r="C25" s="197">
        <f>(' Pivot Table for Data Exchange'!$J$406)*100</f>
        <v>1.728804494233723</v>
      </c>
      <c r="D25" s="113">
        <f>SUM(E25:G25)</f>
        <v>3.069490320918901</v>
      </c>
      <c r="E25" s="197">
        <f>(' Pivot Table for Data Exchange'!$J$409)*100</f>
        <v>2.8018633714731203</v>
      </c>
      <c r="F25" s="197">
        <f>(' Pivot Table for Data Exchange'!$J$412)*100</f>
        <v>0.2676269494457804</v>
      </c>
      <c r="G25" s="199">
        <f>(' Pivot Table for Data Exchange'!$J$418)*100</f>
        <v>0</v>
      </c>
      <c r="H25" s="197">
        <f>(' Pivot Table for Data Exchange'!$J$415)*100</f>
        <v>0.31704303296753084</v>
      </c>
      <c r="I25" s="40" t="s">
        <v>229</v>
      </c>
      <c r="J25" s="197">
        <f>(' Pivot Table for Data Exchange'!$J$421)*100</f>
        <v>83.31614868045168</v>
      </c>
      <c r="K25" s="197">
        <f>(' Pivot Table for Data Exchange'!$J$424)*100</f>
        <v>6.540304127578862</v>
      </c>
      <c r="L25" s="113">
        <f>SUM(M25:O25)</f>
        <v>10.143547191969468</v>
      </c>
      <c r="M25" s="197">
        <f>(' Pivot Table for Data Exchange'!$J$427)*100</f>
        <v>8.937009800494918</v>
      </c>
      <c r="N25" s="197">
        <f>(' Pivot Table for Data Exchange'!$J$430)*100</f>
        <v>0.9201070924266361</v>
      </c>
      <c r="O25" s="199">
        <f>(' Pivot Table for Data Exchange'!$J$433)*100</f>
        <v>0.28643029904791195</v>
      </c>
      <c r="P25" s="200">
        <f>(' Pivot Table for Data Exchange'!$J$436)*100</f>
        <v>0</v>
      </c>
      <c r="Q25" s="39">
        <f t="shared" si="2"/>
        <v>100.00000000000001</v>
      </c>
      <c r="R25" s="39">
        <f t="shared" si="3"/>
        <v>100</v>
      </c>
      <c r="S25" s="47"/>
      <c r="T25" s="47"/>
      <c r="U25" s="47"/>
      <c r="V25" s="47"/>
      <c r="W25" s="47"/>
      <c r="X25" s="47"/>
      <c r="Y25" s="47"/>
      <c r="Z25" s="47"/>
      <c r="AA25" s="47"/>
      <c r="AB25" s="47"/>
      <c r="AC25" s="47"/>
      <c r="AD25" s="47"/>
      <c r="AE25" s="47"/>
      <c r="AF25" s="47"/>
      <c r="AG25" s="47"/>
      <c r="AH25" s="47"/>
      <c r="AI25" s="47"/>
      <c r="AJ25" s="47"/>
      <c r="AK25" s="47"/>
      <c r="AL25" s="47"/>
      <c r="AM25" s="47"/>
      <c r="AN25" s="47"/>
      <c r="AO25" s="47"/>
    </row>
    <row r="26" spans="1:41" ht="15.75" customHeight="1">
      <c r="A26" s="40" t="s">
        <v>431</v>
      </c>
      <c r="B26" s="197">
        <f>(' Pivot Table for Data Exchange'!$J$511)*100</f>
        <v>0</v>
      </c>
      <c r="C26" s="197">
        <f>(' Pivot Table for Data Exchange'!$J$514)*100</f>
        <v>0</v>
      </c>
      <c r="D26" s="113">
        <f t="shared" si="0"/>
        <v>0</v>
      </c>
      <c r="E26" s="197">
        <f>(' Pivot Table for Data Exchange'!$J$517)*100</f>
        <v>0</v>
      </c>
      <c r="F26" s="197">
        <f>(' Pivot Table for Data Exchange'!$J$520)*100</f>
        <v>0</v>
      </c>
      <c r="G26" s="199">
        <f>(' Pivot Table for Data Exchange'!$J$523)*100</f>
        <v>0</v>
      </c>
      <c r="H26" s="197">
        <f>(' Pivot Table for Data Exchange'!$J$526)*100</f>
        <v>0</v>
      </c>
      <c r="I26" s="40" t="s">
        <v>431</v>
      </c>
      <c r="J26" s="197">
        <f>(' Pivot Table for Data Exchange'!$J$529)*100</f>
        <v>0</v>
      </c>
      <c r="K26" s="197">
        <f>(' Pivot Table for Data Exchange'!$J$532)*100</f>
        <v>0</v>
      </c>
      <c r="L26" s="113">
        <f t="shared" si="1"/>
        <v>0</v>
      </c>
      <c r="M26" s="197">
        <f>(' Pivot Table for Data Exchange'!$J$535)*100</f>
        <v>0</v>
      </c>
      <c r="N26" s="197">
        <f>(' Pivot Table for Data Exchange'!$J$538)*100</f>
        <v>0</v>
      </c>
      <c r="O26" s="199">
        <f>(' Pivot Table for Data Exchange'!$J$541)*100</f>
        <v>0</v>
      </c>
      <c r="P26" s="200">
        <f>(' Pivot Table for Data Exchange'!$J$544)*100</f>
        <v>0</v>
      </c>
      <c r="Q26" s="39">
        <f t="shared" si="2"/>
        <v>0</v>
      </c>
      <c r="R26" s="39">
        <f t="shared" si="3"/>
        <v>0</v>
      </c>
      <c r="S26" s="47"/>
      <c r="T26" s="47"/>
      <c r="U26" s="47"/>
      <c r="V26" s="47"/>
      <c r="W26" s="47"/>
      <c r="X26" s="47"/>
      <c r="Y26" s="47"/>
      <c r="Z26" s="47"/>
      <c r="AA26" s="47"/>
      <c r="AB26" s="47"/>
      <c r="AC26" s="47"/>
      <c r="AD26" s="47"/>
      <c r="AE26" s="47"/>
      <c r="AF26" s="47"/>
      <c r="AG26" s="47"/>
      <c r="AH26" s="47"/>
      <c r="AI26" s="47"/>
      <c r="AJ26" s="47"/>
      <c r="AK26" s="47"/>
      <c r="AL26" s="47"/>
      <c r="AM26" s="47"/>
      <c r="AN26" s="47"/>
      <c r="AO26" s="47"/>
    </row>
    <row r="27" spans="1:41" ht="15.75" customHeight="1">
      <c r="A27" s="34" t="s">
        <v>124</v>
      </c>
      <c r="B27" s="201">
        <f>(' Pivot Table for Data Exchange'!$J$439)*100</f>
        <v>92.14759440101635</v>
      </c>
      <c r="C27" s="201">
        <f>(' Pivot Table for Data Exchange'!$J$442)*100</f>
        <v>3.8304072688658866</v>
      </c>
      <c r="D27" s="114">
        <f>SUM(E27:G27)</f>
        <v>4.021856934500601</v>
      </c>
      <c r="E27" s="201">
        <f>(' Pivot Table for Data Exchange'!$J$445)*100</f>
        <v>3.750801536404776</v>
      </c>
      <c r="F27" s="201">
        <f>(' Pivot Table for Data Exchange'!$J$448)*100</f>
        <v>0.1676245041432451</v>
      </c>
      <c r="G27" s="202">
        <f>(' Pivot Table for Data Exchange'!$J$451)*100</f>
        <v>0.10343089395258016</v>
      </c>
      <c r="H27" s="557">
        <f>(' Pivot Table for Data Exchange'!$J$454)*100</f>
        <v>0.0001413956171600549</v>
      </c>
      <c r="I27" s="34" t="s">
        <v>124</v>
      </c>
      <c r="J27" s="201">
        <f>(' Pivot Table for Data Exchange'!$J$457)*100</f>
        <v>57.798957043527956</v>
      </c>
      <c r="K27" s="201">
        <f>(' Pivot Table for Data Exchange'!$J$460)*100</f>
        <v>27.806814934755693</v>
      </c>
      <c r="L27" s="114">
        <f>SUM(M27:O27)</f>
        <v>14.394228021716355</v>
      </c>
      <c r="M27" s="201">
        <f>(' Pivot Table for Data Exchange'!$J$463)*100</f>
        <v>10.883774645204305</v>
      </c>
      <c r="N27" s="201">
        <f>(' Pivot Table for Data Exchange'!$J$466)*100</f>
        <v>3.22828364606153</v>
      </c>
      <c r="O27" s="202">
        <f>(' Pivot Table for Data Exchange'!$J$469)*100</f>
        <v>0.2821697304505191</v>
      </c>
      <c r="P27" s="201">
        <f>(' Pivot Table for Data Exchange'!$J$472)*100</f>
        <v>0</v>
      </c>
      <c r="Q27" s="39">
        <f t="shared" si="2"/>
        <v>100</v>
      </c>
      <c r="R27" s="39">
        <f t="shared" si="3"/>
        <v>100.00000000000001</v>
      </c>
      <c r="S27" s="47"/>
      <c r="T27" s="47"/>
      <c r="U27" s="47"/>
      <c r="V27" s="47"/>
      <c r="W27" s="47"/>
      <c r="X27" s="47"/>
      <c r="Y27" s="47"/>
      <c r="Z27" s="47"/>
      <c r="AA27" s="47"/>
      <c r="AB27" s="47"/>
      <c r="AC27" s="47"/>
      <c r="AD27" s="47"/>
      <c r="AE27" s="47"/>
      <c r="AF27" s="47"/>
      <c r="AG27" s="47"/>
      <c r="AH27" s="47"/>
      <c r="AI27" s="47"/>
      <c r="AJ27" s="47"/>
      <c r="AK27" s="47"/>
      <c r="AL27" s="47"/>
      <c r="AM27" s="47"/>
      <c r="AN27" s="47"/>
      <c r="AO27" s="47"/>
    </row>
    <row r="28" spans="1:41" s="64" customFormat="1" ht="18" customHeight="1">
      <c r="A28" s="115" t="s">
        <v>477</v>
      </c>
      <c r="B28" s="68"/>
      <c r="C28" s="68"/>
      <c r="D28" s="69"/>
      <c r="E28" s="68"/>
      <c r="F28" s="69"/>
      <c r="G28" s="69"/>
      <c r="H28" s="68"/>
      <c r="I28" s="115" t="s">
        <v>477</v>
      </c>
      <c r="J28" s="68"/>
      <c r="K28" s="68"/>
      <c r="L28" s="69"/>
      <c r="M28" s="68"/>
      <c r="N28" s="69"/>
      <c r="O28" s="69"/>
      <c r="P28" s="68"/>
      <c r="Q28" s="68"/>
      <c r="R28" s="68"/>
      <c r="S28" s="70"/>
      <c r="T28" s="70"/>
      <c r="U28" s="70"/>
      <c r="V28" s="70"/>
      <c r="W28" s="70"/>
      <c r="X28" s="70"/>
      <c r="Y28" s="70"/>
      <c r="Z28" s="70"/>
      <c r="AA28" s="70"/>
      <c r="AB28" s="70"/>
      <c r="AC28" s="70"/>
      <c r="AD28" s="70"/>
      <c r="AE28" s="70"/>
      <c r="AF28" s="70"/>
      <c r="AG28" s="70"/>
      <c r="AH28" s="70"/>
      <c r="AI28" s="70"/>
      <c r="AJ28" s="70"/>
      <c r="AK28" s="70"/>
      <c r="AL28" s="70"/>
      <c r="AM28" s="70"/>
      <c r="AN28" s="70"/>
      <c r="AO28" s="70"/>
    </row>
    <row r="29" spans="1:41" s="64" customFormat="1" ht="24.75" customHeight="1">
      <c r="A29" s="677" t="s">
        <v>746</v>
      </c>
      <c r="B29" s="689"/>
      <c r="C29" s="689"/>
      <c r="D29" s="689"/>
      <c r="E29" s="689"/>
      <c r="F29" s="689"/>
      <c r="G29" s="689"/>
      <c r="H29" s="689"/>
      <c r="I29" s="677" t="s">
        <v>746</v>
      </c>
      <c r="J29" s="689"/>
      <c r="K29" s="689"/>
      <c r="L29" s="689"/>
      <c r="M29" s="689"/>
      <c r="N29" s="689"/>
      <c r="O29" s="689"/>
      <c r="P29" s="689"/>
      <c r="Q29" s="68"/>
      <c r="R29" s="68"/>
      <c r="S29" s="70"/>
      <c r="T29" s="70"/>
      <c r="U29" s="70"/>
      <c r="V29" s="70"/>
      <c r="W29" s="70"/>
      <c r="X29" s="70"/>
      <c r="Y29" s="70"/>
      <c r="Z29" s="70"/>
      <c r="AA29" s="70"/>
      <c r="AB29" s="70"/>
      <c r="AC29" s="70"/>
      <c r="AD29" s="70"/>
      <c r="AE29" s="70"/>
      <c r="AF29" s="70"/>
      <c r="AG29" s="70"/>
      <c r="AH29" s="70"/>
      <c r="AI29" s="70"/>
      <c r="AJ29" s="70"/>
      <c r="AK29" s="70"/>
      <c r="AL29" s="70"/>
      <c r="AM29" s="70"/>
      <c r="AN29" s="70"/>
      <c r="AO29" s="70"/>
    </row>
    <row r="30" spans="1:18" s="64" customFormat="1" ht="13.5" customHeight="1">
      <c r="A30" s="687" t="s">
        <v>747</v>
      </c>
      <c r="B30" s="693"/>
      <c r="C30" s="693"/>
      <c r="D30" s="693"/>
      <c r="E30" s="693"/>
      <c r="F30" s="693"/>
      <c r="G30" s="693"/>
      <c r="H30" s="693"/>
      <c r="I30" s="687" t="s">
        <v>747</v>
      </c>
      <c r="J30" s="693"/>
      <c r="K30" s="693"/>
      <c r="L30" s="693"/>
      <c r="M30" s="693"/>
      <c r="N30" s="693"/>
      <c r="O30" s="693"/>
      <c r="P30" s="693"/>
      <c r="Q30" s="66"/>
      <c r="R30" s="67"/>
    </row>
    <row r="31" spans="1:18" s="64" customFormat="1" ht="13.5" customHeight="1">
      <c r="A31" s="116"/>
      <c r="H31" s="62"/>
      <c r="I31" s="116"/>
      <c r="Q31" s="66"/>
      <c r="R31" s="67"/>
    </row>
    <row r="32" spans="8:16" ht="12.75">
      <c r="H32" s="559" t="s">
        <v>766</v>
      </c>
      <c r="I32" s="38"/>
      <c r="P32" s="559" t="s">
        <v>766</v>
      </c>
    </row>
    <row r="33" spans="1:18" ht="18">
      <c r="A33" s="31" t="s">
        <v>442</v>
      </c>
      <c r="B33" s="32"/>
      <c r="C33" s="32"/>
      <c r="D33" s="32"/>
      <c r="E33" s="32"/>
      <c r="F33" s="32"/>
      <c r="G33" s="32"/>
      <c r="H33" s="46"/>
      <c r="I33" s="31" t="s">
        <v>457</v>
      </c>
      <c r="J33" s="33"/>
      <c r="K33" s="33"/>
      <c r="L33" s="32"/>
      <c r="M33" s="33"/>
      <c r="N33" s="33"/>
      <c r="O33" s="33"/>
      <c r="P33" s="33"/>
      <c r="Q33" s="55"/>
      <c r="R33" s="56"/>
    </row>
    <row r="34" spans="1:18" ht="12.75">
      <c r="A34" s="78"/>
      <c r="B34" s="33"/>
      <c r="C34" s="33"/>
      <c r="D34" s="33"/>
      <c r="E34" s="33"/>
      <c r="F34" s="33"/>
      <c r="G34" s="33"/>
      <c r="H34" s="43"/>
      <c r="I34" s="78"/>
      <c r="J34" s="33"/>
      <c r="K34" s="33"/>
      <c r="L34" s="33"/>
      <c r="M34" s="33"/>
      <c r="N34" s="33"/>
      <c r="O34" s="33"/>
      <c r="P34" s="33"/>
      <c r="R34" s="58"/>
    </row>
    <row r="35" spans="1:18" ht="15.75">
      <c r="A35" s="42" t="s">
        <v>465</v>
      </c>
      <c r="B35" s="33"/>
      <c r="C35" s="33"/>
      <c r="D35" s="33"/>
      <c r="E35" s="33"/>
      <c r="F35" s="33"/>
      <c r="G35" s="33"/>
      <c r="H35" s="43"/>
      <c r="I35" s="42" t="s">
        <v>466</v>
      </c>
      <c r="J35" s="33"/>
      <c r="K35" s="33"/>
      <c r="L35" s="33"/>
      <c r="M35" s="33"/>
      <c r="N35" s="33"/>
      <c r="O35" s="33"/>
      <c r="P35" s="33"/>
      <c r="R35" s="58" t="s">
        <v>14</v>
      </c>
    </row>
    <row r="36" spans="1:18" ht="15.75">
      <c r="A36" s="42" t="s">
        <v>731</v>
      </c>
      <c r="B36" s="33"/>
      <c r="C36" s="33"/>
      <c r="D36" s="33"/>
      <c r="E36" s="33"/>
      <c r="F36" s="33"/>
      <c r="G36" s="33"/>
      <c r="H36" s="43"/>
      <c r="I36" s="42" t="s">
        <v>731</v>
      </c>
      <c r="J36" s="33"/>
      <c r="K36" s="33"/>
      <c r="L36" s="33"/>
      <c r="M36" s="33"/>
      <c r="N36" s="33"/>
      <c r="O36" s="33"/>
      <c r="P36" s="33"/>
      <c r="R36" s="58" t="s">
        <v>14</v>
      </c>
    </row>
    <row r="37" spans="1:16" ht="12.75">
      <c r="A37" s="34"/>
      <c r="B37" s="35"/>
      <c r="C37" s="35"/>
      <c r="D37" s="35"/>
      <c r="E37" s="35"/>
      <c r="F37" s="35"/>
      <c r="G37" s="35"/>
      <c r="H37" s="35"/>
      <c r="I37" s="36"/>
      <c r="L37" s="37"/>
      <c r="P37" s="34"/>
    </row>
    <row r="38" spans="1:18" s="90" customFormat="1" ht="12">
      <c r="A38" s="85"/>
      <c r="B38" s="86" t="s">
        <v>231</v>
      </c>
      <c r="C38" s="86"/>
      <c r="D38" s="86"/>
      <c r="E38" s="86"/>
      <c r="F38" s="86"/>
      <c r="G38" s="86"/>
      <c r="H38" s="87"/>
      <c r="I38" s="85"/>
      <c r="J38" s="86" t="s">
        <v>231</v>
      </c>
      <c r="K38" s="86"/>
      <c r="L38" s="86"/>
      <c r="M38" s="86"/>
      <c r="N38" s="86"/>
      <c r="O38" s="86"/>
      <c r="P38" s="87"/>
      <c r="Q38" s="88"/>
      <c r="R38" s="89"/>
    </row>
    <row r="39" spans="1:18" s="90" customFormat="1" ht="12">
      <c r="A39" s="85"/>
      <c r="B39" s="86" t="s">
        <v>127</v>
      </c>
      <c r="C39" s="86"/>
      <c r="D39" s="690" t="s">
        <v>472</v>
      </c>
      <c r="E39" s="691"/>
      <c r="F39" s="691"/>
      <c r="G39" s="691"/>
      <c r="H39" s="91" t="s">
        <v>14</v>
      </c>
      <c r="I39" s="85"/>
      <c r="J39" s="86" t="s">
        <v>127</v>
      </c>
      <c r="K39" s="86"/>
      <c r="L39" s="690" t="s">
        <v>472</v>
      </c>
      <c r="M39" s="691"/>
      <c r="N39" s="691"/>
      <c r="O39" s="691"/>
      <c r="P39" s="91" t="s">
        <v>14</v>
      </c>
      <c r="Q39" s="88"/>
      <c r="R39" s="89"/>
    </row>
    <row r="40" spans="1:20" s="90" customFormat="1" ht="40.5" customHeight="1">
      <c r="A40" s="85"/>
      <c r="B40" s="92" t="s">
        <v>464</v>
      </c>
      <c r="C40" s="93" t="s">
        <v>463</v>
      </c>
      <c r="D40" s="94" t="s">
        <v>470</v>
      </c>
      <c r="E40" s="95" t="s">
        <v>12</v>
      </c>
      <c r="F40" s="92" t="s">
        <v>128</v>
      </c>
      <c r="G40" s="96" t="s">
        <v>474</v>
      </c>
      <c r="H40" s="97" t="s">
        <v>473</v>
      </c>
      <c r="I40" s="85"/>
      <c r="J40" s="92" t="s">
        <v>464</v>
      </c>
      <c r="K40" s="93" t="s">
        <v>463</v>
      </c>
      <c r="L40" s="94" t="s">
        <v>470</v>
      </c>
      <c r="M40" s="95" t="s">
        <v>12</v>
      </c>
      <c r="N40" s="92" t="s">
        <v>128</v>
      </c>
      <c r="O40" s="96" t="s">
        <v>474</v>
      </c>
      <c r="P40" s="97" t="s">
        <v>473</v>
      </c>
      <c r="Q40" s="98"/>
      <c r="R40" s="99"/>
      <c r="T40" s="100"/>
    </row>
    <row r="41" spans="1:41" ht="15.75" customHeight="1">
      <c r="A41" s="41" t="s">
        <v>421</v>
      </c>
      <c r="B41" s="197">
        <f>(' Pivot Table for Data Exchange'!$C$7)*100</f>
        <v>95.29091972362806</v>
      </c>
      <c r="C41" s="197">
        <f>(' Pivot Table for Data Exchange'!$C$10)*100</f>
        <v>0</v>
      </c>
      <c r="D41" s="113">
        <f>SUM(E41:G41)</f>
        <v>4.709080276371933</v>
      </c>
      <c r="E41" s="197">
        <f>(' Pivot Table for Data Exchange'!$C$13)*100</f>
        <v>4.705831390017977</v>
      </c>
      <c r="F41" s="205">
        <f>(' Pivot Table for Data Exchange'!$C$16)*100</f>
        <v>0.0032488863539553384</v>
      </c>
      <c r="G41" s="198">
        <f>(' Pivot Table for Data Exchange'!$C$19)*100</f>
        <v>0</v>
      </c>
      <c r="H41" s="197">
        <f>(' Pivot Table for Data Exchange'!$C$22)*100</f>
        <v>0</v>
      </c>
      <c r="I41" s="41" t="s">
        <v>421</v>
      </c>
      <c r="J41" s="197">
        <f>(' Pivot Table for Data Exchange'!$C$25)*100</f>
        <v>83.73463374987301</v>
      </c>
      <c r="K41" s="197">
        <f>(' Pivot Table for Data Exchange'!$C$28)*100</f>
        <v>2.415422127400183</v>
      </c>
      <c r="L41" s="113">
        <f>SUM(M41:O41)</f>
        <v>13.84994412272681</v>
      </c>
      <c r="M41" s="197">
        <f>(' Pivot Table for Data Exchange'!$C$31)*100</f>
        <v>13.308950523214467</v>
      </c>
      <c r="N41" s="197">
        <f>(' Pivot Table for Data Exchange'!$C$34)*100</f>
        <v>0.5409935995123438</v>
      </c>
      <c r="O41" s="198">
        <f>(' Pivot Table for Data Exchange'!$C$37)*100</f>
        <v>0</v>
      </c>
      <c r="P41" s="205">
        <f>(' Pivot Table for Data Exchange'!$C$40)*100</f>
        <v>0</v>
      </c>
      <c r="Q41" s="39">
        <f>SUM(B41,C41,D41,H41)</f>
        <v>100</v>
      </c>
      <c r="R41" s="39">
        <f>SUM(J41,K41,L41,P41)</f>
        <v>100</v>
      </c>
      <c r="S41" s="47"/>
      <c r="T41" s="47"/>
      <c r="U41" s="47"/>
      <c r="V41" s="47"/>
      <c r="W41" s="47"/>
      <c r="X41" s="47"/>
      <c r="Y41" s="47"/>
      <c r="Z41" s="47"/>
      <c r="AA41" s="47"/>
      <c r="AB41" s="47"/>
      <c r="AC41" s="47"/>
      <c r="AD41" s="47"/>
      <c r="AE41" s="47"/>
      <c r="AF41" s="47"/>
      <c r="AG41" s="47"/>
      <c r="AH41" s="47"/>
      <c r="AI41" s="47"/>
      <c r="AJ41" s="47"/>
      <c r="AK41" s="47"/>
      <c r="AL41" s="47"/>
      <c r="AM41" s="47"/>
      <c r="AN41" s="47"/>
      <c r="AO41" s="47"/>
    </row>
    <row r="42" spans="1:41" ht="15.75" customHeight="1">
      <c r="A42" s="40" t="s">
        <v>422</v>
      </c>
      <c r="B42" s="197">
        <f>(' Pivot Table for Data Exchange'!$C$43)*100</f>
        <v>96.99512912606527</v>
      </c>
      <c r="C42" s="197">
        <f>(' Pivot Table for Data Exchange'!$C$46)*100</f>
        <v>2.241482444396682</v>
      </c>
      <c r="D42" s="113">
        <f>SUM(E42:G42)</f>
        <v>0.7633884295380569</v>
      </c>
      <c r="E42" s="197">
        <f>(' Pivot Table for Data Exchange'!$C$49)*100</f>
        <v>0.41458102974573574</v>
      </c>
      <c r="F42" s="197">
        <f>(' Pivot Table for Data Exchange'!$C$52)*100</f>
        <v>0.34880739979232106</v>
      </c>
      <c r="G42" s="199">
        <f>(' Pivot Table for Data Exchange'!$C$55)*100</f>
        <v>0</v>
      </c>
      <c r="H42" s="197">
        <f>(' Pivot Table for Data Exchange'!$C$58)*100</f>
        <v>0</v>
      </c>
      <c r="I42" s="40" t="s">
        <v>422</v>
      </c>
      <c r="J42" s="197">
        <f>(' Pivot Table for Data Exchange'!$C$61)*100</f>
        <v>84.92750164090937</v>
      </c>
      <c r="K42" s="197">
        <f>(' Pivot Table for Data Exchange'!$C$64)*100</f>
        <v>5.7372158243331945</v>
      </c>
      <c r="L42" s="113">
        <f>SUM(M42:O42)</f>
        <v>9.335282534757443</v>
      </c>
      <c r="M42" s="197">
        <f>(' Pivot Table for Data Exchange'!$C$67)*100</f>
        <v>6.02064562324721</v>
      </c>
      <c r="N42" s="197">
        <f>(' Pivot Table for Data Exchange'!$C$70)*100</f>
        <v>1.843785428724864</v>
      </c>
      <c r="O42" s="199">
        <f>(' Pivot Table for Data Exchange'!$C$73)*100</f>
        <v>1.4708514827853691</v>
      </c>
      <c r="P42" s="197">
        <f>(' Pivot Table for Data Exchange'!$C$76)*100</f>
        <v>0</v>
      </c>
      <c r="Q42" s="39">
        <f aca="true" t="shared" si="4" ref="Q42:Q59">SUM(B42,C42,D42,H42)</f>
        <v>100</v>
      </c>
      <c r="R42" s="39">
        <f>SUM(J42,K42,L42,P42)</f>
        <v>100</v>
      </c>
      <c r="S42" s="47"/>
      <c r="T42" s="47"/>
      <c r="U42" s="47"/>
      <c r="V42" s="47"/>
      <c r="W42" s="47"/>
      <c r="X42" s="47"/>
      <c r="Y42" s="47"/>
      <c r="Z42" s="47"/>
      <c r="AA42" s="47"/>
      <c r="AB42" s="47"/>
      <c r="AC42" s="47"/>
      <c r="AD42" s="47"/>
      <c r="AE42" s="47"/>
      <c r="AF42" s="47"/>
      <c r="AG42" s="47"/>
      <c r="AH42" s="47"/>
      <c r="AI42" s="47"/>
      <c r="AJ42" s="47"/>
      <c r="AK42" s="47"/>
      <c r="AL42" s="47"/>
      <c r="AM42" s="47"/>
      <c r="AN42" s="47"/>
      <c r="AO42" s="47"/>
    </row>
    <row r="43" spans="1:41" ht="15.75" customHeight="1">
      <c r="A43" s="40" t="s">
        <v>423</v>
      </c>
      <c r="B43" s="197">
        <f>(' Pivot Table for Data Exchange'!$C$79)*100</f>
        <v>97.20246928236482</v>
      </c>
      <c r="C43" s="197">
        <f>(' Pivot Table for Data Exchange'!$C$82)*100</f>
        <v>0</v>
      </c>
      <c r="D43" s="113">
        <f>SUM(E43:G43)</f>
        <v>0.35772936823568985</v>
      </c>
      <c r="E43" s="197">
        <f>(' Pivot Table for Data Exchange'!$C$85)*100</f>
        <v>0</v>
      </c>
      <c r="F43" s="197">
        <f>(' Pivot Table for Data Exchange'!$C$88)*100</f>
        <v>0.35772936823568985</v>
      </c>
      <c r="G43" s="199">
        <f>(' Pivot Table for Data Exchange'!$C$91)*100</f>
        <v>0</v>
      </c>
      <c r="H43" s="197">
        <f>(' Pivot Table for Data Exchange'!$C$94)*100</f>
        <v>2.4398013493994974</v>
      </c>
      <c r="I43" s="40" t="s">
        <v>423</v>
      </c>
      <c r="J43" s="197">
        <f>(' Pivot Table for Data Exchange'!$C$97)*100</f>
        <v>95.66453203657409</v>
      </c>
      <c r="K43" s="197">
        <f>(' Pivot Table for Data Exchange'!$C$100)*100</f>
        <v>0</v>
      </c>
      <c r="L43" s="113">
        <f>SUM(M43:O43)</f>
        <v>2.172870792096161</v>
      </c>
      <c r="M43" s="197">
        <f>(' Pivot Table for Data Exchange'!$C$103)*100</f>
        <v>1.335570699633574</v>
      </c>
      <c r="N43" s="197">
        <f>(' Pivot Table for Data Exchange'!$C$106)*100</f>
        <v>0.837300092462587</v>
      </c>
      <c r="O43" s="199">
        <f>(' Pivot Table for Data Exchange'!$C$109)*100</f>
        <v>0</v>
      </c>
      <c r="P43" s="197">
        <f>(' Pivot Table for Data Exchange'!$C$112)*100</f>
        <v>2.162597171329749</v>
      </c>
      <c r="Q43" s="39">
        <f t="shared" si="4"/>
        <v>100.00000000000001</v>
      </c>
      <c r="R43" s="39">
        <f aca="true" t="shared" si="5" ref="R43:R59">SUM(J43,K43,L43,P43)</f>
        <v>100</v>
      </c>
      <c r="S43" s="47"/>
      <c r="T43" s="59"/>
      <c r="U43" s="47"/>
      <c r="V43" s="47"/>
      <c r="W43" s="47"/>
      <c r="X43" s="47"/>
      <c r="Y43" s="47"/>
      <c r="Z43" s="47"/>
      <c r="AA43" s="47"/>
      <c r="AB43" s="47"/>
      <c r="AC43" s="47"/>
      <c r="AD43" s="47"/>
      <c r="AE43" s="47"/>
      <c r="AF43" s="47"/>
      <c r="AG43" s="47"/>
      <c r="AH43" s="47"/>
      <c r="AI43" s="47"/>
      <c r="AJ43" s="47"/>
      <c r="AK43" s="47"/>
      <c r="AL43" s="47"/>
      <c r="AM43" s="47"/>
      <c r="AN43" s="47"/>
      <c r="AO43" s="47"/>
    </row>
    <row r="44" spans="1:41" ht="15.75" customHeight="1">
      <c r="A44" s="40" t="s">
        <v>745</v>
      </c>
      <c r="B44" s="197">
        <f>(' Pivot Table for Data Exchange'!$C$115)*100</f>
        <v>79.72030674388125</v>
      </c>
      <c r="C44" s="197">
        <f>(' Pivot Table for Data Exchange'!$C$118)*100</f>
        <v>6.435095816449478</v>
      </c>
      <c r="D44" s="113">
        <f>SUM(E44:G44)</f>
        <v>13.546858281337439</v>
      </c>
      <c r="E44" s="197">
        <f>(' Pivot Table for Data Exchange'!$C$121)*100</f>
        <v>4.581253041828214</v>
      </c>
      <c r="F44" s="200">
        <f>(' Pivot Table for Data Exchange'!$C$124)*100</f>
        <v>0.025264263098317356</v>
      </c>
      <c r="G44" s="199">
        <f>(' Pivot Table for Data Exchange'!$C$127)*100</f>
        <v>8.940340976410907</v>
      </c>
      <c r="H44" s="197">
        <f>(' Pivot Table for Data Exchange'!$C$130)*100</f>
        <v>0.2977391583318295</v>
      </c>
      <c r="I44" s="40" t="s">
        <v>745</v>
      </c>
      <c r="J44" s="197">
        <f>(' Pivot Table for Data Exchange'!$C$133)*100</f>
        <v>77.06061400492321</v>
      </c>
      <c r="K44" s="197">
        <f>(' Pivot Table for Data Exchange'!$C$136)*100</f>
        <v>11.186846934571738</v>
      </c>
      <c r="L44" s="113">
        <f>SUM(M44:O44)</f>
        <v>11.748453411686999</v>
      </c>
      <c r="M44" s="197">
        <f>(' Pivot Table for Data Exchange'!$C$139)*100</f>
        <v>7.446775912376452</v>
      </c>
      <c r="N44" s="197">
        <f>(' Pivot Table for Data Exchange'!$C$142)*100</f>
        <v>0.2844632989571382</v>
      </c>
      <c r="O44" s="199">
        <f>(' Pivot Table for Data Exchange'!$C$145)*100</f>
        <v>4.017214200353409</v>
      </c>
      <c r="P44" s="205">
        <f>(' Pivot Table for Data Exchange'!$C$148)*100</f>
        <v>0.004085648818055844</v>
      </c>
      <c r="Q44" s="39">
        <f t="shared" si="4"/>
        <v>100</v>
      </c>
      <c r="R44" s="39">
        <f t="shared" si="5"/>
        <v>100</v>
      </c>
      <c r="S44" s="47"/>
      <c r="U44" s="47"/>
      <c r="V44" s="47"/>
      <c r="W44" s="47"/>
      <c r="X44" s="47"/>
      <c r="Y44" s="47"/>
      <c r="Z44" s="47"/>
      <c r="AA44" s="47"/>
      <c r="AB44" s="47"/>
      <c r="AC44" s="47"/>
      <c r="AD44" s="47"/>
      <c r="AE44" s="47"/>
      <c r="AF44" s="47"/>
      <c r="AG44" s="47"/>
      <c r="AH44" s="47"/>
      <c r="AI44" s="47"/>
      <c r="AJ44" s="47"/>
      <c r="AK44" s="47"/>
      <c r="AL44" s="47"/>
      <c r="AM44" s="47"/>
      <c r="AN44" s="47"/>
      <c r="AO44" s="47"/>
    </row>
    <row r="45" spans="1:41" ht="10.5" customHeight="1">
      <c r="A45" s="40"/>
      <c r="B45" s="102"/>
      <c r="C45" s="103"/>
      <c r="D45" s="113"/>
      <c r="E45" s="102"/>
      <c r="F45" s="102"/>
      <c r="G45" s="103"/>
      <c r="H45" s="102"/>
      <c r="I45" s="40"/>
      <c r="J45" s="102"/>
      <c r="K45" s="103"/>
      <c r="L45" s="113"/>
      <c r="M45" s="102"/>
      <c r="N45" s="102"/>
      <c r="O45" s="103"/>
      <c r="P45" s="102"/>
      <c r="Q45" s="39"/>
      <c r="R45" s="39"/>
      <c r="S45" s="47"/>
      <c r="U45" s="47"/>
      <c r="V45" s="47"/>
      <c r="W45" s="47"/>
      <c r="X45" s="47"/>
      <c r="Y45" s="47"/>
      <c r="Z45" s="47"/>
      <c r="AA45" s="47"/>
      <c r="AB45" s="47"/>
      <c r="AC45" s="47"/>
      <c r="AD45" s="47"/>
      <c r="AE45" s="47"/>
      <c r="AF45" s="47"/>
      <c r="AG45" s="47"/>
      <c r="AH45" s="47"/>
      <c r="AI45" s="47"/>
      <c r="AJ45" s="47"/>
      <c r="AK45" s="47"/>
      <c r="AL45" s="47"/>
      <c r="AM45" s="47"/>
      <c r="AN45" s="47"/>
      <c r="AO45" s="47"/>
    </row>
    <row r="46" spans="1:41" ht="15.75" customHeight="1">
      <c r="A46" s="40" t="s">
        <v>425</v>
      </c>
      <c r="B46" s="197">
        <f>(' Pivot Table for Data Exchange'!$C$151)*100</f>
        <v>97.79956849416915</v>
      </c>
      <c r="C46" s="197">
        <f>(' Pivot Table for Data Exchange'!$C$154)*100</f>
        <v>2.0008007081449515</v>
      </c>
      <c r="D46" s="113">
        <f>SUM(E46:G46)</f>
        <v>0.19963079768589428</v>
      </c>
      <c r="E46" s="197">
        <f>(' Pivot Table for Data Exchange'!$C$157)*100</f>
        <v>0.19910233612815156</v>
      </c>
      <c r="F46" s="558">
        <f>(' Pivot Table for Data Exchange'!$C$160)*100</f>
        <v>4.363444054756568E-05</v>
      </c>
      <c r="G46" s="449">
        <f>(' Pivot Table for Data Exchange'!$C$163)*100</f>
        <v>0.00048482711719517426</v>
      </c>
      <c r="H46" s="197">
        <f>(' Pivot Table for Data Exchange'!$C$166)*100</f>
        <v>0</v>
      </c>
      <c r="I46" s="40" t="s">
        <v>425</v>
      </c>
      <c r="J46" s="197">
        <f>(' Pivot Table for Data Exchange'!$C$169)*100</f>
        <v>92.11085157709003</v>
      </c>
      <c r="K46" s="197">
        <f>(' Pivot Table for Data Exchange'!$C$172)*100</f>
        <v>4.469480210431703</v>
      </c>
      <c r="L46" s="113">
        <f>SUM(M46:O46)</f>
        <v>3.4196682124782756</v>
      </c>
      <c r="M46" s="197">
        <f>(' Pivot Table for Data Exchange'!$C$175)*100</f>
        <v>3.3027376219870828</v>
      </c>
      <c r="N46" s="197">
        <f>(' Pivot Table for Data Exchange'!$C$178)*100</f>
        <v>0.049991047521591794</v>
      </c>
      <c r="O46" s="199">
        <f>(' Pivot Table for Data Exchange'!$C$181)*100</f>
        <v>0.06693954296960085</v>
      </c>
      <c r="P46" s="197">
        <f>(' Pivot Table for Data Exchange'!$C$184)*100</f>
        <v>0</v>
      </c>
      <c r="Q46" s="39">
        <f t="shared" si="4"/>
        <v>100</v>
      </c>
      <c r="R46" s="39">
        <f t="shared" si="5"/>
        <v>100</v>
      </c>
      <c r="S46" s="47"/>
      <c r="T46" s="47"/>
      <c r="U46" s="47"/>
      <c r="V46" s="47"/>
      <c r="W46" s="47"/>
      <c r="X46" s="47"/>
      <c r="Y46" s="47"/>
      <c r="Z46" s="47"/>
      <c r="AA46" s="47"/>
      <c r="AB46" s="47"/>
      <c r="AC46" s="47"/>
      <c r="AD46" s="47"/>
      <c r="AE46" s="47"/>
      <c r="AF46" s="47"/>
      <c r="AG46" s="47"/>
      <c r="AH46" s="47"/>
      <c r="AI46" s="47"/>
      <c r="AJ46" s="47"/>
      <c r="AK46" s="47"/>
      <c r="AL46" s="47"/>
      <c r="AM46" s="47"/>
      <c r="AN46" s="47"/>
      <c r="AO46" s="47"/>
    </row>
    <row r="47" spans="1:41" ht="15.75" customHeight="1">
      <c r="A47" s="40" t="s">
        <v>426</v>
      </c>
      <c r="B47" s="197">
        <f>(' Pivot Table for Data Exchange'!$C$187)*100</f>
        <v>97.48409872072487</v>
      </c>
      <c r="C47" s="197">
        <f>(' Pivot Table for Data Exchange'!$C$190)*100</f>
        <v>0.44762028462369075</v>
      </c>
      <c r="D47" s="113">
        <f>SUM(E47:G47)</f>
        <v>2.068280994651432</v>
      </c>
      <c r="E47" s="197">
        <f>(' Pivot Table for Data Exchange'!$C$193)*100</f>
        <v>1.4653797018061836</v>
      </c>
      <c r="F47" s="197">
        <f>(' Pivot Table for Data Exchange'!$C$196)*100</f>
        <v>0.3123067468725707</v>
      </c>
      <c r="G47" s="199">
        <f>(' Pivot Table for Data Exchange'!$C$199)*100</f>
        <v>0.29059454597267753</v>
      </c>
      <c r="H47" s="197">
        <f>(' Pivot Table for Data Exchange'!$C$202)*100</f>
        <v>0</v>
      </c>
      <c r="I47" s="40" t="s">
        <v>426</v>
      </c>
      <c r="J47" s="197">
        <f>(' Pivot Table for Data Exchange'!$C$205)*100</f>
        <v>89.6261226763211</v>
      </c>
      <c r="K47" s="197">
        <f>(' Pivot Table for Data Exchange'!$C$208)*100</f>
        <v>4.698414908677389</v>
      </c>
      <c r="L47" s="113">
        <f>SUM(M47:O47)</f>
        <v>5.675462415001508</v>
      </c>
      <c r="M47" s="197">
        <f>(' Pivot Table for Data Exchange'!$C$211)*100</f>
        <v>4.560328622154146</v>
      </c>
      <c r="N47" s="197">
        <f>(' Pivot Table for Data Exchange'!$C$214)*100</f>
        <v>1.0106987862331454</v>
      </c>
      <c r="O47" s="199">
        <f>(' Pivot Table for Data Exchange'!$C$217)*100</f>
        <v>0.10443500661421708</v>
      </c>
      <c r="P47" s="197">
        <f>(' Pivot Table for Data Exchange'!$C$220)*100</f>
        <v>0</v>
      </c>
      <c r="Q47" s="39">
        <f t="shared" si="4"/>
        <v>100</v>
      </c>
      <c r="R47" s="39">
        <f t="shared" si="5"/>
        <v>100</v>
      </c>
      <c r="S47" s="47"/>
      <c r="T47" s="47"/>
      <c r="U47" s="47"/>
      <c r="V47" s="47"/>
      <c r="W47" s="47"/>
      <c r="X47" s="47"/>
      <c r="Y47" s="47"/>
      <c r="Z47" s="47"/>
      <c r="AA47" s="47"/>
      <c r="AB47" s="47"/>
      <c r="AC47" s="47"/>
      <c r="AD47" s="47"/>
      <c r="AE47" s="47"/>
      <c r="AF47" s="47"/>
      <c r="AG47" s="47"/>
      <c r="AH47" s="47"/>
      <c r="AI47" s="47"/>
      <c r="AJ47" s="47"/>
      <c r="AK47" s="47"/>
      <c r="AL47" s="47"/>
      <c r="AM47" s="47"/>
      <c r="AN47" s="47"/>
      <c r="AO47" s="47"/>
    </row>
    <row r="48" spans="1:41" ht="15.75" customHeight="1">
      <c r="A48" s="40" t="s">
        <v>427</v>
      </c>
      <c r="B48" s="197">
        <f>(' Pivot Table for Data Exchange'!$C$223)*100</f>
        <v>94.89429670024415</v>
      </c>
      <c r="C48" s="197">
        <f>(' Pivot Table for Data Exchange'!$C$226)*100</f>
        <v>0</v>
      </c>
      <c r="D48" s="113">
        <f>SUM(E48:G48)</f>
        <v>0.727471649195651</v>
      </c>
      <c r="E48" s="197">
        <f>(' Pivot Table for Data Exchange'!$C$229)*100</f>
        <v>0.727471649195651</v>
      </c>
      <c r="F48" s="200">
        <f>(' Pivot Table for Data Exchange'!$C$232)*100</f>
        <v>0</v>
      </c>
      <c r="G48" s="199">
        <f>(' Pivot Table for Data Exchange'!$C$235)*100</f>
        <v>0</v>
      </c>
      <c r="H48" s="197">
        <f>(' Pivot Table for Data Exchange'!$C$238)*100</f>
        <v>4.378231650560194</v>
      </c>
      <c r="I48" s="40" t="s">
        <v>427</v>
      </c>
      <c r="J48" s="197">
        <f>(' Pivot Table for Data Exchange'!$C$241)*100</f>
        <v>97.58925293007906</v>
      </c>
      <c r="K48" s="197">
        <f>(' Pivot Table for Data Exchange'!$C$244)*100</f>
        <v>0</v>
      </c>
      <c r="L48" s="113">
        <f>SUM(M48:O48)</f>
        <v>2.4107470699209506</v>
      </c>
      <c r="M48" s="197">
        <f>(' Pivot Table for Data Exchange'!$C$247)*100</f>
        <v>0.5950898754531757</v>
      </c>
      <c r="N48" s="197">
        <f>(' Pivot Table for Data Exchange'!$C$250)*100</f>
        <v>1.8156571944677746</v>
      </c>
      <c r="O48" s="199">
        <f>(' Pivot Table for Data Exchange'!$C$253)*100</f>
        <v>0</v>
      </c>
      <c r="P48" s="197">
        <f>(' Pivot Table for Data Exchange'!$C$256)*100</f>
        <v>0</v>
      </c>
      <c r="Q48" s="39">
        <f t="shared" si="4"/>
        <v>100</v>
      </c>
      <c r="R48" s="39">
        <f t="shared" si="5"/>
        <v>100</v>
      </c>
      <c r="S48" s="47"/>
      <c r="T48" s="59"/>
      <c r="U48" s="47"/>
      <c r="V48" s="47"/>
      <c r="W48" s="47"/>
      <c r="X48" s="47"/>
      <c r="Y48" s="47"/>
      <c r="Z48" s="47"/>
      <c r="AA48" s="47"/>
      <c r="AB48" s="47"/>
      <c r="AC48" s="47"/>
      <c r="AD48" s="47"/>
      <c r="AE48" s="47"/>
      <c r="AF48" s="47"/>
      <c r="AG48" s="47"/>
      <c r="AH48" s="47"/>
      <c r="AI48" s="47"/>
      <c r="AJ48" s="47"/>
      <c r="AK48" s="47"/>
      <c r="AL48" s="47"/>
      <c r="AM48" s="47"/>
      <c r="AN48" s="47"/>
      <c r="AO48" s="47"/>
    </row>
    <row r="49" spans="1:41" ht="15.75" customHeight="1">
      <c r="A49" s="40" t="s">
        <v>428</v>
      </c>
      <c r="B49" s="197">
        <f>(' Pivot Table for Data Exchange'!$C$259)*100</f>
        <v>98.9398944358323</v>
      </c>
      <c r="C49" s="197">
        <f>(' Pivot Table for Data Exchange'!$C$262)*100</f>
        <v>1.000045991564606</v>
      </c>
      <c r="D49" s="113">
        <f>SUM(E49:G49)</f>
        <v>0.06005957260309551</v>
      </c>
      <c r="E49" s="200">
        <f>(' Pivot Table for Data Exchange'!$C$265)*100</f>
        <v>0.030029786301547755</v>
      </c>
      <c r="F49" s="200">
        <f>(' Pivot Table for Data Exchange'!$C$268)*100</f>
        <v>0.030029786301547755</v>
      </c>
      <c r="G49" s="199">
        <f>(' Pivot Table for Data Exchange'!$C$271)*100</f>
        <v>0</v>
      </c>
      <c r="H49" s="197">
        <f>(' Pivot Table for Data Exchange'!$C$274)*100</f>
        <v>0</v>
      </c>
      <c r="I49" s="40" t="s">
        <v>428</v>
      </c>
      <c r="J49" s="197">
        <f>(' Pivot Table for Data Exchange'!$C$277)*100</f>
        <v>81.9202690936693</v>
      </c>
      <c r="K49" s="197">
        <f>(' Pivot Table for Data Exchange'!$C$280)*100</f>
        <v>17.13983791869144</v>
      </c>
      <c r="L49" s="113">
        <f>SUM(M49:O49)</f>
        <v>0.9398929876392538</v>
      </c>
      <c r="M49" s="197">
        <f>(' Pivot Table for Data Exchange'!$C$283)*100</f>
        <v>0.8498478162185493</v>
      </c>
      <c r="N49" s="197">
        <f>(' Pivot Table for Data Exchange'!$C$286)*100</f>
        <v>0.09004517142070444</v>
      </c>
      <c r="O49" s="199">
        <f>(' Pivot Table for Data Exchange'!$C$289)*100</f>
        <v>0</v>
      </c>
      <c r="P49" s="197">
        <f>(' Pivot Table for Data Exchange'!$C$292)*100</f>
        <v>0</v>
      </c>
      <c r="Q49" s="39">
        <f t="shared" si="4"/>
        <v>100</v>
      </c>
      <c r="R49" s="39">
        <f t="shared" si="5"/>
        <v>100</v>
      </c>
      <c r="S49" s="47"/>
      <c r="U49" s="47"/>
      <c r="V49" s="47"/>
      <c r="W49" s="47"/>
      <c r="X49" s="47"/>
      <c r="Y49" s="47"/>
      <c r="Z49" s="47"/>
      <c r="AA49" s="47"/>
      <c r="AB49" s="47"/>
      <c r="AC49" s="47"/>
      <c r="AD49" s="47"/>
      <c r="AE49" s="47"/>
      <c r="AF49" s="47"/>
      <c r="AG49" s="47"/>
      <c r="AH49" s="47"/>
      <c r="AI49" s="47"/>
      <c r="AJ49" s="47"/>
      <c r="AK49" s="47"/>
      <c r="AL49" s="47"/>
      <c r="AM49" s="47"/>
      <c r="AN49" s="47"/>
      <c r="AO49" s="47"/>
    </row>
    <row r="50" spans="1:41" ht="12" customHeight="1">
      <c r="A50" s="40"/>
      <c r="B50" s="102"/>
      <c r="C50" s="103"/>
      <c r="D50" s="113"/>
      <c r="E50" s="102"/>
      <c r="F50" s="102"/>
      <c r="G50" s="103"/>
      <c r="H50" s="102"/>
      <c r="I50" s="40"/>
      <c r="J50" s="102"/>
      <c r="K50" s="103"/>
      <c r="L50" s="113"/>
      <c r="M50" s="102"/>
      <c r="N50" s="102"/>
      <c r="O50" s="103"/>
      <c r="P50" s="102"/>
      <c r="Q50" s="39"/>
      <c r="R50" s="39"/>
      <c r="S50" s="47"/>
      <c r="U50" s="47"/>
      <c r="V50" s="47"/>
      <c r="W50" s="47"/>
      <c r="X50" s="47"/>
      <c r="Y50" s="47"/>
      <c r="Z50" s="47"/>
      <c r="AA50" s="47"/>
      <c r="AB50" s="47"/>
      <c r="AC50" s="47"/>
      <c r="AD50" s="47"/>
      <c r="AE50" s="47"/>
      <c r="AF50" s="47"/>
      <c r="AG50" s="47"/>
      <c r="AH50" s="47"/>
      <c r="AI50" s="47"/>
      <c r="AJ50" s="47"/>
      <c r="AK50" s="47"/>
      <c r="AL50" s="47"/>
      <c r="AM50" s="47"/>
      <c r="AN50" s="47"/>
      <c r="AO50" s="47"/>
    </row>
    <row r="51" spans="1:41" ht="15.75" customHeight="1">
      <c r="A51" s="40" t="s">
        <v>122</v>
      </c>
      <c r="B51" s="197">
        <f>(' Pivot Table for Data Exchange'!$C$295)*100</f>
        <v>82.38135437040384</v>
      </c>
      <c r="C51" s="197">
        <f>(' Pivot Table for Data Exchange'!$C$298)*100</f>
        <v>10.68925337819762</v>
      </c>
      <c r="D51" s="113">
        <f>SUM(E51:G51)</f>
        <v>6.710619400633728</v>
      </c>
      <c r="E51" s="197">
        <f>(' Pivot Table for Data Exchange'!$C$301)*100</f>
        <v>6.105129866655569</v>
      </c>
      <c r="F51" s="197">
        <f>(' Pivot Table for Data Exchange'!$C$304)*100</f>
        <v>0.5876547907092877</v>
      </c>
      <c r="G51" s="203">
        <f>(' Pivot Table for Data Exchange'!$C$307)*100</f>
        <v>0.017834743268870645</v>
      </c>
      <c r="H51" s="197">
        <f>(' Pivot Table for Data Exchange'!$C$310)*100</f>
        <v>0.21877285076481323</v>
      </c>
      <c r="I51" s="40" t="s">
        <v>122</v>
      </c>
      <c r="J51" s="197">
        <f>(' Pivot Table for Data Exchange'!$C$313)*100</f>
        <v>74.59597247004844</v>
      </c>
      <c r="K51" s="197">
        <f>(' Pivot Table for Data Exchange'!$C$316)*100</f>
        <v>14.859376327640412</v>
      </c>
      <c r="L51" s="113">
        <f>SUM(M51:O51)</f>
        <v>10.534454923952758</v>
      </c>
      <c r="M51" s="197">
        <f>(' Pivot Table for Data Exchange'!$C$319)*100</f>
        <v>8.296371824284137</v>
      </c>
      <c r="N51" s="197">
        <f>(' Pivot Table for Data Exchange'!$C$322)*100</f>
        <v>2.238083099668621</v>
      </c>
      <c r="O51" s="199">
        <f>(' Pivot Table for Data Exchange'!$C$325)*100</f>
        <v>0</v>
      </c>
      <c r="P51" s="200">
        <f>(' Pivot Table for Data Exchange'!$C$328)*100</f>
        <v>0.010196278358399183</v>
      </c>
      <c r="Q51" s="39">
        <f t="shared" si="4"/>
        <v>100</v>
      </c>
      <c r="R51" s="39">
        <f t="shared" si="5"/>
        <v>100</v>
      </c>
      <c r="S51" s="47"/>
      <c r="T51" s="47"/>
      <c r="U51" s="47"/>
      <c r="V51" s="47"/>
      <c r="W51" s="47"/>
      <c r="X51" s="47"/>
      <c r="Y51" s="47"/>
      <c r="Z51" s="47"/>
      <c r="AA51" s="47"/>
      <c r="AB51" s="47"/>
      <c r="AC51" s="47"/>
      <c r="AD51" s="47"/>
      <c r="AE51" s="47"/>
      <c r="AF51" s="47"/>
      <c r="AG51" s="47"/>
      <c r="AH51" s="47"/>
      <c r="AI51" s="47"/>
      <c r="AJ51" s="47"/>
      <c r="AK51" s="47"/>
      <c r="AL51" s="47"/>
      <c r="AM51" s="47"/>
      <c r="AN51" s="47"/>
      <c r="AO51" s="47"/>
    </row>
    <row r="52" spans="1:41" ht="15.75" customHeight="1">
      <c r="A52" s="40" t="s">
        <v>130</v>
      </c>
      <c r="B52" s="197">
        <f>(' Pivot Table for Data Exchange'!$C$331)*100</f>
        <v>95.63603629288794</v>
      </c>
      <c r="C52" s="197">
        <f>(' Pivot Table for Data Exchange'!$C$334)*100</f>
        <v>1.473133636214044</v>
      </c>
      <c r="D52" s="113">
        <f>SUM(E52:G52)</f>
        <v>2.890830070898021</v>
      </c>
      <c r="E52" s="197">
        <f>(' Pivot Table for Data Exchange'!$C$337)*100</f>
        <v>2.498281886730358</v>
      </c>
      <c r="F52" s="197">
        <f>(' Pivot Table for Data Exchange'!$C$340)*100</f>
        <v>0</v>
      </c>
      <c r="G52" s="199">
        <f>(' Pivot Table for Data Exchange'!$C$343)*100</f>
        <v>0.3925481841676632</v>
      </c>
      <c r="H52" s="197">
        <f>(' Pivot Table for Data Exchange'!$C$346)*100</f>
        <v>0</v>
      </c>
      <c r="I52" s="40" t="s">
        <v>130</v>
      </c>
      <c r="J52" s="197">
        <f>(' Pivot Table for Data Exchange'!$C$349)*100</f>
        <v>90.60104449242466</v>
      </c>
      <c r="K52" s="197">
        <f>(' Pivot Table for Data Exchange'!$C$352)*100</f>
        <v>5.194412150067357</v>
      </c>
      <c r="L52" s="113">
        <f>SUM(M52:O52)</f>
        <v>4.204543357507982</v>
      </c>
      <c r="M52" s="197">
        <f>(' Pivot Table for Data Exchange'!$C$355)*100</f>
        <v>3.941021240473159</v>
      </c>
      <c r="N52" s="197">
        <f>(' Pivot Table for Data Exchange'!$C$358)*100</f>
        <v>0</v>
      </c>
      <c r="O52" s="199">
        <f>(' Pivot Table for Data Exchange'!$C$361)*100</f>
        <v>0.2635221170348226</v>
      </c>
      <c r="P52" s="197">
        <f>(' Pivot Table for Data Exchange'!$C$364)*100</f>
        <v>0</v>
      </c>
      <c r="Q52" s="39">
        <f t="shared" si="4"/>
        <v>100</v>
      </c>
      <c r="R52" s="39">
        <f t="shared" si="5"/>
        <v>100</v>
      </c>
      <c r="S52" s="47"/>
      <c r="T52" s="47"/>
      <c r="U52" s="47"/>
      <c r="V52" s="47"/>
      <c r="W52" s="47"/>
      <c r="X52" s="47"/>
      <c r="Y52" s="47"/>
      <c r="Z52" s="47"/>
      <c r="AA52" s="47"/>
      <c r="AB52" s="47"/>
      <c r="AC52" s="47"/>
      <c r="AD52" s="47"/>
      <c r="AE52" s="47"/>
      <c r="AF52" s="47"/>
      <c r="AG52" s="47"/>
      <c r="AH52" s="47"/>
      <c r="AI52" s="47"/>
      <c r="AJ52" s="47"/>
      <c r="AK52" s="47"/>
      <c r="AL52" s="47"/>
      <c r="AM52" s="47"/>
      <c r="AN52" s="47"/>
      <c r="AO52" s="47"/>
    </row>
    <row r="53" spans="1:41" ht="15.75" customHeight="1">
      <c r="A53" s="40" t="s">
        <v>123</v>
      </c>
      <c r="B53" s="197">
        <f>(' Pivot Table for Data Exchange'!$C$367)*100</f>
        <v>95.7462474652415</v>
      </c>
      <c r="C53" s="197">
        <f>(' Pivot Table for Data Exchange'!$C$370)*100</f>
        <v>0.33839253534099556</v>
      </c>
      <c r="D53" s="113">
        <f>SUM(E53:G53)</f>
        <v>3.7243202114452765</v>
      </c>
      <c r="E53" s="197">
        <f>(' Pivot Table for Data Exchange'!$C$373)*100</f>
        <v>3.3701821385534494</v>
      </c>
      <c r="F53" s="197">
        <f>(' Pivot Table for Data Exchange'!$C$376)*100</f>
        <v>0.2924301280394348</v>
      </c>
      <c r="G53" s="199">
        <f>(' Pivot Table for Data Exchange'!$C$379)*100</f>
        <v>0.061707944852392414</v>
      </c>
      <c r="H53" s="197">
        <f>(' Pivot Table for Data Exchange'!$C$382)*100</f>
        <v>0.1910397879722296</v>
      </c>
      <c r="I53" s="40" t="s">
        <v>123</v>
      </c>
      <c r="J53" s="197">
        <f>(' Pivot Table for Data Exchange'!$C$385)*100</f>
        <v>87.05189910451529</v>
      </c>
      <c r="K53" s="197">
        <f>(' Pivot Table for Data Exchange'!$C$388)*100</f>
        <v>4.783184850762109</v>
      </c>
      <c r="L53" s="113">
        <f>SUM(M53:O53)</f>
        <v>8.15803211353897</v>
      </c>
      <c r="M53" s="197">
        <f>(' Pivot Table for Data Exchange'!$C$391)*100</f>
        <v>2.7977443652154954</v>
      </c>
      <c r="N53" s="197">
        <f>(' Pivot Table for Data Exchange'!$C$394)*100</f>
        <v>5.351682834343933</v>
      </c>
      <c r="O53" s="203">
        <f>(' Pivot Table for Data Exchange'!$C$397)*100</f>
        <v>0.00860491397954325</v>
      </c>
      <c r="P53" s="200">
        <f>(' Pivot Table for Data Exchange'!$C$400)*100</f>
        <v>0.006883931183634601</v>
      </c>
      <c r="Q53" s="39">
        <f t="shared" si="4"/>
        <v>100</v>
      </c>
      <c r="R53" s="39">
        <f t="shared" si="5"/>
        <v>100</v>
      </c>
      <c r="S53" s="47"/>
      <c r="T53" s="59"/>
      <c r="U53" s="47"/>
      <c r="V53" s="47"/>
      <c r="W53" s="47"/>
      <c r="X53" s="47"/>
      <c r="Y53" s="47"/>
      <c r="Z53" s="47"/>
      <c r="AA53" s="47"/>
      <c r="AB53" s="47"/>
      <c r="AC53" s="47"/>
      <c r="AD53" s="47"/>
      <c r="AE53" s="47"/>
      <c r="AF53" s="47"/>
      <c r="AG53" s="47"/>
      <c r="AH53" s="47"/>
      <c r="AI53" s="47"/>
      <c r="AJ53" s="47"/>
      <c r="AK53" s="47"/>
      <c r="AL53" s="47"/>
      <c r="AM53" s="47"/>
      <c r="AN53" s="47"/>
      <c r="AO53" s="47"/>
    </row>
    <row r="54" spans="1:41" ht="15.75" customHeight="1">
      <c r="A54" s="40" t="s">
        <v>429</v>
      </c>
      <c r="B54" s="197"/>
      <c r="C54" s="197"/>
      <c r="D54" s="113"/>
      <c r="E54" s="197"/>
      <c r="F54" s="197"/>
      <c r="G54" s="199"/>
      <c r="H54" s="197"/>
      <c r="I54" s="40" t="s">
        <v>429</v>
      </c>
      <c r="J54" s="197"/>
      <c r="K54" s="197"/>
      <c r="L54" s="113"/>
      <c r="M54" s="197"/>
      <c r="N54" s="197"/>
      <c r="O54" s="203"/>
      <c r="P54" s="200"/>
      <c r="Q54" s="39">
        <f t="shared" si="4"/>
        <v>0</v>
      </c>
      <c r="R54" s="39">
        <f t="shared" si="5"/>
        <v>0</v>
      </c>
      <c r="S54" s="47"/>
      <c r="T54" s="47"/>
      <c r="U54" s="47"/>
      <c r="V54" s="47"/>
      <c r="W54" s="47"/>
      <c r="X54" s="47"/>
      <c r="Y54" s="47"/>
      <c r="Z54" s="47"/>
      <c r="AA54" s="47"/>
      <c r="AB54" s="47"/>
      <c r="AC54" s="47"/>
      <c r="AD54" s="47"/>
      <c r="AE54" s="47"/>
      <c r="AF54" s="47"/>
      <c r="AG54" s="47"/>
      <c r="AH54" s="47"/>
      <c r="AI54" s="47"/>
      <c r="AJ54" s="47"/>
      <c r="AK54" s="47"/>
      <c r="AL54" s="47"/>
      <c r="AM54" s="47"/>
      <c r="AN54" s="47"/>
      <c r="AO54" s="47"/>
    </row>
    <row r="55" spans="1:41" ht="14.25" customHeight="1">
      <c r="A55" s="40"/>
      <c r="B55" s="197"/>
      <c r="C55" s="197"/>
      <c r="D55" s="113"/>
      <c r="E55" s="197"/>
      <c r="F55" s="197"/>
      <c r="G55" s="199"/>
      <c r="H55" s="197"/>
      <c r="I55" s="40"/>
      <c r="J55" s="197"/>
      <c r="K55" s="197"/>
      <c r="L55" s="113"/>
      <c r="M55" s="197"/>
      <c r="N55" s="197"/>
      <c r="O55" s="203"/>
      <c r="P55" s="200"/>
      <c r="Q55" s="39"/>
      <c r="R55" s="39"/>
      <c r="S55" s="47"/>
      <c r="T55" s="47"/>
      <c r="U55" s="47"/>
      <c r="V55" s="47"/>
      <c r="W55" s="47"/>
      <c r="X55" s="47"/>
      <c r="Y55" s="47"/>
      <c r="Z55" s="47"/>
      <c r="AA55" s="47"/>
      <c r="AB55" s="47"/>
      <c r="AC55" s="47"/>
      <c r="AD55" s="47"/>
      <c r="AE55" s="47"/>
      <c r="AF55" s="47"/>
      <c r="AG55" s="47"/>
      <c r="AH55" s="47"/>
      <c r="AI55" s="47"/>
      <c r="AJ55" s="47"/>
      <c r="AK55" s="47"/>
      <c r="AL55" s="47"/>
      <c r="AM55" s="47"/>
      <c r="AN55" s="47"/>
      <c r="AO55" s="47"/>
    </row>
    <row r="56" spans="1:41" ht="15.75" customHeight="1">
      <c r="A56" s="40" t="s">
        <v>430</v>
      </c>
      <c r="B56" s="197"/>
      <c r="C56" s="197"/>
      <c r="D56" s="113"/>
      <c r="E56" s="197"/>
      <c r="F56" s="197"/>
      <c r="G56" s="199"/>
      <c r="H56" s="197"/>
      <c r="I56" s="40" t="s">
        <v>430</v>
      </c>
      <c r="J56" s="197"/>
      <c r="K56" s="197"/>
      <c r="L56" s="113"/>
      <c r="M56" s="197"/>
      <c r="N56" s="197"/>
      <c r="O56" s="203"/>
      <c r="P56" s="200"/>
      <c r="Q56" s="39">
        <f t="shared" si="4"/>
        <v>0</v>
      </c>
      <c r="R56" s="39">
        <f t="shared" si="5"/>
        <v>0</v>
      </c>
      <c r="S56" s="47"/>
      <c r="T56" s="47"/>
      <c r="U56" s="47"/>
      <c r="V56" s="47"/>
      <c r="W56" s="47"/>
      <c r="X56" s="47"/>
      <c r="Y56" s="47"/>
      <c r="Z56" s="47"/>
      <c r="AA56" s="47"/>
      <c r="AB56" s="47"/>
      <c r="AC56" s="47"/>
      <c r="AD56" s="47"/>
      <c r="AE56" s="47"/>
      <c r="AF56" s="47"/>
      <c r="AG56" s="47"/>
      <c r="AH56" s="47"/>
      <c r="AI56" s="47"/>
      <c r="AJ56" s="47"/>
      <c r="AK56" s="47"/>
      <c r="AL56" s="47"/>
      <c r="AM56" s="47"/>
      <c r="AN56" s="47"/>
      <c r="AO56" s="47"/>
    </row>
    <row r="57" spans="1:41" ht="15.75" customHeight="1">
      <c r="A57" s="40" t="s">
        <v>229</v>
      </c>
      <c r="B57" s="197">
        <f>(' Pivot Table for Data Exchange'!$C$403)*100</f>
        <v>95.87784232844662</v>
      </c>
      <c r="C57" s="197">
        <f>(' Pivot Table for Data Exchange'!$C$406)*100</f>
        <v>0.749494533892754</v>
      </c>
      <c r="D57" s="113">
        <f>SUM(E57:G57)</f>
        <v>3.3726631376606244</v>
      </c>
      <c r="E57" s="197">
        <f>(' Pivot Table for Data Exchange'!$C$409)*100</f>
        <v>2.7499149462056542</v>
      </c>
      <c r="F57" s="200">
        <f>(' Pivot Table for Data Exchange'!$C$412)*100</f>
        <v>0.01579036767646981</v>
      </c>
      <c r="G57" s="199">
        <f>(' Pivot Table for Data Exchange'!$C$415)*100</f>
        <v>0.6069578237785005</v>
      </c>
      <c r="H57" s="197">
        <f>(' Pivot Table for Data Exchange'!$C$418)*100</f>
        <v>0</v>
      </c>
      <c r="I57" s="40" t="s">
        <v>229</v>
      </c>
      <c r="J57" s="197">
        <f>(' Pivot Table for Data Exchange'!$C$421)*100</f>
        <v>92.97387859999844</v>
      </c>
      <c r="K57" s="197">
        <f>(' Pivot Table for Data Exchange'!$C$424)*100</f>
        <v>1.5425148214318034</v>
      </c>
      <c r="L57" s="113">
        <f>SUM(M57:O57)</f>
        <v>5.483606578569748</v>
      </c>
      <c r="M57" s="197">
        <f>(' Pivot Table for Data Exchange'!$C$427)*100</f>
        <v>4.9003156906800145</v>
      </c>
      <c r="N57" s="197">
        <f>(' Pivot Table for Data Exchange'!$C$430)*100</f>
        <v>0.3889898673892303</v>
      </c>
      <c r="O57" s="199">
        <f>(' Pivot Table for Data Exchange'!$C$433)*100</f>
        <v>0.19430102050050288</v>
      </c>
      <c r="P57" s="200">
        <f>(' Pivot Table for Data Exchange'!$C$436)*100</f>
        <v>0</v>
      </c>
      <c r="Q57" s="39">
        <f t="shared" si="4"/>
        <v>100</v>
      </c>
      <c r="R57" s="39">
        <f t="shared" si="5"/>
        <v>100</v>
      </c>
      <c r="S57" s="47"/>
      <c r="T57" s="47"/>
      <c r="U57" s="47"/>
      <c r="V57" s="47"/>
      <c r="W57" s="47"/>
      <c r="X57" s="47"/>
      <c r="Y57" s="47"/>
      <c r="Z57" s="47"/>
      <c r="AA57" s="47"/>
      <c r="AB57" s="47"/>
      <c r="AC57" s="47"/>
      <c r="AD57" s="47"/>
      <c r="AE57" s="47"/>
      <c r="AF57" s="47"/>
      <c r="AG57" s="47"/>
      <c r="AH57" s="47"/>
      <c r="AI57" s="47"/>
      <c r="AJ57" s="47"/>
      <c r="AK57" s="47"/>
      <c r="AL57" s="47"/>
      <c r="AM57" s="47"/>
      <c r="AN57" s="47"/>
      <c r="AO57" s="47"/>
    </row>
    <row r="58" spans="1:41" ht="15.75" customHeight="1">
      <c r="A58" s="40" t="s">
        <v>431</v>
      </c>
      <c r="B58" s="197">
        <f>(' Pivot Table for Data Exchange'!$C$511)*100</f>
        <v>0</v>
      </c>
      <c r="C58" s="197">
        <f>(' Pivot Table for Data Exchange'!$C$514)*100</f>
        <v>0</v>
      </c>
      <c r="D58" s="113">
        <f>SUM(E58:G58)</f>
        <v>0</v>
      </c>
      <c r="E58" s="197">
        <f>(' Pivot Table for Data Exchange'!$C$517)*100</f>
        <v>0</v>
      </c>
      <c r="F58" s="197">
        <f>(' Pivot Table for Data Exchange'!$C$520)*100</f>
        <v>0</v>
      </c>
      <c r="G58" s="199">
        <f>(' Pivot Table for Data Exchange'!$C$523)*100</f>
        <v>0</v>
      </c>
      <c r="H58" s="197">
        <f>(' Pivot Table for Data Exchange'!$C$526)*100</f>
        <v>0</v>
      </c>
      <c r="I58" s="40" t="s">
        <v>431</v>
      </c>
      <c r="J58" s="197">
        <f>(' Pivot Table for Data Exchange'!$C$529)*100</f>
        <v>0</v>
      </c>
      <c r="K58" s="197">
        <f>(' Pivot Table for Data Exchange'!$C$532)*100</f>
        <v>0</v>
      </c>
      <c r="L58" s="113">
        <f>SUM(M58:O58)</f>
        <v>0</v>
      </c>
      <c r="M58" s="197">
        <f>(' Pivot Table for Data Exchange'!$C$535)*100</f>
        <v>0</v>
      </c>
      <c r="N58" s="197">
        <f>(' Pivot Table for Data Exchange'!$C$538)*100</f>
        <v>0</v>
      </c>
      <c r="O58" s="203">
        <f>(' Pivot Table for Data Exchange'!$C$541)*100</f>
        <v>0</v>
      </c>
      <c r="P58" s="200">
        <f>(' Pivot Table for Data Exchange'!$C$544)*100</f>
        <v>0</v>
      </c>
      <c r="Q58" s="39">
        <f t="shared" si="4"/>
        <v>0</v>
      </c>
      <c r="R58" s="39">
        <f t="shared" si="5"/>
        <v>0</v>
      </c>
      <c r="S58" s="47"/>
      <c r="T58" s="47"/>
      <c r="U58" s="47"/>
      <c r="V58" s="47"/>
      <c r="W58" s="47"/>
      <c r="X58" s="47"/>
      <c r="Y58" s="47"/>
      <c r="Z58" s="47"/>
      <c r="AA58" s="47"/>
      <c r="AB58" s="47"/>
      <c r="AC58" s="47"/>
      <c r="AD58" s="47"/>
      <c r="AE58" s="47"/>
      <c r="AF58" s="47"/>
      <c r="AG58" s="47"/>
      <c r="AH58" s="47"/>
      <c r="AI58" s="47"/>
      <c r="AJ58" s="47"/>
      <c r="AK58" s="47"/>
      <c r="AL58" s="47"/>
      <c r="AM58" s="47"/>
      <c r="AN58" s="47"/>
      <c r="AO58" s="47"/>
    </row>
    <row r="59" spans="1:41" ht="15.75" customHeight="1">
      <c r="A59" s="34" t="s">
        <v>124</v>
      </c>
      <c r="B59" s="201">
        <f>(' Pivot Table for Data Exchange'!$C$439)*100</f>
        <v>96.57951104346806</v>
      </c>
      <c r="C59" s="201">
        <f>(' Pivot Table for Data Exchange'!$C$442)*100</f>
        <v>0.1907277252259747</v>
      </c>
      <c r="D59" s="114">
        <f>SUM(E59:G59)</f>
        <v>3.2294109508188678</v>
      </c>
      <c r="E59" s="201">
        <f>(' Pivot Table for Data Exchange'!$C$445)*100</f>
        <v>3.0714344511367475</v>
      </c>
      <c r="F59" s="208">
        <f>(' Pivot Table for Data Exchange'!$C$448)*100</f>
        <v>0.00840673169040109</v>
      </c>
      <c r="G59" s="202">
        <f>(' Pivot Table for Data Exchange'!$C$451)*100</f>
        <v>0.14956976799171937</v>
      </c>
      <c r="H59" s="557">
        <f>(' Pivot Table for Data Exchange'!$C$454)*100</f>
        <v>0.00035028048710004537</v>
      </c>
      <c r="I59" s="34" t="s">
        <v>124</v>
      </c>
      <c r="J59" s="201">
        <f>(' Pivot Table for Data Exchange'!$C$457)*100</f>
        <v>71.50686953873976</v>
      </c>
      <c r="K59" s="201">
        <f>(' Pivot Table for Data Exchange'!$C$460)*100</f>
        <v>17.791597848251936</v>
      </c>
      <c r="L59" s="114">
        <f>SUM(M59:O59)</f>
        <v>10.701532613008295</v>
      </c>
      <c r="M59" s="201">
        <f>(' Pivot Table for Data Exchange'!$C$463)*100</f>
        <v>6.411877058785535</v>
      </c>
      <c r="N59" s="201">
        <f>(' Pivot Table for Data Exchange'!$C$466)*100</f>
        <v>3.8578296132943333</v>
      </c>
      <c r="O59" s="202">
        <f>(' Pivot Table for Data Exchange'!$C$469)*100</f>
        <v>0.4318259409284258</v>
      </c>
      <c r="P59" s="201">
        <f>(' Pivot Table for Data Exchange'!$C$472)*100</f>
        <v>0</v>
      </c>
      <c r="Q59" s="39">
        <f t="shared" si="4"/>
        <v>100</v>
      </c>
      <c r="R59" s="39">
        <f t="shared" si="5"/>
        <v>100</v>
      </c>
      <c r="S59" s="47"/>
      <c r="T59" s="47"/>
      <c r="U59" s="47"/>
      <c r="V59" s="47"/>
      <c r="W59" s="47"/>
      <c r="X59" s="47"/>
      <c r="Y59" s="47"/>
      <c r="Z59" s="47"/>
      <c r="AA59" s="47"/>
      <c r="AB59" s="47"/>
      <c r="AC59" s="47"/>
      <c r="AD59" s="47"/>
      <c r="AE59" s="47"/>
      <c r="AF59" s="47"/>
      <c r="AG59" s="47"/>
      <c r="AH59" s="47"/>
      <c r="AI59" s="47"/>
      <c r="AJ59" s="47"/>
      <c r="AK59" s="47"/>
      <c r="AL59" s="47"/>
      <c r="AM59" s="47"/>
      <c r="AN59" s="47"/>
      <c r="AO59" s="47"/>
    </row>
    <row r="60" spans="1:41" s="64" customFormat="1" ht="18" customHeight="1">
      <c r="A60" s="115" t="s">
        <v>477</v>
      </c>
      <c r="B60" s="68"/>
      <c r="C60" s="68"/>
      <c r="D60" s="69"/>
      <c r="E60" s="68"/>
      <c r="F60" s="69"/>
      <c r="G60" s="69"/>
      <c r="H60" s="68"/>
      <c r="I60" s="115" t="s">
        <v>477</v>
      </c>
      <c r="J60" s="68"/>
      <c r="K60" s="68"/>
      <c r="L60" s="69"/>
      <c r="M60" s="68"/>
      <c r="N60" s="69"/>
      <c r="O60" s="69"/>
      <c r="P60" s="68"/>
      <c r="Q60" s="68"/>
      <c r="R60" s="68"/>
      <c r="S60" s="70"/>
      <c r="T60" s="70"/>
      <c r="U60" s="70"/>
      <c r="V60" s="70"/>
      <c r="W60" s="70"/>
      <c r="X60" s="70"/>
      <c r="Y60" s="70"/>
      <c r="Z60" s="70"/>
      <c r="AA60" s="70"/>
      <c r="AB60" s="70"/>
      <c r="AC60" s="70"/>
      <c r="AD60" s="70"/>
      <c r="AE60" s="70"/>
      <c r="AF60" s="70"/>
      <c r="AG60" s="70"/>
      <c r="AH60" s="70"/>
      <c r="AI60" s="70"/>
      <c r="AJ60" s="70"/>
      <c r="AK60" s="70"/>
      <c r="AL60" s="70"/>
      <c r="AM60" s="70"/>
      <c r="AN60" s="70"/>
      <c r="AO60" s="70"/>
    </row>
    <row r="61" spans="1:18" s="64" customFormat="1" ht="24" customHeight="1">
      <c r="A61" s="677" t="s">
        <v>746</v>
      </c>
      <c r="B61" s="689"/>
      <c r="C61" s="689"/>
      <c r="D61" s="689"/>
      <c r="E61" s="689"/>
      <c r="F61" s="689"/>
      <c r="G61" s="689"/>
      <c r="H61" s="689"/>
      <c r="I61" s="677" t="s">
        <v>746</v>
      </c>
      <c r="J61" s="689"/>
      <c r="K61" s="689"/>
      <c r="L61" s="689"/>
      <c r="M61" s="689"/>
      <c r="N61" s="689"/>
      <c r="O61" s="689"/>
      <c r="P61" s="689"/>
      <c r="Q61" s="66"/>
      <c r="R61" s="67"/>
    </row>
    <row r="62" spans="1:18" s="64" customFormat="1" ht="13.5" customHeight="1">
      <c r="A62" s="116"/>
      <c r="B62" s="63"/>
      <c r="H62" s="62"/>
      <c r="I62" s="116"/>
      <c r="P62" s="65"/>
      <c r="Q62" s="66"/>
      <c r="R62" s="67"/>
    </row>
    <row r="63" spans="8:18" s="64" customFormat="1" ht="13.5" customHeight="1">
      <c r="H63" s="559" t="s">
        <v>726</v>
      </c>
      <c r="P63" s="559" t="s">
        <v>726</v>
      </c>
      <c r="Q63" s="66"/>
      <c r="R63" s="67"/>
    </row>
    <row r="64" spans="1:18" ht="18">
      <c r="A64" s="31" t="s">
        <v>443</v>
      </c>
      <c r="B64" s="32"/>
      <c r="C64" s="32"/>
      <c r="D64" s="32"/>
      <c r="E64" s="32"/>
      <c r="F64" s="32"/>
      <c r="G64" s="32"/>
      <c r="H64" s="46"/>
      <c r="I64" s="31" t="s">
        <v>458</v>
      </c>
      <c r="J64" s="33"/>
      <c r="K64" s="33"/>
      <c r="L64" s="32"/>
      <c r="M64" s="33"/>
      <c r="N64" s="33"/>
      <c r="O64" s="33"/>
      <c r="P64" s="33"/>
      <c r="Q64" s="55"/>
      <c r="R64" s="56"/>
    </row>
    <row r="65" spans="1:18" ht="12.75">
      <c r="A65" s="78"/>
      <c r="B65" s="33"/>
      <c r="C65" s="33"/>
      <c r="D65" s="33"/>
      <c r="E65" s="33"/>
      <c r="F65" s="33"/>
      <c r="G65" s="33"/>
      <c r="H65" s="43"/>
      <c r="I65" s="78"/>
      <c r="J65" s="33"/>
      <c r="K65" s="33"/>
      <c r="L65" s="33"/>
      <c r="M65" s="33"/>
      <c r="N65" s="33"/>
      <c r="O65" s="33"/>
      <c r="P65" s="33"/>
      <c r="R65" s="58"/>
    </row>
    <row r="66" spans="1:18" ht="15.75">
      <c r="A66" s="42" t="s">
        <v>465</v>
      </c>
      <c r="B66" s="33"/>
      <c r="C66" s="33"/>
      <c r="D66" s="33"/>
      <c r="E66" s="33"/>
      <c r="F66" s="33"/>
      <c r="G66" s="33"/>
      <c r="H66" s="43"/>
      <c r="I66" s="42" t="s">
        <v>466</v>
      </c>
      <c r="J66" s="33"/>
      <c r="K66" s="33"/>
      <c r="L66" s="33"/>
      <c r="M66" s="33"/>
      <c r="N66" s="33"/>
      <c r="O66" s="33"/>
      <c r="P66" s="33"/>
      <c r="R66" s="58" t="s">
        <v>14</v>
      </c>
    </row>
    <row r="67" spans="1:18" ht="15.75">
      <c r="A67" s="42" t="s">
        <v>732</v>
      </c>
      <c r="B67" s="33"/>
      <c r="C67" s="33"/>
      <c r="D67" s="33"/>
      <c r="E67" s="33"/>
      <c r="F67" s="33"/>
      <c r="G67" s="33"/>
      <c r="H67" s="43"/>
      <c r="I67" s="42" t="s">
        <v>732</v>
      </c>
      <c r="J67" s="33"/>
      <c r="K67" s="33"/>
      <c r="L67" s="33"/>
      <c r="M67" s="33"/>
      <c r="N67" s="33"/>
      <c r="O67" s="33"/>
      <c r="P67" s="33"/>
      <c r="R67" s="58" t="s">
        <v>14</v>
      </c>
    </row>
    <row r="68" spans="1:16" ht="12.75">
      <c r="A68" s="34"/>
      <c r="B68" s="35"/>
      <c r="C68" s="35"/>
      <c r="D68" s="35"/>
      <c r="E68" s="35"/>
      <c r="F68" s="35"/>
      <c r="G68" s="35"/>
      <c r="H68" s="35"/>
      <c r="I68" s="36"/>
      <c r="L68" s="37"/>
      <c r="P68" s="34"/>
    </row>
    <row r="69" spans="1:18" s="90" customFormat="1" ht="12">
      <c r="A69" s="85"/>
      <c r="B69" s="86" t="s">
        <v>231</v>
      </c>
      <c r="C69" s="86"/>
      <c r="D69" s="86"/>
      <c r="E69" s="86"/>
      <c r="F69" s="86"/>
      <c r="G69" s="86"/>
      <c r="H69" s="87"/>
      <c r="I69" s="85"/>
      <c r="J69" s="86" t="s">
        <v>231</v>
      </c>
      <c r="K69" s="86"/>
      <c r="L69" s="86"/>
      <c r="M69" s="86"/>
      <c r="N69" s="86"/>
      <c r="O69" s="86"/>
      <c r="P69" s="87"/>
      <c r="Q69" s="88"/>
      <c r="R69" s="89"/>
    </row>
    <row r="70" spans="1:18" s="90" customFormat="1" ht="12">
      <c r="A70" s="85"/>
      <c r="B70" s="86" t="s">
        <v>127</v>
      </c>
      <c r="C70" s="86"/>
      <c r="D70" s="690" t="s">
        <v>472</v>
      </c>
      <c r="E70" s="691"/>
      <c r="F70" s="691"/>
      <c r="G70" s="691"/>
      <c r="H70" s="91" t="s">
        <v>14</v>
      </c>
      <c r="I70" s="85"/>
      <c r="J70" s="86" t="s">
        <v>127</v>
      </c>
      <c r="K70" s="86"/>
      <c r="L70" s="690" t="s">
        <v>472</v>
      </c>
      <c r="M70" s="691"/>
      <c r="N70" s="691"/>
      <c r="O70" s="691"/>
      <c r="P70" s="91" t="s">
        <v>14</v>
      </c>
      <c r="Q70" s="88"/>
      <c r="R70" s="89"/>
    </row>
    <row r="71" spans="1:20" s="90" customFormat="1" ht="40.5" customHeight="1">
      <c r="A71" s="85"/>
      <c r="B71" s="92" t="s">
        <v>464</v>
      </c>
      <c r="C71" s="93" t="s">
        <v>463</v>
      </c>
      <c r="D71" s="94" t="s">
        <v>470</v>
      </c>
      <c r="E71" s="95" t="s">
        <v>12</v>
      </c>
      <c r="F71" s="92" t="s">
        <v>128</v>
      </c>
      <c r="G71" s="96" t="s">
        <v>474</v>
      </c>
      <c r="H71" s="97" t="s">
        <v>473</v>
      </c>
      <c r="I71" s="85"/>
      <c r="J71" s="92" t="s">
        <v>464</v>
      </c>
      <c r="K71" s="93" t="s">
        <v>463</v>
      </c>
      <c r="L71" s="94" t="s">
        <v>470</v>
      </c>
      <c r="M71" s="95" t="s">
        <v>12</v>
      </c>
      <c r="N71" s="92" t="s">
        <v>128</v>
      </c>
      <c r="O71" s="96" t="s">
        <v>474</v>
      </c>
      <c r="P71" s="97" t="s">
        <v>473</v>
      </c>
      <c r="Q71" s="98"/>
      <c r="R71" s="99"/>
      <c r="T71" s="100"/>
    </row>
    <row r="72" spans="1:41" ht="15.75" customHeight="1">
      <c r="A72" s="41" t="s">
        <v>421</v>
      </c>
      <c r="B72" s="197">
        <f>(' Pivot Table for Data Exchange'!$D$7)*100</f>
        <v>0</v>
      </c>
      <c r="C72" s="197">
        <f>(' Pivot Table for Data Exchange'!$D$10)*100</f>
        <v>0</v>
      </c>
      <c r="D72" s="113">
        <f>SUM(E72:G72)</f>
        <v>0</v>
      </c>
      <c r="E72" s="197">
        <f>(' Pivot Table for Data Exchange'!$D$13)*100</f>
        <v>0</v>
      </c>
      <c r="F72" s="197">
        <f>(' Pivot Table for Data Exchange'!$D$16)*100</f>
        <v>0</v>
      </c>
      <c r="G72" s="198">
        <f>(' Pivot Table for Data Exchange'!$D$19)*100</f>
        <v>0</v>
      </c>
      <c r="H72" s="197">
        <f>(' Pivot Table for Data Exchange'!$D$22)*100</f>
        <v>0</v>
      </c>
      <c r="I72" s="41" t="s">
        <v>421</v>
      </c>
      <c r="J72" s="197">
        <f>(' Pivot Table for Data Exchange'!$D$25)*100</f>
        <v>0</v>
      </c>
      <c r="K72" s="197">
        <f>(' Pivot Table for Data Exchange'!$D$28)*100</f>
        <v>0</v>
      </c>
      <c r="L72" s="113">
        <f>SUM(M72:O72)</f>
        <v>0</v>
      </c>
      <c r="M72" s="197">
        <f>(' Pivot Table for Data Exchange'!$D$31)*100</f>
        <v>0</v>
      </c>
      <c r="N72" s="197">
        <f>(' Pivot Table for Data Exchange'!$D$34)*100</f>
        <v>0</v>
      </c>
      <c r="O72" s="198">
        <f>(' Pivot Table for Data Exchange'!$D$37)*100</f>
        <v>0</v>
      </c>
      <c r="P72" s="197">
        <f>(' Pivot Table for Data Exchange'!$D$40)*100</f>
        <v>0</v>
      </c>
      <c r="Q72" s="39">
        <f aca="true" t="shared" si="6" ref="Q72:Q84">SUM(B72,C72,D72,H72)</f>
        <v>0</v>
      </c>
      <c r="R72" s="39">
        <f aca="true" t="shared" si="7" ref="R72:R84">SUM(J72,K72,L72,P72)</f>
        <v>0</v>
      </c>
      <c r="S72" s="47"/>
      <c r="T72" s="47"/>
      <c r="U72" s="47"/>
      <c r="V72" s="47"/>
      <c r="W72" s="47"/>
      <c r="X72" s="47"/>
      <c r="Y72" s="47"/>
      <c r="Z72" s="47"/>
      <c r="AA72" s="47"/>
      <c r="AB72" s="47"/>
      <c r="AC72" s="47"/>
      <c r="AD72" s="47"/>
      <c r="AE72" s="47"/>
      <c r="AF72" s="47"/>
      <c r="AG72" s="47"/>
      <c r="AH72" s="47"/>
      <c r="AI72" s="47"/>
      <c r="AJ72" s="47"/>
      <c r="AK72" s="47"/>
      <c r="AL72" s="47"/>
      <c r="AM72" s="47"/>
      <c r="AN72" s="47"/>
      <c r="AO72" s="47"/>
    </row>
    <row r="73" spans="1:41" ht="15.75" customHeight="1">
      <c r="A73" s="40" t="s">
        <v>422</v>
      </c>
      <c r="B73" s="197">
        <f>(' Pivot Table for Data Exchange'!$D$43)*100</f>
        <v>0</v>
      </c>
      <c r="C73" s="197">
        <f>(' Pivot Table for Data Exchange'!$D$46)*100</f>
        <v>0</v>
      </c>
      <c r="D73" s="113">
        <f>SUM(E73:G73)</f>
        <v>0</v>
      </c>
      <c r="E73" s="197">
        <f>(' Pivot Table for Data Exchange'!$D$49)*100</f>
        <v>0</v>
      </c>
      <c r="F73" s="197">
        <f>(' Pivot Table for Data Exchange'!$D$52)*100</f>
        <v>0</v>
      </c>
      <c r="G73" s="204">
        <f>(' Pivot Table for Data Exchange'!$D$55)*100</f>
        <v>0</v>
      </c>
      <c r="H73" s="197">
        <f>(' Pivot Table for Data Exchange'!$D$58)*100</f>
        <v>0</v>
      </c>
      <c r="I73" s="40" t="s">
        <v>422</v>
      </c>
      <c r="J73" s="197">
        <f>(' Pivot Table for Data Exchange'!$D$61)*100</f>
        <v>0</v>
      </c>
      <c r="K73" s="197">
        <f>(' Pivot Table for Data Exchange'!$D$64)*100</f>
        <v>0</v>
      </c>
      <c r="L73" s="113">
        <f>SUM(M73:O73)</f>
        <v>0</v>
      </c>
      <c r="M73" s="197">
        <f>(' Pivot Table for Data Exchange'!$D$67)*100</f>
        <v>0</v>
      </c>
      <c r="N73" s="197">
        <f>(' Pivot Table for Data Exchange'!$D$70)*100</f>
        <v>0</v>
      </c>
      <c r="O73" s="199">
        <f>(' Pivot Table for Data Exchange'!$D$73)*100</f>
        <v>0</v>
      </c>
      <c r="P73" s="197">
        <f>(' Pivot Table for Data Exchange'!$D$76)*100</f>
        <v>0</v>
      </c>
      <c r="Q73" s="39">
        <f t="shared" si="6"/>
        <v>0</v>
      </c>
      <c r="R73" s="39">
        <f t="shared" si="7"/>
        <v>0</v>
      </c>
      <c r="S73" s="47"/>
      <c r="T73" s="47"/>
      <c r="U73" s="47"/>
      <c r="V73" s="47"/>
      <c r="W73" s="47"/>
      <c r="X73" s="47"/>
      <c r="Y73" s="47"/>
      <c r="Z73" s="47"/>
      <c r="AA73" s="47"/>
      <c r="AB73" s="47"/>
      <c r="AC73" s="47"/>
      <c r="AD73" s="47"/>
      <c r="AE73" s="47"/>
      <c r="AF73" s="47"/>
      <c r="AG73" s="47"/>
      <c r="AH73" s="47"/>
      <c r="AI73" s="47"/>
      <c r="AJ73" s="47"/>
      <c r="AK73" s="47"/>
      <c r="AL73" s="47"/>
      <c r="AM73" s="47"/>
      <c r="AN73" s="47"/>
      <c r="AO73" s="47"/>
    </row>
    <row r="74" spans="1:41" ht="15.75" customHeight="1">
      <c r="A74" s="40" t="s">
        <v>423</v>
      </c>
      <c r="B74" s="197">
        <f>(' Pivot Table for Data Exchange'!$D$79)*100</f>
        <v>0</v>
      </c>
      <c r="C74" s="197">
        <f>(' Pivot Table for Data Exchange'!$D$82)*100</f>
        <v>0</v>
      </c>
      <c r="D74" s="113">
        <f>SUM(E74:G74)</f>
        <v>0</v>
      </c>
      <c r="E74" s="197">
        <f>(' Pivot Table for Data Exchange'!$D$85)*100</f>
        <v>0</v>
      </c>
      <c r="F74" s="197">
        <f>(' Pivot Table for Data Exchange'!$D$88)*100</f>
        <v>0</v>
      </c>
      <c r="G74" s="199">
        <f>(' Pivot Table for Data Exchange'!$D$91)*100</f>
        <v>0</v>
      </c>
      <c r="H74" s="197">
        <f>(' Pivot Table for Data Exchange'!$D$94)*100</f>
        <v>0</v>
      </c>
      <c r="I74" s="40" t="s">
        <v>423</v>
      </c>
      <c r="J74" s="197">
        <f>(' Pivot Table for Data Exchange'!$D$97)*100</f>
        <v>0</v>
      </c>
      <c r="K74" s="197">
        <f>(' Pivot Table for Data Exchange'!$D$100)*100</f>
        <v>0</v>
      </c>
      <c r="L74" s="113">
        <f>SUM(M74:O74)</f>
        <v>0</v>
      </c>
      <c r="M74" s="197">
        <f>(' Pivot Table for Data Exchange'!$D$103)*100</f>
        <v>0</v>
      </c>
      <c r="N74" s="197">
        <f>(' Pivot Table for Data Exchange'!$D$106)*100</f>
        <v>0</v>
      </c>
      <c r="O74" s="199">
        <f>(' Pivot Table for Data Exchange'!$D$109)*100</f>
        <v>0</v>
      </c>
      <c r="P74" s="197">
        <f>(' Pivot Table for Data Exchange'!$D$112)*100</f>
        <v>0</v>
      </c>
      <c r="Q74" s="39">
        <f t="shared" si="6"/>
        <v>0</v>
      </c>
      <c r="R74" s="39">
        <f t="shared" si="7"/>
        <v>0</v>
      </c>
      <c r="S74" s="47"/>
      <c r="T74" s="59"/>
      <c r="U74" s="47"/>
      <c r="V74" s="47"/>
      <c r="W74" s="47"/>
      <c r="X74" s="47"/>
      <c r="Y74" s="47"/>
      <c r="Z74" s="47"/>
      <c r="AA74" s="47"/>
      <c r="AB74" s="47"/>
      <c r="AC74" s="47"/>
      <c r="AD74" s="47"/>
      <c r="AE74" s="47"/>
      <c r="AF74" s="47"/>
      <c r="AG74" s="47"/>
      <c r="AH74" s="47"/>
      <c r="AI74" s="47"/>
      <c r="AJ74" s="47"/>
      <c r="AK74" s="47"/>
      <c r="AL74" s="47"/>
      <c r="AM74" s="47"/>
      <c r="AN74" s="47"/>
      <c r="AO74" s="47"/>
    </row>
    <row r="75" spans="1:41" ht="15.75" customHeight="1">
      <c r="A75" s="40" t="s">
        <v>745</v>
      </c>
      <c r="B75" s="197">
        <f>(' Pivot Table for Data Exchange'!$D$115)*100</f>
        <v>72.31768970318292</v>
      </c>
      <c r="C75" s="197">
        <f>(' Pivot Table for Data Exchange'!$D$118)*100</f>
        <v>15.443433803142176</v>
      </c>
      <c r="D75" s="113">
        <f>SUM(E75:G75)</f>
        <v>12.238876493674903</v>
      </c>
      <c r="E75" s="197">
        <f>(' Pivot Table for Data Exchange'!$D$121)*100</f>
        <v>11.851491031424855</v>
      </c>
      <c r="F75" s="197">
        <f>(' Pivot Table for Data Exchange'!$D$124)*100</f>
        <v>0.31425296235291095</v>
      </c>
      <c r="G75" s="199">
        <f>(' Pivot Table for Data Exchange'!$D$127)*100</f>
        <v>0.07313249989713669</v>
      </c>
      <c r="H75" s="197">
        <f>(' Pivot Table for Data Exchange'!$D$130)*100</f>
        <v>0</v>
      </c>
      <c r="I75" s="40" t="s">
        <v>745</v>
      </c>
      <c r="J75" s="197">
        <f>(' Pivot Table for Data Exchange'!$D$133)*100</f>
        <v>66.00827567261301</v>
      </c>
      <c r="K75" s="197">
        <f>(' Pivot Table for Data Exchange'!$D$136)*100</f>
        <v>15.648232405610973</v>
      </c>
      <c r="L75" s="113">
        <f>SUM(M75:O75)</f>
        <v>18.343491921776007</v>
      </c>
      <c r="M75" s="197">
        <f>(' Pivot Table for Data Exchange'!$D$139)*100</f>
        <v>17.323626873615712</v>
      </c>
      <c r="N75" s="197">
        <f>(' Pivot Table for Data Exchange'!$D$142)*100</f>
        <v>0.34373229400958055</v>
      </c>
      <c r="O75" s="199">
        <f>(' Pivot Table for Data Exchange'!$D$145)*100</f>
        <v>0.6761327541507134</v>
      </c>
      <c r="P75" s="197">
        <f>(' Pivot Table for Data Exchange'!$D$148)*100</f>
        <v>0</v>
      </c>
      <c r="Q75" s="39">
        <f t="shared" si="6"/>
        <v>100</v>
      </c>
      <c r="R75" s="39">
        <f t="shared" si="7"/>
        <v>99.99999999999999</v>
      </c>
      <c r="S75" s="47"/>
      <c r="U75" s="47"/>
      <c r="V75" s="47"/>
      <c r="W75" s="47"/>
      <c r="X75" s="47"/>
      <c r="Y75" s="47"/>
      <c r="Z75" s="47"/>
      <c r="AA75" s="47"/>
      <c r="AB75" s="47"/>
      <c r="AC75" s="47"/>
      <c r="AD75" s="47"/>
      <c r="AE75" s="47"/>
      <c r="AF75" s="47"/>
      <c r="AG75" s="47"/>
      <c r="AH75" s="47"/>
      <c r="AI75" s="47"/>
      <c r="AJ75" s="47"/>
      <c r="AK75" s="47"/>
      <c r="AL75" s="47"/>
      <c r="AM75" s="47"/>
      <c r="AN75" s="47"/>
      <c r="AO75" s="47"/>
    </row>
    <row r="76" spans="1:41" ht="9" customHeight="1">
      <c r="A76" s="40"/>
      <c r="B76" s="102"/>
      <c r="C76" s="103"/>
      <c r="D76" s="113"/>
      <c r="E76" s="102"/>
      <c r="F76" s="102"/>
      <c r="G76" s="103"/>
      <c r="H76" s="102"/>
      <c r="I76" s="40"/>
      <c r="J76" s="102"/>
      <c r="K76" s="103"/>
      <c r="L76" s="113"/>
      <c r="M76" s="102"/>
      <c r="N76" s="102"/>
      <c r="O76" s="103"/>
      <c r="P76" s="102"/>
      <c r="Q76" s="39">
        <f t="shared" si="6"/>
        <v>0</v>
      </c>
      <c r="R76" s="39">
        <f t="shared" si="7"/>
        <v>0</v>
      </c>
      <c r="S76" s="47"/>
      <c r="U76" s="47"/>
      <c r="V76" s="47"/>
      <c r="W76" s="47"/>
      <c r="X76" s="47"/>
      <c r="Y76" s="47"/>
      <c r="Z76" s="47"/>
      <c r="AA76" s="47"/>
      <c r="AB76" s="47"/>
      <c r="AC76" s="47"/>
      <c r="AD76" s="47"/>
      <c r="AE76" s="47"/>
      <c r="AF76" s="47"/>
      <c r="AG76" s="47"/>
      <c r="AH76" s="47"/>
      <c r="AI76" s="47"/>
      <c r="AJ76" s="47"/>
      <c r="AK76" s="47"/>
      <c r="AL76" s="47"/>
      <c r="AM76" s="47"/>
      <c r="AN76" s="47"/>
      <c r="AO76" s="47"/>
    </row>
    <row r="77" spans="1:41" ht="15.75" customHeight="1">
      <c r="A77" s="40" t="s">
        <v>425</v>
      </c>
      <c r="B77" s="197">
        <f>(' Pivot Table for Data Exchange'!$D$151)*100</f>
        <v>96.71225109610343</v>
      </c>
      <c r="C77" s="197">
        <f>(' Pivot Table for Data Exchange'!$D$154)*100</f>
        <v>2.4608293896065256</v>
      </c>
      <c r="D77" s="113">
        <f>SUM(E77:G77)</f>
        <v>0.826919514290045</v>
      </c>
      <c r="E77" s="197">
        <f>(' Pivot Table for Data Exchange'!$D$157)*100</f>
        <v>0.18694107145864558</v>
      </c>
      <c r="F77" s="197">
        <f>(' Pivot Table for Data Exchange'!$D$160)*100</f>
        <v>0.48672044731124847</v>
      </c>
      <c r="G77" s="199">
        <f>(' Pivot Table for Data Exchange'!$D$163)*100</f>
        <v>0.1532579955201509</v>
      </c>
      <c r="H77" s="197">
        <f>(' Pivot Table for Data Exchange'!$D$166)*100</f>
        <v>0</v>
      </c>
      <c r="I77" s="40" t="s">
        <v>425</v>
      </c>
      <c r="J77" s="197">
        <f>(' Pivot Table for Data Exchange'!$D$169)*100</f>
        <v>96.76995563799832</v>
      </c>
      <c r="K77" s="197">
        <f>(' Pivot Table for Data Exchange'!$D$172)*100</f>
        <v>1.618250073434553</v>
      </c>
      <c r="L77" s="113">
        <f>SUM(M77:O77)</f>
        <v>1.611794288567128</v>
      </c>
      <c r="M77" s="197">
        <f>(' Pivot Table for Data Exchange'!$D$175)*100</f>
        <v>0.06455784867425078</v>
      </c>
      <c r="N77" s="197">
        <f>(' Pivot Table for Data Exchange'!$D$178)*100</f>
        <v>0.10598246824022838</v>
      </c>
      <c r="O77" s="199">
        <f>(' Pivot Table for Data Exchange'!$D$181)*100</f>
        <v>1.4412539716526487</v>
      </c>
      <c r="P77" s="197">
        <f>(' Pivot Table for Data Exchange'!$D$184)*100</f>
        <v>0</v>
      </c>
      <c r="Q77" s="39">
        <f t="shared" si="6"/>
        <v>100</v>
      </c>
      <c r="R77" s="39">
        <f t="shared" si="7"/>
        <v>100</v>
      </c>
      <c r="S77" s="47"/>
      <c r="T77" s="47"/>
      <c r="U77" s="47"/>
      <c r="V77" s="47"/>
      <c r="W77" s="47"/>
      <c r="X77" s="47"/>
      <c r="Y77" s="47"/>
      <c r="Z77" s="47"/>
      <c r="AA77" s="47"/>
      <c r="AB77" s="47"/>
      <c r="AC77" s="47"/>
      <c r="AD77" s="47"/>
      <c r="AE77" s="47"/>
      <c r="AF77" s="47"/>
      <c r="AG77" s="47"/>
      <c r="AH77" s="47"/>
      <c r="AI77" s="47"/>
      <c r="AJ77" s="47"/>
      <c r="AK77" s="47"/>
      <c r="AL77" s="47"/>
      <c r="AM77" s="47"/>
      <c r="AN77" s="47"/>
      <c r="AO77" s="47"/>
    </row>
    <row r="78" spans="1:41" ht="15.75" customHeight="1">
      <c r="A78" s="40" t="s">
        <v>426</v>
      </c>
      <c r="B78" s="197">
        <f>(' Pivot Table for Data Exchange'!$D$187)*100</f>
        <v>94.88004744191062</v>
      </c>
      <c r="C78" s="197">
        <f>(' Pivot Table for Data Exchange'!$D$190)*100</f>
        <v>2.3489136880694375</v>
      </c>
      <c r="D78" s="113">
        <f>SUM(E78:G78)</f>
        <v>2.7710388700199475</v>
      </c>
      <c r="E78" s="197">
        <f>(' Pivot Table for Data Exchange'!$D$193)*100</f>
        <v>2.675615936169066</v>
      </c>
      <c r="F78" s="197">
        <f>(' Pivot Table for Data Exchange'!$D$196)*100</f>
        <v>0</v>
      </c>
      <c r="G78" s="199">
        <f>(' Pivot Table for Data Exchange'!$D$199)*100</f>
        <v>0.09542293385088145</v>
      </c>
      <c r="H78" s="197">
        <f>(' Pivot Table for Data Exchange'!$D$202)*100</f>
        <v>0</v>
      </c>
      <c r="I78" s="40" t="s">
        <v>426</v>
      </c>
      <c r="J78" s="197">
        <f>(' Pivot Table for Data Exchange'!$D$205)*100</f>
        <v>81.81589993167017</v>
      </c>
      <c r="K78" s="197">
        <f>(' Pivot Table for Data Exchange'!$D$208)*100</f>
        <v>10.009621954790756</v>
      </c>
      <c r="L78" s="113">
        <f>SUM(M78:O78)</f>
        <v>8.174478113539067</v>
      </c>
      <c r="M78" s="197">
        <f>(' Pivot Table for Data Exchange'!$D$211)*100</f>
        <v>8.174478113539067</v>
      </c>
      <c r="N78" s="197">
        <f>(' Pivot Table for Data Exchange'!$D$214)*100</f>
        <v>0</v>
      </c>
      <c r="O78" s="203">
        <f>(' Pivot Table for Data Exchange'!$D$217)*100</f>
        <v>0</v>
      </c>
      <c r="P78" s="197">
        <f>(' Pivot Table for Data Exchange'!$D$220)*100</f>
        <v>0</v>
      </c>
      <c r="Q78" s="39">
        <f t="shared" si="6"/>
        <v>100.00000000000001</v>
      </c>
      <c r="R78" s="39">
        <f t="shared" si="7"/>
        <v>100</v>
      </c>
      <c r="S78" s="47"/>
      <c r="T78" s="47"/>
      <c r="U78" s="47"/>
      <c r="V78" s="47"/>
      <c r="W78" s="47"/>
      <c r="X78" s="47"/>
      <c r="Y78" s="47"/>
      <c r="Z78" s="47"/>
      <c r="AA78" s="47"/>
      <c r="AB78" s="47"/>
      <c r="AC78" s="47"/>
      <c r="AD78" s="47"/>
      <c r="AE78" s="47"/>
      <c r="AF78" s="47"/>
      <c r="AG78" s="47"/>
      <c r="AH78" s="47"/>
      <c r="AI78" s="47"/>
      <c r="AJ78" s="47"/>
      <c r="AK78" s="47"/>
      <c r="AL78" s="47"/>
      <c r="AM78" s="47"/>
      <c r="AN78" s="47"/>
      <c r="AO78" s="47"/>
    </row>
    <row r="79" spans="1:41" ht="15.75" customHeight="1">
      <c r="A79" s="40" t="s">
        <v>427</v>
      </c>
      <c r="B79" s="197">
        <f>(' Pivot Table for Data Exchange'!$D$223)*100</f>
        <v>98.86099297706672</v>
      </c>
      <c r="C79" s="197">
        <f>(' Pivot Table for Data Exchange'!$D$226)*100</f>
        <v>0</v>
      </c>
      <c r="D79" s="113">
        <f>SUM(E79:G79)</f>
        <v>1.1390070229332956</v>
      </c>
      <c r="E79" s="197">
        <f>(' Pivot Table for Data Exchange'!$D$229)*100</f>
        <v>0.8436842432367644</v>
      </c>
      <c r="F79" s="197">
        <f>(' Pivot Table for Data Exchange'!$D$232)*100</f>
        <v>0.13417709156448934</v>
      </c>
      <c r="G79" s="199">
        <f>(' Pivot Table for Data Exchange'!$D$235)*100</f>
        <v>0.1611456881320418</v>
      </c>
      <c r="H79" s="197">
        <f>(' Pivot Table for Data Exchange'!$D$238)*100</f>
        <v>0</v>
      </c>
      <c r="I79" s="40" t="s">
        <v>427</v>
      </c>
      <c r="J79" s="197">
        <f>(' Pivot Table for Data Exchange'!$D$241)*100</f>
        <v>95.5339429155902</v>
      </c>
      <c r="K79" s="197">
        <f>(' Pivot Table for Data Exchange'!$D$244)*100</f>
        <v>0</v>
      </c>
      <c r="L79" s="113">
        <f>SUM(M79:O79)</f>
        <v>4.466057084409802</v>
      </c>
      <c r="M79" s="197">
        <f>(' Pivot Table for Data Exchange'!$D$247)*100</f>
        <v>2.267857615222509</v>
      </c>
      <c r="N79" s="197">
        <f>(' Pivot Table for Data Exchange'!$D$250)*100</f>
        <v>2.1823279928754706</v>
      </c>
      <c r="O79" s="203">
        <f>(' Pivot Table for Data Exchange'!$D$253)*100</f>
        <v>0.015871476311821602</v>
      </c>
      <c r="P79" s="197">
        <f>(' Pivot Table for Data Exchange'!$D$256)*100</f>
        <v>0</v>
      </c>
      <c r="Q79" s="39">
        <f t="shared" si="6"/>
        <v>100.00000000000001</v>
      </c>
      <c r="R79" s="39">
        <f t="shared" si="7"/>
        <v>100</v>
      </c>
      <c r="S79" s="47"/>
      <c r="T79" s="59"/>
      <c r="U79" s="47"/>
      <c r="V79" s="47"/>
      <c r="W79" s="47"/>
      <c r="X79" s="47"/>
      <c r="Y79" s="47"/>
      <c r="Z79" s="47"/>
      <c r="AA79" s="47"/>
      <c r="AB79" s="47"/>
      <c r="AC79" s="47"/>
      <c r="AD79" s="47"/>
      <c r="AE79" s="47"/>
      <c r="AF79" s="47"/>
      <c r="AG79" s="47"/>
      <c r="AH79" s="47"/>
      <c r="AI79" s="47"/>
      <c r="AJ79" s="47"/>
      <c r="AK79" s="47"/>
      <c r="AL79" s="47"/>
      <c r="AM79" s="47"/>
      <c r="AN79" s="47"/>
      <c r="AO79" s="47"/>
    </row>
    <row r="80" spans="1:41" ht="15.75" customHeight="1">
      <c r="A80" s="40" t="s">
        <v>428</v>
      </c>
      <c r="B80" s="197">
        <f>(' Pivot Table for Data Exchange'!$D$259)*100</f>
        <v>99.0059752754895</v>
      </c>
      <c r="C80" s="197">
        <f>(' Pivot Table for Data Exchange'!$D$262)*100</f>
        <v>0.9940247245104984</v>
      </c>
      <c r="D80" s="113">
        <f>SUM(E80:G80)</f>
        <v>0</v>
      </c>
      <c r="E80" s="197">
        <f>(' Pivot Table for Data Exchange'!$D$265)*100</f>
        <v>0</v>
      </c>
      <c r="F80" s="197">
        <f>(' Pivot Table for Data Exchange'!$D$268)*100</f>
        <v>0</v>
      </c>
      <c r="G80" s="199">
        <f>(' Pivot Table for Data Exchange'!$D$271)*100</f>
        <v>0</v>
      </c>
      <c r="H80" s="197">
        <f>(' Pivot Table for Data Exchange'!$D$274)*100</f>
        <v>0</v>
      </c>
      <c r="I80" s="40" t="s">
        <v>428</v>
      </c>
      <c r="J80" s="197">
        <f>(' Pivot Table for Data Exchange'!$D$277)*100</f>
        <v>85.00135489115708</v>
      </c>
      <c r="K80" s="197">
        <f>(' Pivot Table for Data Exchange'!$D$280)*100</f>
        <v>2.9988257609971996</v>
      </c>
      <c r="L80" s="113">
        <f>SUM(M80:O80)</f>
        <v>11.999819347845724</v>
      </c>
      <c r="M80" s="197">
        <f>(' Pivot Table for Data Exchange'!$D$283)*100</f>
        <v>11.999819347845724</v>
      </c>
      <c r="N80" s="200">
        <f>(' Pivot Table for Data Exchange'!$D$286)*100</f>
        <v>0</v>
      </c>
      <c r="O80" s="199">
        <f>(' Pivot Table for Data Exchange'!$D$289)*100</f>
        <v>0</v>
      </c>
      <c r="P80" s="197">
        <f>(' Pivot Table for Data Exchange'!$D$292)*100</f>
        <v>0</v>
      </c>
      <c r="Q80" s="39">
        <f t="shared" si="6"/>
        <v>100</v>
      </c>
      <c r="R80" s="39">
        <f t="shared" si="7"/>
        <v>100.00000000000001</v>
      </c>
      <c r="S80" s="47"/>
      <c r="U80" s="47"/>
      <c r="V80" s="47"/>
      <c r="W80" s="47"/>
      <c r="X80" s="47"/>
      <c r="Y80" s="47"/>
      <c r="Z80" s="47"/>
      <c r="AA80" s="47"/>
      <c r="AB80" s="47"/>
      <c r="AC80" s="47"/>
      <c r="AD80" s="47"/>
      <c r="AE80" s="47"/>
      <c r="AF80" s="47"/>
      <c r="AG80" s="47"/>
      <c r="AH80" s="47"/>
      <c r="AI80" s="47"/>
      <c r="AJ80" s="47"/>
      <c r="AK80" s="47"/>
      <c r="AL80" s="47"/>
      <c r="AM80" s="47"/>
      <c r="AN80" s="47"/>
      <c r="AO80" s="47"/>
    </row>
    <row r="81" spans="1:41" ht="8.25" customHeight="1">
      <c r="A81" s="40"/>
      <c r="B81" s="102"/>
      <c r="C81" s="103"/>
      <c r="D81" s="113"/>
      <c r="E81" s="102"/>
      <c r="F81" s="102"/>
      <c r="G81" s="103"/>
      <c r="H81" s="102"/>
      <c r="I81" s="40"/>
      <c r="J81" s="102"/>
      <c r="K81" s="103"/>
      <c r="L81" s="113"/>
      <c r="M81" s="102"/>
      <c r="N81" s="102"/>
      <c r="O81" s="103"/>
      <c r="P81" s="102"/>
      <c r="Q81" s="39">
        <f t="shared" si="6"/>
        <v>0</v>
      </c>
      <c r="R81" s="39">
        <f t="shared" si="7"/>
        <v>0</v>
      </c>
      <c r="S81" s="47"/>
      <c r="U81" s="47"/>
      <c r="V81" s="47"/>
      <c r="W81" s="47"/>
      <c r="X81" s="47"/>
      <c r="Y81" s="47"/>
      <c r="Z81" s="47"/>
      <c r="AA81" s="47"/>
      <c r="AB81" s="47"/>
      <c r="AC81" s="47"/>
      <c r="AD81" s="47"/>
      <c r="AE81" s="47"/>
      <c r="AF81" s="47"/>
      <c r="AG81" s="47"/>
      <c r="AH81" s="47"/>
      <c r="AI81" s="47"/>
      <c r="AJ81" s="47"/>
      <c r="AK81" s="47"/>
      <c r="AL81" s="47"/>
      <c r="AM81" s="47"/>
      <c r="AN81" s="47"/>
      <c r="AO81" s="47"/>
    </row>
    <row r="82" spans="1:41" ht="15.75" customHeight="1">
      <c r="A82" s="40" t="s">
        <v>122</v>
      </c>
      <c r="B82" s="197">
        <f>(' Pivot Table for Data Exchange'!$D$295)*100</f>
        <v>91.61063154694068</v>
      </c>
      <c r="C82" s="197">
        <f>(' Pivot Table for Data Exchange'!$D$298)*100</f>
        <v>3.6355322620702784</v>
      </c>
      <c r="D82" s="113">
        <f>SUM(E82:G82)</f>
        <v>4.490972098108075</v>
      </c>
      <c r="E82" s="197">
        <f>(' Pivot Table for Data Exchange'!$D$301)*100</f>
        <v>3.150887470957289</v>
      </c>
      <c r="F82" s="197">
        <f>(' Pivot Table for Data Exchange'!$D$304)*100</f>
        <v>0.9811271705146566</v>
      </c>
      <c r="G82" s="199">
        <f>(' Pivot Table for Data Exchange'!$D$307)*100</f>
        <v>0.3589574566361288</v>
      </c>
      <c r="H82" s="197">
        <f>(' Pivot Table for Data Exchange'!$D$310)*100</f>
        <v>0.26286409288096724</v>
      </c>
      <c r="I82" s="40" t="s">
        <v>122</v>
      </c>
      <c r="J82" s="197">
        <f>(' Pivot Table for Data Exchange'!$D$313)*100</f>
        <v>82.6129712970614</v>
      </c>
      <c r="K82" s="197">
        <f>(' Pivot Table for Data Exchange'!$D$316)*100</f>
        <v>8.800049169916207</v>
      </c>
      <c r="L82" s="113">
        <f>SUM(M82:O82)</f>
        <v>8.566492067936435</v>
      </c>
      <c r="M82" s="197">
        <f>(' Pivot Table for Data Exchange'!$D$319)*100</f>
        <v>7.837138310876796</v>
      </c>
      <c r="N82" s="197">
        <f>(' Pivot Table for Data Exchange'!$D$322)*100</f>
        <v>0.5572590503377017</v>
      </c>
      <c r="O82" s="199">
        <f>(' Pivot Table for Data Exchange'!$D$325)*100</f>
        <v>0.17209470672193727</v>
      </c>
      <c r="P82" s="200">
        <f>(' Pivot Table for Data Exchange'!$D$328)*100</f>
        <v>0.020487465085944918</v>
      </c>
      <c r="Q82" s="39">
        <f t="shared" si="6"/>
        <v>100</v>
      </c>
      <c r="R82" s="39">
        <f t="shared" si="7"/>
        <v>100</v>
      </c>
      <c r="S82" s="47"/>
      <c r="T82" s="47"/>
      <c r="U82" s="47"/>
      <c r="V82" s="47"/>
      <c r="W82" s="47"/>
      <c r="X82" s="47"/>
      <c r="Y82" s="47"/>
      <c r="Z82" s="47"/>
      <c r="AA82" s="47"/>
      <c r="AB82" s="47"/>
      <c r="AC82" s="47"/>
      <c r="AD82" s="47"/>
      <c r="AE82" s="47"/>
      <c r="AF82" s="47"/>
      <c r="AG82" s="47"/>
      <c r="AH82" s="47"/>
      <c r="AI82" s="47"/>
      <c r="AJ82" s="47"/>
      <c r="AK82" s="47"/>
      <c r="AL82" s="47"/>
      <c r="AM82" s="47"/>
      <c r="AN82" s="47"/>
      <c r="AO82" s="47"/>
    </row>
    <row r="83" spans="1:41" ht="15.75" customHeight="1">
      <c r="A83" s="40" t="s">
        <v>130</v>
      </c>
      <c r="B83" s="197">
        <f>(' Pivot Table for Data Exchange'!$D$331)*100</f>
        <v>92.02545100681189</v>
      </c>
      <c r="C83" s="197">
        <f>(' Pivot Table for Data Exchange'!$D$334)*100</f>
        <v>1.718392095216708</v>
      </c>
      <c r="D83" s="113">
        <f>SUM(E83:G83)</f>
        <v>6.2561568979714055</v>
      </c>
      <c r="E83" s="197">
        <f>(' Pivot Table for Data Exchange'!$D$337)*100</f>
        <v>6.2172318287296955</v>
      </c>
      <c r="F83" s="200">
        <f>(' Pivot Table for Data Exchange'!$D$340)*100</f>
        <v>0.03892506924170971</v>
      </c>
      <c r="G83" s="199">
        <f>(' Pivot Table for Data Exchange'!$D$343)*100</f>
        <v>0</v>
      </c>
      <c r="H83" s="197">
        <f>(' Pivot Table for Data Exchange'!$D$346)*100</f>
        <v>0</v>
      </c>
      <c r="I83" s="40" t="s">
        <v>130</v>
      </c>
      <c r="J83" s="197">
        <f>(' Pivot Table for Data Exchange'!$D$349)*100</f>
        <v>77.3128871737585</v>
      </c>
      <c r="K83" s="197">
        <f>(' Pivot Table for Data Exchange'!$D$352)*100</f>
        <v>10.637032308607408</v>
      </c>
      <c r="L83" s="113">
        <f>SUM(M83:O83)</f>
        <v>12.050080517634088</v>
      </c>
      <c r="M83" s="197">
        <f>(' Pivot Table for Data Exchange'!$D$355)*100</f>
        <v>11.014232035862989</v>
      </c>
      <c r="N83" s="197">
        <f>(' Pivot Table for Data Exchange'!$D$358)*100</f>
        <v>1.018439263590071</v>
      </c>
      <c r="O83" s="203">
        <f>(' Pivot Table for Data Exchange'!$D$361)*100</f>
        <v>0.017409218181026854</v>
      </c>
      <c r="P83" s="197">
        <f>(' Pivot Table for Data Exchange'!$D$364)*100</f>
        <v>0</v>
      </c>
      <c r="Q83" s="39">
        <f t="shared" si="6"/>
        <v>100.00000000000001</v>
      </c>
      <c r="R83" s="39">
        <f t="shared" si="7"/>
        <v>99.99999999999999</v>
      </c>
      <c r="S83" s="47"/>
      <c r="T83" s="47"/>
      <c r="U83" s="47"/>
      <c r="V83" s="47"/>
      <c r="W83" s="47"/>
      <c r="X83" s="47"/>
      <c r="Y83" s="47"/>
      <c r="Z83" s="47"/>
      <c r="AA83" s="47"/>
      <c r="AB83" s="47"/>
      <c r="AC83" s="47"/>
      <c r="AD83" s="47"/>
      <c r="AE83" s="47"/>
      <c r="AF83" s="47"/>
      <c r="AG83" s="47"/>
      <c r="AH83" s="47"/>
      <c r="AI83" s="47"/>
      <c r="AJ83" s="47"/>
      <c r="AK83" s="47"/>
      <c r="AL83" s="47"/>
      <c r="AM83" s="47"/>
      <c r="AN83" s="47"/>
      <c r="AO83" s="47"/>
    </row>
    <row r="84" spans="1:41" ht="15.75" customHeight="1">
      <c r="A84" s="40" t="s">
        <v>123</v>
      </c>
      <c r="B84" s="197">
        <f>(' Pivot Table for Data Exchange'!$D$367)*100</f>
        <v>0</v>
      </c>
      <c r="C84" s="197">
        <f>(' Pivot Table for Data Exchange'!$D$370)*100</f>
        <v>0</v>
      </c>
      <c r="D84" s="113">
        <f>SUM(E84:G84)</f>
        <v>0</v>
      </c>
      <c r="E84" s="197">
        <f>(' Pivot Table for Data Exchange'!$D$373)*100</f>
        <v>0</v>
      </c>
      <c r="F84" s="197">
        <f>(' Pivot Table for Data Exchange'!$D$376)*100</f>
        <v>0</v>
      </c>
      <c r="G84" s="199">
        <f>(' Pivot Table for Data Exchange'!$D$379)*100</f>
        <v>0</v>
      </c>
      <c r="H84" s="197">
        <f>(' Pivot Table for Data Exchange'!$D$382)*100</f>
        <v>0</v>
      </c>
      <c r="I84" s="40" t="s">
        <v>123</v>
      </c>
      <c r="J84" s="197">
        <f>(' Pivot Table for Data Exchange'!$D$385)*100</f>
        <v>0</v>
      </c>
      <c r="K84" s="197">
        <f>(' Pivot Table for Data Exchange'!$D$388)*100</f>
        <v>0</v>
      </c>
      <c r="L84" s="113">
        <f>SUM(M84:O84)</f>
        <v>0</v>
      </c>
      <c r="M84" s="197">
        <f>(' Pivot Table for Data Exchange'!$D$391)*100</f>
        <v>0</v>
      </c>
      <c r="N84" s="197">
        <f>(' Pivot Table for Data Exchange'!$D$394)*100</f>
        <v>0</v>
      </c>
      <c r="O84" s="199">
        <f>(' Pivot Table for Data Exchange'!$D$397)*100</f>
        <v>0</v>
      </c>
      <c r="P84" s="197">
        <f>(' Pivot Table for Data Exchange'!$D$400)*100</f>
        <v>0</v>
      </c>
      <c r="Q84" s="39">
        <f t="shared" si="6"/>
        <v>0</v>
      </c>
      <c r="R84" s="39">
        <f t="shared" si="7"/>
        <v>0</v>
      </c>
      <c r="S84" s="47"/>
      <c r="T84" s="59"/>
      <c r="U84" s="47"/>
      <c r="V84" s="47"/>
      <c r="W84" s="47"/>
      <c r="X84" s="47"/>
      <c r="Y84" s="47"/>
      <c r="Z84" s="47"/>
      <c r="AA84" s="47"/>
      <c r="AB84" s="47"/>
      <c r="AC84" s="47"/>
      <c r="AD84" s="47"/>
      <c r="AE84" s="47"/>
      <c r="AF84" s="47"/>
      <c r="AG84" s="47"/>
      <c r="AH84" s="47"/>
      <c r="AI84" s="47"/>
      <c r="AJ84" s="47"/>
      <c r="AK84" s="47"/>
      <c r="AL84" s="47"/>
      <c r="AM84" s="47"/>
      <c r="AN84" s="47"/>
      <c r="AO84" s="47"/>
    </row>
    <row r="85" spans="1:41" ht="15.75" customHeight="1">
      <c r="A85" s="40" t="s">
        <v>429</v>
      </c>
      <c r="B85" s="197"/>
      <c r="C85" s="197"/>
      <c r="D85" s="113"/>
      <c r="E85" s="197"/>
      <c r="F85" s="197"/>
      <c r="G85" s="199"/>
      <c r="H85" s="197"/>
      <c r="I85" s="40" t="s">
        <v>429</v>
      </c>
      <c r="J85" s="197"/>
      <c r="K85" s="197"/>
      <c r="L85" s="113"/>
      <c r="M85" s="197"/>
      <c r="N85" s="197"/>
      <c r="O85" s="199"/>
      <c r="P85" s="197"/>
      <c r="Q85" s="39">
        <f aca="true" t="shared" si="8" ref="Q85:Q90">SUM(B85,C85,D85,H85)</f>
        <v>0</v>
      </c>
      <c r="R85" s="39">
        <f aca="true" t="shared" si="9" ref="R85:R90">SUM(J85,K85,L85,P85)</f>
        <v>0</v>
      </c>
      <c r="S85" s="47"/>
      <c r="T85" s="47"/>
      <c r="U85" s="47"/>
      <c r="V85" s="47"/>
      <c r="W85" s="47"/>
      <c r="X85" s="47"/>
      <c r="Y85" s="47"/>
      <c r="Z85" s="47"/>
      <c r="AA85" s="47"/>
      <c r="AB85" s="47"/>
      <c r="AC85" s="47"/>
      <c r="AD85" s="47"/>
      <c r="AE85" s="47"/>
      <c r="AF85" s="47"/>
      <c r="AG85" s="47"/>
      <c r="AH85" s="47"/>
      <c r="AI85" s="47"/>
      <c r="AJ85" s="47"/>
      <c r="AK85" s="47"/>
      <c r="AL85" s="47"/>
      <c r="AM85" s="47"/>
      <c r="AN85" s="47"/>
      <c r="AO85" s="47"/>
    </row>
    <row r="86" spans="1:41" ht="8.25" customHeight="1">
      <c r="A86" s="40"/>
      <c r="B86" s="197"/>
      <c r="C86" s="197"/>
      <c r="D86" s="113"/>
      <c r="E86" s="197"/>
      <c r="F86" s="197"/>
      <c r="G86" s="199"/>
      <c r="H86" s="197"/>
      <c r="I86" s="40"/>
      <c r="J86" s="197"/>
      <c r="K86" s="197"/>
      <c r="L86" s="113"/>
      <c r="M86" s="197"/>
      <c r="N86" s="197"/>
      <c r="O86" s="199"/>
      <c r="P86" s="197"/>
      <c r="Q86" s="39"/>
      <c r="R86" s="39"/>
      <c r="S86" s="47"/>
      <c r="T86" s="47"/>
      <c r="U86" s="47"/>
      <c r="V86" s="47"/>
      <c r="W86" s="47"/>
      <c r="X86" s="47"/>
      <c r="Y86" s="47"/>
      <c r="Z86" s="47"/>
      <c r="AA86" s="47"/>
      <c r="AB86" s="47"/>
      <c r="AC86" s="47"/>
      <c r="AD86" s="47"/>
      <c r="AE86" s="47"/>
      <c r="AF86" s="47"/>
      <c r="AG86" s="47"/>
      <c r="AH86" s="47"/>
      <c r="AI86" s="47"/>
      <c r="AJ86" s="47"/>
      <c r="AK86" s="47"/>
      <c r="AL86" s="47"/>
      <c r="AM86" s="47"/>
      <c r="AN86" s="47"/>
      <c r="AO86" s="47"/>
    </row>
    <row r="87" spans="1:41" ht="15.75" customHeight="1">
      <c r="A87" s="40" t="s">
        <v>430</v>
      </c>
      <c r="B87" s="197"/>
      <c r="C87" s="197"/>
      <c r="D87" s="113"/>
      <c r="E87" s="197"/>
      <c r="F87" s="197"/>
      <c r="G87" s="199"/>
      <c r="H87" s="197"/>
      <c r="I87" s="40" t="s">
        <v>430</v>
      </c>
      <c r="J87" s="197"/>
      <c r="K87" s="197"/>
      <c r="L87" s="113"/>
      <c r="M87" s="197"/>
      <c r="N87" s="197"/>
      <c r="O87" s="199"/>
      <c r="P87" s="197"/>
      <c r="Q87" s="39">
        <f t="shared" si="8"/>
        <v>0</v>
      </c>
      <c r="R87" s="39">
        <f t="shared" si="9"/>
        <v>0</v>
      </c>
      <c r="S87" s="47"/>
      <c r="T87" s="47"/>
      <c r="U87" s="47"/>
      <c r="V87" s="47"/>
      <c r="W87" s="47"/>
      <c r="X87" s="47"/>
      <c r="Y87" s="47"/>
      <c r="Z87" s="47"/>
      <c r="AA87" s="47"/>
      <c r="AB87" s="47"/>
      <c r="AC87" s="47"/>
      <c r="AD87" s="47"/>
      <c r="AE87" s="47"/>
      <c r="AF87" s="47"/>
      <c r="AG87" s="47"/>
      <c r="AH87" s="47"/>
      <c r="AI87" s="47"/>
      <c r="AJ87" s="47"/>
      <c r="AK87" s="47"/>
      <c r="AL87" s="47"/>
      <c r="AM87" s="47"/>
      <c r="AN87" s="47"/>
      <c r="AO87" s="47"/>
    </row>
    <row r="88" spans="1:41" ht="15.75" customHeight="1">
      <c r="A88" s="40" t="s">
        <v>229</v>
      </c>
      <c r="B88" s="197">
        <f>(' Pivot Table for Data Exchange'!$D$403)*100</f>
        <v>96.43022417613713</v>
      </c>
      <c r="C88" s="197">
        <f>(' Pivot Table for Data Exchange'!$D$406)*100</f>
        <v>0.6014888712878337</v>
      </c>
      <c r="D88" s="113">
        <f>SUM(E88:G88)</f>
        <v>2.968286952575044</v>
      </c>
      <c r="E88" s="197">
        <f>(' Pivot Table for Data Exchange'!$D$409)*100</f>
        <v>2.906547295914281</v>
      </c>
      <c r="F88" s="200">
        <f>(' Pivot Table for Data Exchange'!$D$412)*100</f>
        <v>0.01868876093515</v>
      </c>
      <c r="G88" s="203">
        <f>(' Pivot Table for Data Exchange'!$D$415)*100</f>
        <v>0.043050895725613395</v>
      </c>
      <c r="H88" s="197">
        <f>(' Pivot Table for Data Exchange'!$D$418)*100</f>
        <v>0</v>
      </c>
      <c r="I88" s="40" t="s">
        <v>229</v>
      </c>
      <c r="J88" s="197">
        <f>(' Pivot Table for Data Exchange'!$D$421)*100</f>
        <v>78.9004479877944</v>
      </c>
      <c r="K88" s="197">
        <f>(' Pivot Table for Data Exchange'!$D$424)*100</f>
        <v>2.836009543112281</v>
      </c>
      <c r="L88" s="113">
        <f>SUM(M88:O88)</f>
        <v>18.26354246909333</v>
      </c>
      <c r="M88" s="197">
        <f>(' Pivot Table for Data Exchange'!$D$427)*100</f>
        <v>16.895272569535333</v>
      </c>
      <c r="N88" s="197">
        <f>(' Pivot Table for Data Exchange'!$D$430)*100</f>
        <v>1.057520436171088</v>
      </c>
      <c r="O88" s="199">
        <f>(' Pivot Table for Data Exchange'!$D$433)*100</f>
        <v>0.31074946338690734</v>
      </c>
      <c r="P88" s="197">
        <f>(' Pivot Table for Data Exchange'!$D$436)*100</f>
        <v>0</v>
      </c>
      <c r="Q88" s="39">
        <f t="shared" si="8"/>
        <v>100</v>
      </c>
      <c r="R88" s="39">
        <f t="shared" si="9"/>
        <v>100</v>
      </c>
      <c r="S88" s="47"/>
      <c r="T88" s="47"/>
      <c r="U88" s="47"/>
      <c r="V88" s="47"/>
      <c r="W88" s="47"/>
      <c r="X88" s="47"/>
      <c r="Y88" s="47"/>
      <c r="Z88" s="47"/>
      <c r="AA88" s="47"/>
      <c r="AB88" s="47"/>
      <c r="AC88" s="47"/>
      <c r="AD88" s="47"/>
      <c r="AE88" s="47"/>
      <c r="AF88" s="47"/>
      <c r="AG88" s="47"/>
      <c r="AH88" s="47"/>
      <c r="AI88" s="47"/>
      <c r="AJ88" s="47"/>
      <c r="AK88" s="47"/>
      <c r="AL88" s="47"/>
      <c r="AM88" s="47"/>
      <c r="AN88" s="47"/>
      <c r="AO88" s="47"/>
    </row>
    <row r="89" spans="1:41" ht="15.75" customHeight="1">
      <c r="A89" s="40" t="s">
        <v>431</v>
      </c>
      <c r="B89" s="197">
        <f>(' Pivot Table for Data Exchange'!$D$511)*100</f>
        <v>0</v>
      </c>
      <c r="C89" s="197">
        <f>(' Pivot Table for Data Exchange'!$D$514)*100</f>
        <v>0</v>
      </c>
      <c r="D89" s="113">
        <f>SUM(E89:G89)</f>
        <v>0</v>
      </c>
      <c r="E89" s="197">
        <f>(' Pivot Table for Data Exchange'!$D$517)*100</f>
        <v>0</v>
      </c>
      <c r="F89" s="197">
        <f>(' Pivot Table for Data Exchange'!$D$520)*100</f>
        <v>0</v>
      </c>
      <c r="G89" s="199">
        <f>(' Pivot Table for Data Exchange'!$D$523)*100</f>
        <v>0</v>
      </c>
      <c r="H89" s="197">
        <f>(' Pivot Table for Data Exchange'!$D$526)*100</f>
        <v>0</v>
      </c>
      <c r="I89" s="40" t="s">
        <v>431</v>
      </c>
      <c r="J89" s="197">
        <f>(' Pivot Table for Data Exchange'!$D$529)*100</f>
        <v>0</v>
      </c>
      <c r="K89" s="197">
        <f>(' Pivot Table for Data Exchange'!$D$532)*100</f>
        <v>0</v>
      </c>
      <c r="L89" s="113">
        <f>SUM(M89:O89)</f>
        <v>0</v>
      </c>
      <c r="M89" s="197">
        <f>(' Pivot Table for Data Exchange'!$D$535)*100</f>
        <v>0</v>
      </c>
      <c r="N89" s="197">
        <f>(' Pivot Table for Data Exchange'!$D$538)*100</f>
        <v>0</v>
      </c>
      <c r="O89" s="199">
        <f>(' Pivot Table for Data Exchange'!$D$541)*100</f>
        <v>0</v>
      </c>
      <c r="P89" s="197">
        <f>(' Pivot Table for Data Exchange'!$D$544)*100</f>
        <v>0</v>
      </c>
      <c r="Q89" s="39">
        <f t="shared" si="8"/>
        <v>0</v>
      </c>
      <c r="R89" s="39">
        <f t="shared" si="9"/>
        <v>0</v>
      </c>
      <c r="S89" s="47"/>
      <c r="T89" s="47"/>
      <c r="U89" s="47"/>
      <c r="V89" s="47"/>
      <c r="W89" s="47"/>
      <c r="X89" s="47"/>
      <c r="Y89" s="47"/>
      <c r="Z89" s="47"/>
      <c r="AA89" s="47"/>
      <c r="AB89" s="47"/>
      <c r="AC89" s="47"/>
      <c r="AD89" s="47"/>
      <c r="AE89" s="47"/>
      <c r="AF89" s="47"/>
      <c r="AG89" s="47"/>
      <c r="AH89" s="47"/>
      <c r="AI89" s="47"/>
      <c r="AJ89" s="47"/>
      <c r="AK89" s="47"/>
      <c r="AL89" s="47"/>
      <c r="AM89" s="47"/>
      <c r="AN89" s="47"/>
      <c r="AO89" s="47"/>
    </row>
    <row r="90" spans="1:41" ht="15.75" customHeight="1">
      <c r="A90" s="34" t="s">
        <v>124</v>
      </c>
      <c r="B90" s="201">
        <f>(' Pivot Table for Data Exchange'!$D$439)*100</f>
        <v>0</v>
      </c>
      <c r="C90" s="201">
        <f>(' Pivot Table for Data Exchange'!$D$442)*100</f>
        <v>0</v>
      </c>
      <c r="D90" s="114">
        <f>SUM(E90:G90)</f>
        <v>0</v>
      </c>
      <c r="E90" s="201">
        <f>(' Pivot Table for Data Exchange'!$D$445)*100</f>
        <v>0</v>
      </c>
      <c r="F90" s="201">
        <f>(' Pivot Table for Data Exchange'!$D$448)*100</f>
        <v>0</v>
      </c>
      <c r="G90" s="202">
        <f>(' Pivot Table for Data Exchange'!$D$451)*100</f>
        <v>0</v>
      </c>
      <c r="H90" s="201">
        <f>(' Pivot Table for Data Exchange'!$D$454)*100</f>
        <v>0</v>
      </c>
      <c r="I90" s="34" t="s">
        <v>124</v>
      </c>
      <c r="J90" s="201">
        <f>(' Pivot Table for Data Exchange'!$D$457)*100</f>
        <v>0</v>
      </c>
      <c r="K90" s="201">
        <f>(' Pivot Table for Data Exchange'!$D$460)*100</f>
        <v>0</v>
      </c>
      <c r="L90" s="114">
        <f>SUM(M90:O90)</f>
        <v>0</v>
      </c>
      <c r="M90" s="201">
        <f>(' Pivot Table for Data Exchange'!$D$463)*100</f>
        <v>0</v>
      </c>
      <c r="N90" s="201">
        <f>(' Pivot Table for Data Exchange'!$D$466)*100</f>
        <v>0</v>
      </c>
      <c r="O90" s="202">
        <f>(' Pivot Table for Data Exchange'!$D$469)*100</f>
        <v>0</v>
      </c>
      <c r="P90" s="201">
        <f>(' Pivot Table for Data Exchange'!$D$472)*100</f>
        <v>0</v>
      </c>
      <c r="Q90" s="39">
        <f t="shared" si="8"/>
        <v>0</v>
      </c>
      <c r="R90" s="39">
        <f t="shared" si="9"/>
        <v>0</v>
      </c>
      <c r="S90" s="47"/>
      <c r="T90" s="47"/>
      <c r="U90" s="47"/>
      <c r="V90" s="47"/>
      <c r="W90" s="47"/>
      <c r="X90" s="47"/>
      <c r="Y90" s="47"/>
      <c r="Z90" s="47"/>
      <c r="AA90" s="47"/>
      <c r="AB90" s="47"/>
      <c r="AC90" s="47"/>
      <c r="AD90" s="47"/>
      <c r="AE90" s="47"/>
      <c r="AF90" s="47"/>
      <c r="AG90" s="47"/>
      <c r="AH90" s="47"/>
      <c r="AI90" s="47"/>
      <c r="AJ90" s="47"/>
      <c r="AK90" s="47"/>
      <c r="AL90" s="47"/>
      <c r="AM90" s="47"/>
      <c r="AN90" s="47"/>
      <c r="AO90" s="47"/>
    </row>
    <row r="91" spans="1:41" s="64" customFormat="1" ht="18" customHeight="1">
      <c r="A91" s="115" t="s">
        <v>477</v>
      </c>
      <c r="B91" s="68"/>
      <c r="C91" s="68"/>
      <c r="D91" s="69"/>
      <c r="E91" s="68"/>
      <c r="F91" s="69"/>
      <c r="G91" s="69"/>
      <c r="H91" s="68"/>
      <c r="I91" s="115" t="s">
        <v>477</v>
      </c>
      <c r="J91" s="68"/>
      <c r="K91" s="68"/>
      <c r="L91" s="69"/>
      <c r="M91" s="68"/>
      <c r="N91" s="69"/>
      <c r="O91" s="69"/>
      <c r="P91" s="68"/>
      <c r="Q91" s="68"/>
      <c r="R91" s="68"/>
      <c r="S91" s="70"/>
      <c r="T91" s="70"/>
      <c r="U91" s="70"/>
      <c r="V91" s="70"/>
      <c r="W91" s="70"/>
      <c r="X91" s="70"/>
      <c r="Y91" s="70"/>
      <c r="Z91" s="70"/>
      <c r="AA91" s="70"/>
      <c r="AB91" s="70"/>
      <c r="AC91" s="70"/>
      <c r="AD91" s="70"/>
      <c r="AE91" s="70"/>
      <c r="AF91" s="70"/>
      <c r="AG91" s="70"/>
      <c r="AH91" s="70"/>
      <c r="AI91" s="70"/>
      <c r="AJ91" s="70"/>
      <c r="AK91" s="70"/>
      <c r="AL91" s="70"/>
      <c r="AM91" s="70"/>
      <c r="AN91" s="70"/>
      <c r="AO91" s="70"/>
    </row>
    <row r="92" spans="1:41" s="64" customFormat="1" ht="24.75" customHeight="1">
      <c r="A92" s="677" t="s">
        <v>746</v>
      </c>
      <c r="B92" s="689"/>
      <c r="C92" s="689"/>
      <c r="D92" s="689"/>
      <c r="E92" s="689"/>
      <c r="F92" s="689"/>
      <c r="G92" s="689"/>
      <c r="H92" s="689"/>
      <c r="I92" s="677" t="s">
        <v>746</v>
      </c>
      <c r="J92" s="689"/>
      <c r="K92" s="689"/>
      <c r="L92" s="689"/>
      <c r="M92" s="689"/>
      <c r="N92" s="689"/>
      <c r="O92" s="689"/>
      <c r="P92" s="689"/>
      <c r="Q92" s="68"/>
      <c r="R92" s="68"/>
      <c r="S92" s="70"/>
      <c r="T92" s="70"/>
      <c r="U92" s="70"/>
      <c r="V92" s="70"/>
      <c r="W92" s="70"/>
      <c r="X92" s="70"/>
      <c r="Y92" s="70"/>
      <c r="Z92" s="70"/>
      <c r="AA92" s="70"/>
      <c r="AB92" s="70"/>
      <c r="AC92" s="70"/>
      <c r="AD92" s="70"/>
      <c r="AE92" s="70"/>
      <c r="AF92" s="70"/>
      <c r="AG92" s="70"/>
      <c r="AH92" s="70"/>
      <c r="AI92" s="70"/>
      <c r="AJ92" s="70"/>
      <c r="AK92" s="70"/>
      <c r="AL92" s="70"/>
      <c r="AM92" s="70"/>
      <c r="AN92" s="70"/>
      <c r="AO92" s="70"/>
    </row>
    <row r="93" spans="1:41" s="64" customFormat="1" ht="18" customHeight="1">
      <c r="A93" s="565"/>
      <c r="B93" s="564"/>
      <c r="C93" s="564"/>
      <c r="D93" s="564"/>
      <c r="E93" s="564"/>
      <c r="F93" s="564"/>
      <c r="G93" s="564"/>
      <c r="H93" s="564"/>
      <c r="I93" s="565"/>
      <c r="J93" s="564"/>
      <c r="K93" s="564"/>
      <c r="L93" s="564"/>
      <c r="M93" s="564"/>
      <c r="N93" s="564"/>
      <c r="O93" s="564"/>
      <c r="P93" s="564"/>
      <c r="Q93" s="68"/>
      <c r="R93" s="68"/>
      <c r="S93" s="70"/>
      <c r="T93" s="70"/>
      <c r="U93" s="70"/>
      <c r="V93" s="70"/>
      <c r="W93" s="70"/>
      <c r="X93" s="70"/>
      <c r="Y93" s="70"/>
      <c r="Z93" s="70"/>
      <c r="AA93" s="70"/>
      <c r="AB93" s="70"/>
      <c r="AC93" s="70"/>
      <c r="AD93" s="70"/>
      <c r="AE93" s="70"/>
      <c r="AF93" s="70"/>
      <c r="AG93" s="70"/>
      <c r="AH93" s="70"/>
      <c r="AI93" s="70"/>
      <c r="AJ93" s="70"/>
      <c r="AK93" s="70"/>
      <c r="AL93" s="70"/>
      <c r="AM93" s="70"/>
      <c r="AN93" s="70"/>
      <c r="AO93" s="70"/>
    </row>
    <row r="94" spans="1:18" s="64" customFormat="1" ht="13.5" customHeight="1">
      <c r="A94" s="115"/>
      <c r="B94" s="63"/>
      <c r="H94" s="559" t="s">
        <v>766</v>
      </c>
      <c r="I94" s="115"/>
      <c r="P94" s="559" t="s">
        <v>766</v>
      </c>
      <c r="Q94" s="66"/>
      <c r="R94" s="67"/>
    </row>
    <row r="95" spans="1:18" ht="18">
      <c r="A95" s="31" t="s">
        <v>444</v>
      </c>
      <c r="B95" s="32"/>
      <c r="C95" s="32"/>
      <c r="D95" s="32"/>
      <c r="E95" s="32"/>
      <c r="F95" s="32"/>
      <c r="G95" s="32"/>
      <c r="H95" s="46"/>
      <c r="I95" s="31" t="s">
        <v>459</v>
      </c>
      <c r="J95" s="33"/>
      <c r="K95" s="33"/>
      <c r="L95" s="32"/>
      <c r="M95" s="33"/>
      <c r="N95" s="33"/>
      <c r="O95" s="33"/>
      <c r="P95" s="33"/>
      <c r="Q95" s="55"/>
      <c r="R95" s="56"/>
    </row>
    <row r="96" spans="1:18" ht="12.75">
      <c r="A96" s="78"/>
      <c r="B96" s="33"/>
      <c r="C96" s="33"/>
      <c r="D96" s="33"/>
      <c r="E96" s="33"/>
      <c r="F96" s="33"/>
      <c r="G96" s="33"/>
      <c r="H96" s="43"/>
      <c r="I96" s="78"/>
      <c r="J96" s="33"/>
      <c r="K96" s="33"/>
      <c r="L96" s="33"/>
      <c r="M96" s="33"/>
      <c r="N96" s="33"/>
      <c r="O96" s="33"/>
      <c r="P96" s="33"/>
      <c r="R96" s="58"/>
    </row>
    <row r="97" spans="1:18" ht="15.75">
      <c r="A97" s="42" t="s">
        <v>465</v>
      </c>
      <c r="B97" s="33"/>
      <c r="C97" s="33"/>
      <c r="D97" s="33"/>
      <c r="E97" s="33"/>
      <c r="F97" s="33"/>
      <c r="G97" s="33"/>
      <c r="H97" s="43"/>
      <c r="I97" s="42" t="s">
        <v>466</v>
      </c>
      <c r="J97" s="33"/>
      <c r="K97" s="33"/>
      <c r="L97" s="33"/>
      <c r="M97" s="33"/>
      <c r="N97" s="33"/>
      <c r="O97" s="33"/>
      <c r="P97" s="33"/>
      <c r="R97" s="58" t="s">
        <v>14</v>
      </c>
    </row>
    <row r="98" spans="1:18" ht="15.75">
      <c r="A98" s="42" t="s">
        <v>733</v>
      </c>
      <c r="B98" s="33"/>
      <c r="C98" s="33"/>
      <c r="D98" s="33"/>
      <c r="E98" s="33"/>
      <c r="F98" s="33"/>
      <c r="G98" s="33"/>
      <c r="H98" s="43"/>
      <c r="I98" s="42" t="s">
        <v>733</v>
      </c>
      <c r="J98" s="33"/>
      <c r="K98" s="33"/>
      <c r="L98" s="33"/>
      <c r="M98" s="33"/>
      <c r="N98" s="33"/>
      <c r="O98" s="33"/>
      <c r="P98" s="33"/>
      <c r="R98" s="58" t="s">
        <v>14</v>
      </c>
    </row>
    <row r="99" spans="1:16" ht="12.75">
      <c r="A99" s="34"/>
      <c r="B99" s="35"/>
      <c r="C99" s="35"/>
      <c r="D99" s="35"/>
      <c r="E99" s="35"/>
      <c r="F99" s="35"/>
      <c r="G99" s="35"/>
      <c r="H99" s="35"/>
      <c r="I99" s="36"/>
      <c r="L99" s="37"/>
      <c r="P99" s="34"/>
    </row>
    <row r="100" spans="1:18" s="90" customFormat="1" ht="12">
      <c r="A100" s="85"/>
      <c r="B100" s="691" t="s">
        <v>231</v>
      </c>
      <c r="C100" s="691"/>
      <c r="D100" s="691"/>
      <c r="E100" s="691"/>
      <c r="F100" s="691"/>
      <c r="G100" s="691"/>
      <c r="H100" s="691"/>
      <c r="I100" s="85"/>
      <c r="J100" s="86" t="s">
        <v>231</v>
      </c>
      <c r="K100" s="86"/>
      <c r="L100" s="86"/>
      <c r="M100" s="86"/>
      <c r="N100" s="86"/>
      <c r="O100" s="86"/>
      <c r="P100" s="87"/>
      <c r="Q100" s="88"/>
      <c r="R100" s="89"/>
    </row>
    <row r="101" spans="1:18" s="90" customFormat="1" ht="12">
      <c r="A101" s="85"/>
      <c r="B101" s="86" t="s">
        <v>127</v>
      </c>
      <c r="C101" s="86"/>
      <c r="D101" s="690" t="s">
        <v>472</v>
      </c>
      <c r="E101" s="691"/>
      <c r="F101" s="691"/>
      <c r="G101" s="691"/>
      <c r="H101" s="91" t="s">
        <v>14</v>
      </c>
      <c r="I101" s="85"/>
      <c r="J101" s="86" t="s">
        <v>127</v>
      </c>
      <c r="K101" s="86"/>
      <c r="L101" s="690" t="s">
        <v>472</v>
      </c>
      <c r="M101" s="691"/>
      <c r="N101" s="691"/>
      <c r="O101" s="691"/>
      <c r="P101" s="91" t="s">
        <v>14</v>
      </c>
      <c r="Q101" s="88"/>
      <c r="R101" s="89"/>
    </row>
    <row r="102" spans="1:20" s="90" customFormat="1" ht="40.5" customHeight="1">
      <c r="A102" s="85"/>
      <c r="B102" s="92" t="s">
        <v>464</v>
      </c>
      <c r="C102" s="93" t="s">
        <v>463</v>
      </c>
      <c r="D102" s="94" t="s">
        <v>470</v>
      </c>
      <c r="E102" s="95" t="s">
        <v>12</v>
      </c>
      <c r="F102" s="92" t="s">
        <v>128</v>
      </c>
      <c r="G102" s="96" t="s">
        <v>474</v>
      </c>
      <c r="H102" s="97" t="s">
        <v>473</v>
      </c>
      <c r="I102" s="85"/>
      <c r="J102" s="92" t="s">
        <v>464</v>
      </c>
      <c r="K102" s="93" t="s">
        <v>463</v>
      </c>
      <c r="L102" s="94" t="s">
        <v>470</v>
      </c>
      <c r="M102" s="95" t="s">
        <v>12</v>
      </c>
      <c r="N102" s="92" t="s">
        <v>128</v>
      </c>
      <c r="O102" s="96" t="s">
        <v>474</v>
      </c>
      <c r="P102" s="97" t="s">
        <v>473</v>
      </c>
      <c r="Q102" s="98"/>
      <c r="R102" s="99"/>
      <c r="T102" s="100"/>
    </row>
    <row r="103" spans="1:41" ht="15.75" customHeight="1">
      <c r="A103" s="41" t="s">
        <v>421</v>
      </c>
      <c r="B103" s="197">
        <f>(' Pivot Table for Data Exchange'!$E$7)*100</f>
        <v>98.72359127684204</v>
      </c>
      <c r="C103" s="200">
        <f>(' Pivot Table for Data Exchange'!$E$10)*100</f>
        <v>0.01887995444050338</v>
      </c>
      <c r="D103" s="113">
        <f>SUM(E103:G103)</f>
        <v>1.257528768717463</v>
      </c>
      <c r="E103" s="197">
        <f>(' Pivot Table for Data Exchange'!$E$13)*100</f>
        <v>1.257528768717463</v>
      </c>
      <c r="F103" s="197">
        <f>(' Pivot Table for Data Exchange'!$E$16)*100</f>
        <v>0</v>
      </c>
      <c r="G103" s="198">
        <f>(' Pivot Table for Data Exchange'!$E$19)*100</f>
        <v>0</v>
      </c>
      <c r="H103" s="197">
        <f>(' Pivot Table for Data Exchange'!$E$22)*100</f>
        <v>0</v>
      </c>
      <c r="I103" s="41" t="s">
        <v>421</v>
      </c>
      <c r="J103" s="197">
        <f>(' Pivot Table for Data Exchange'!$E$25)*100</f>
        <v>88.51168586451084</v>
      </c>
      <c r="K103" s="197">
        <f>(' Pivot Table for Data Exchange'!$E$28)*100</f>
        <v>0.06382396741938426</v>
      </c>
      <c r="L103" s="113">
        <f>SUM(M103:O103)</f>
        <v>11.42449016806978</v>
      </c>
      <c r="M103" s="197">
        <f>(' Pivot Table for Data Exchange'!$E$31)*100</f>
        <v>11.42449016806978</v>
      </c>
      <c r="N103" s="197">
        <f>(' Pivot Table for Data Exchange'!$E$34)*100</f>
        <v>0</v>
      </c>
      <c r="O103" s="198">
        <f>(' Pivot Table for Data Exchange'!$E$37)*100</f>
        <v>0</v>
      </c>
      <c r="P103" s="197">
        <f>(' Pivot Table for Data Exchange'!$E$40)*100</f>
        <v>0</v>
      </c>
      <c r="Q103" s="39">
        <f aca="true" t="shared" si="10" ref="Q103:Q115">SUM(B103,C103,D103,H103)</f>
        <v>100.00000000000001</v>
      </c>
      <c r="R103" s="39">
        <f aca="true" t="shared" si="11" ref="R103:R115">SUM(J103,K103,L103,P103)</f>
        <v>100</v>
      </c>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row>
    <row r="104" spans="1:41" ht="15.75" customHeight="1">
      <c r="A104" s="40" t="s">
        <v>422</v>
      </c>
      <c r="B104" s="197">
        <f>(' Pivot Table for Data Exchange'!$E$43)*100</f>
        <v>87.8696830366542</v>
      </c>
      <c r="C104" s="197">
        <f>(' Pivot Table for Data Exchange'!$E$46)*100</f>
        <v>4.503908558078253</v>
      </c>
      <c r="D104" s="113">
        <f>SUM(E104:G104)</f>
        <v>7.60277368396031</v>
      </c>
      <c r="E104" s="197">
        <f>(' Pivot Table for Data Exchange'!$E$49)*100</f>
        <v>5.694202022534484</v>
      </c>
      <c r="F104" s="197">
        <f>(' Pivot Table for Data Exchange'!$E$52)*100</f>
        <v>0.6843202640568863</v>
      </c>
      <c r="G104" s="199">
        <f>(' Pivot Table for Data Exchange'!$E$55)*100</f>
        <v>1.2242513973689393</v>
      </c>
      <c r="H104" s="200">
        <f>(' Pivot Table for Data Exchange'!$E$58)*100</f>
        <v>0.023634721307244585</v>
      </c>
      <c r="I104" s="40" t="s">
        <v>422</v>
      </c>
      <c r="J104" s="197">
        <f>(' Pivot Table for Data Exchange'!$E$61)*100</f>
        <v>68.76788908765653</v>
      </c>
      <c r="K104" s="197">
        <f>(' Pivot Table for Data Exchange'!$E$64)*100</f>
        <v>17.47204830053667</v>
      </c>
      <c r="L104" s="113">
        <f>SUM(M104:O104)</f>
        <v>13.760062611806799</v>
      </c>
      <c r="M104" s="197">
        <f>(' Pivot Table for Data Exchange'!$E$67)*100</f>
        <v>8.87969588550984</v>
      </c>
      <c r="N104" s="197">
        <f>(' Pivot Table for Data Exchange'!$E$70)*100</f>
        <v>2.979651162790698</v>
      </c>
      <c r="O104" s="199">
        <f>(' Pivot Table for Data Exchange'!$E$73)*100</f>
        <v>1.9007155635062611</v>
      </c>
      <c r="P104" s="197">
        <f>(' Pivot Table for Data Exchange'!$E$76)*100</f>
        <v>0</v>
      </c>
      <c r="Q104" s="39">
        <f t="shared" si="10"/>
        <v>100</v>
      </c>
      <c r="R104" s="39">
        <f t="shared" si="11"/>
        <v>100</v>
      </c>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row>
    <row r="105" spans="1:41" ht="15.75" customHeight="1">
      <c r="A105" s="40" t="s">
        <v>423</v>
      </c>
      <c r="B105" s="197">
        <f>(' Pivot Table for Data Exchange'!$E$79)*100</f>
        <v>0</v>
      </c>
      <c r="C105" s="197">
        <f>(' Pivot Table for Data Exchange'!$E$82)*100</f>
        <v>0</v>
      </c>
      <c r="D105" s="113">
        <f>SUM(E105:G105)</f>
        <v>0</v>
      </c>
      <c r="E105" s="197">
        <f>(' Pivot Table for Data Exchange'!$E$85)*100</f>
        <v>0</v>
      </c>
      <c r="F105" s="197">
        <f>(' Pivot Table for Data Exchange'!$E$88)*100</f>
        <v>0</v>
      </c>
      <c r="G105" s="199">
        <f>(' Pivot Table for Data Exchange'!$E$91)*100</f>
        <v>0</v>
      </c>
      <c r="H105" s="197">
        <f>(' Pivot Table for Data Exchange'!$E$94)*100</f>
        <v>0</v>
      </c>
      <c r="I105" s="40" t="s">
        <v>423</v>
      </c>
      <c r="J105" s="197">
        <f>(' Pivot Table for Data Exchange'!$E$97)*100</f>
        <v>0</v>
      </c>
      <c r="K105" s="197">
        <f>(' Pivot Table for Data Exchange'!$E$100)*100</f>
        <v>0</v>
      </c>
      <c r="L105" s="113">
        <f>SUM(M105:O105)</f>
        <v>0</v>
      </c>
      <c r="M105" s="197">
        <f>(' Pivot Table for Data Exchange'!$E$103)*100</f>
        <v>0</v>
      </c>
      <c r="N105" s="197">
        <f>(' Pivot Table for Data Exchange'!$E$106)*100</f>
        <v>0</v>
      </c>
      <c r="O105" s="199">
        <f>(' Pivot Table for Data Exchange'!$E$109)*100</f>
        <v>0</v>
      </c>
      <c r="P105" s="197">
        <f>(' Pivot Table for Data Exchange'!$E$112)*100</f>
        <v>0</v>
      </c>
      <c r="Q105" s="39">
        <f t="shared" si="10"/>
        <v>0</v>
      </c>
      <c r="R105" s="39">
        <f t="shared" si="11"/>
        <v>0</v>
      </c>
      <c r="S105" s="47"/>
      <c r="T105" s="59"/>
      <c r="U105" s="47"/>
      <c r="V105" s="47"/>
      <c r="W105" s="47"/>
      <c r="X105" s="47"/>
      <c r="Y105" s="47"/>
      <c r="Z105" s="47"/>
      <c r="AA105" s="47"/>
      <c r="AB105" s="47"/>
      <c r="AC105" s="47"/>
      <c r="AD105" s="47"/>
      <c r="AE105" s="47"/>
      <c r="AF105" s="47"/>
      <c r="AG105" s="47"/>
      <c r="AH105" s="47"/>
      <c r="AI105" s="47"/>
      <c r="AJ105" s="47"/>
      <c r="AK105" s="47"/>
      <c r="AL105" s="47"/>
      <c r="AM105" s="47"/>
      <c r="AN105" s="47"/>
      <c r="AO105" s="47"/>
    </row>
    <row r="106" spans="1:41" ht="15.75" customHeight="1">
      <c r="A106" s="40" t="s">
        <v>745</v>
      </c>
      <c r="B106" s="197">
        <f>(' Pivot Table for Data Exchange'!$E$115)*100</f>
        <v>94.15091466473704</v>
      </c>
      <c r="C106" s="197">
        <f>(' Pivot Table for Data Exchange'!$E$118)*100</f>
        <v>3.06867451817348</v>
      </c>
      <c r="D106" s="113">
        <f>SUM(E106:G106)</f>
        <v>2.7804108170894812</v>
      </c>
      <c r="E106" s="197">
        <f>(' Pivot Table for Data Exchange'!$E$121)*100</f>
        <v>2.6289602321219254</v>
      </c>
      <c r="F106" s="197">
        <f>(' Pivot Table for Data Exchange'!$E$124)*100</f>
        <v>0</v>
      </c>
      <c r="G106" s="199">
        <f>(' Pivot Table for Data Exchange'!$E$127)*100</f>
        <v>0.1514505849675556</v>
      </c>
      <c r="H106" s="197">
        <f>(' Pivot Table for Data Exchange'!$E$130)*100</f>
        <v>0</v>
      </c>
      <c r="I106" s="40" t="s">
        <v>745</v>
      </c>
      <c r="J106" s="197">
        <f>(' Pivot Table for Data Exchange'!$E$133)*100</f>
        <v>77.72517956950189</v>
      </c>
      <c r="K106" s="197">
        <f>(' Pivot Table for Data Exchange'!$E$136)*100</f>
        <v>16.286045721383125</v>
      </c>
      <c r="L106" s="113">
        <f>SUM(M106:O106)</f>
        <v>5.988774709114983</v>
      </c>
      <c r="M106" s="197">
        <f>(' Pivot Table for Data Exchange'!$E$139)*100</f>
        <v>5.732163153392779</v>
      </c>
      <c r="N106" s="197">
        <f>(' Pivot Table for Data Exchange'!$E$142)*100</f>
        <v>0.09139589655859298</v>
      </c>
      <c r="O106" s="199">
        <f>(' Pivot Table for Data Exchange'!$E$145)*100</f>
        <v>0.16521565916361036</v>
      </c>
      <c r="P106" s="197">
        <f>(' Pivot Table for Data Exchange'!$E$148)*100</f>
        <v>0</v>
      </c>
      <c r="Q106" s="39">
        <f t="shared" si="10"/>
        <v>100</v>
      </c>
      <c r="R106" s="39">
        <f t="shared" si="11"/>
        <v>100</v>
      </c>
      <c r="S106" s="47"/>
      <c r="U106" s="47"/>
      <c r="V106" s="47"/>
      <c r="W106" s="47"/>
      <c r="X106" s="47"/>
      <c r="Y106" s="47"/>
      <c r="Z106" s="47"/>
      <c r="AA106" s="47"/>
      <c r="AB106" s="47"/>
      <c r="AC106" s="47"/>
      <c r="AD106" s="47"/>
      <c r="AE106" s="47"/>
      <c r="AF106" s="47"/>
      <c r="AG106" s="47"/>
      <c r="AH106" s="47"/>
      <c r="AI106" s="47"/>
      <c r="AJ106" s="47"/>
      <c r="AK106" s="47"/>
      <c r="AL106" s="47"/>
      <c r="AM106" s="47"/>
      <c r="AN106" s="47"/>
      <c r="AO106" s="47"/>
    </row>
    <row r="107" spans="1:41" ht="11.25" customHeight="1">
      <c r="A107" s="40"/>
      <c r="B107" s="102"/>
      <c r="C107" s="103"/>
      <c r="D107" s="113"/>
      <c r="E107" s="102"/>
      <c r="F107" s="102"/>
      <c r="G107" s="103"/>
      <c r="H107" s="102"/>
      <c r="I107" s="40"/>
      <c r="J107" s="102"/>
      <c r="K107" s="103"/>
      <c r="L107" s="113"/>
      <c r="M107" s="102"/>
      <c r="N107" s="102"/>
      <c r="O107" s="103"/>
      <c r="P107" s="102"/>
      <c r="Q107" s="39">
        <f t="shared" si="10"/>
        <v>0</v>
      </c>
      <c r="R107" s="39">
        <f t="shared" si="11"/>
        <v>0</v>
      </c>
      <c r="S107" s="47"/>
      <c r="U107" s="47"/>
      <c r="V107" s="47"/>
      <c r="W107" s="47"/>
      <c r="X107" s="47"/>
      <c r="Y107" s="47"/>
      <c r="Z107" s="47"/>
      <c r="AA107" s="47"/>
      <c r="AB107" s="47"/>
      <c r="AC107" s="47"/>
      <c r="AD107" s="47"/>
      <c r="AE107" s="47"/>
      <c r="AF107" s="47"/>
      <c r="AG107" s="47"/>
      <c r="AH107" s="47"/>
      <c r="AI107" s="47"/>
      <c r="AJ107" s="47"/>
      <c r="AK107" s="47"/>
      <c r="AL107" s="47"/>
      <c r="AM107" s="47"/>
      <c r="AN107" s="47"/>
      <c r="AO107" s="47"/>
    </row>
    <row r="108" spans="1:41" ht="15.75" customHeight="1">
      <c r="A108" s="40" t="s">
        <v>425</v>
      </c>
      <c r="B108" s="197">
        <f>(' Pivot Table for Data Exchange'!$E$151)*100</f>
        <v>95.2242562770964</v>
      </c>
      <c r="C108" s="197">
        <f>(' Pivot Table for Data Exchange'!$E$154)*100</f>
        <v>2.13461728326826</v>
      </c>
      <c r="D108" s="113">
        <f>SUM(E108:G108)</f>
        <v>2.580679418059379</v>
      </c>
      <c r="E108" s="197">
        <f>(' Pivot Table for Data Exchange'!$E$157)*100</f>
        <v>2.2443791345952193</v>
      </c>
      <c r="F108" s="197">
        <f>(' Pivot Table for Data Exchange'!$E$160)*100</f>
        <v>0.11611355236821501</v>
      </c>
      <c r="G108" s="199">
        <f>(' Pivot Table for Data Exchange'!$E$163)*100</f>
        <v>0.2201867310959448</v>
      </c>
      <c r="H108" s="197">
        <f>(' Pivot Table for Data Exchange'!$E$166)*100</f>
        <v>0.060447021575948404</v>
      </c>
      <c r="I108" s="40" t="s">
        <v>425</v>
      </c>
      <c r="J108" s="197">
        <f>(' Pivot Table for Data Exchange'!$E$169)*100</f>
        <v>57.48048190366916</v>
      </c>
      <c r="K108" s="197">
        <f>(' Pivot Table for Data Exchange'!$E$172)*100</f>
        <v>14.893617021276595</v>
      </c>
      <c r="L108" s="113">
        <f>SUM(M108:O108)</f>
        <v>27.30413309720386</v>
      </c>
      <c r="M108" s="197">
        <f>(' Pivot Table for Data Exchange'!$E$175)*100</f>
        <v>26.462360629567733</v>
      </c>
      <c r="N108" s="197">
        <f>(' Pivot Table for Data Exchange'!$E$178)*100</f>
        <v>0.37090618842134143</v>
      </c>
      <c r="O108" s="199">
        <f>(' Pivot Table for Data Exchange'!$E$181)*100</f>
        <v>0.47086627921478635</v>
      </c>
      <c r="P108" s="197">
        <f>(' Pivot Table for Data Exchange'!$E$184)*100</f>
        <v>0.32176797785039035</v>
      </c>
      <c r="Q108" s="39">
        <f t="shared" si="10"/>
        <v>99.99999999999999</v>
      </c>
      <c r="R108" s="39">
        <f t="shared" si="11"/>
        <v>100</v>
      </c>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row>
    <row r="109" spans="1:41" ht="15.75" customHeight="1">
      <c r="A109" s="40" t="s">
        <v>426</v>
      </c>
      <c r="B109" s="197">
        <f>(' Pivot Table for Data Exchange'!$E$187)*100</f>
        <v>86.7739571694691</v>
      </c>
      <c r="C109" s="197">
        <f>(' Pivot Table for Data Exchange'!$E$190)*100</f>
        <v>8.484686775624796</v>
      </c>
      <c r="D109" s="113">
        <f>SUM(E109:G109)</f>
        <v>4.741356054906109</v>
      </c>
      <c r="E109" s="197">
        <f>(' Pivot Table for Data Exchange'!$E$193)*100</f>
        <v>3.024878042559787</v>
      </c>
      <c r="F109" s="197">
        <f>(' Pivot Table for Data Exchange'!$E$196)*100</f>
        <v>1.3137952919964726</v>
      </c>
      <c r="G109" s="199">
        <f>(' Pivot Table for Data Exchange'!$E$199)*100</f>
        <v>0.40268272034984837</v>
      </c>
      <c r="H109" s="197">
        <f>(' Pivot Table for Data Exchange'!$E$202)*100</f>
        <v>0</v>
      </c>
      <c r="I109" s="40" t="s">
        <v>426</v>
      </c>
      <c r="J109" s="197">
        <f>(' Pivot Table for Data Exchange'!$E$205)*100</f>
        <v>59.60479810534499</v>
      </c>
      <c r="K109" s="197">
        <f>(' Pivot Table for Data Exchange'!$E$208)*100</f>
        <v>17.079917199237077</v>
      </c>
      <c r="L109" s="113">
        <f>SUM(M109:O109)</f>
        <v>23.315284695417937</v>
      </c>
      <c r="M109" s="197">
        <f>(' Pivot Table for Data Exchange'!$E$211)*100</f>
        <v>19.471738364052175</v>
      </c>
      <c r="N109" s="197">
        <f>(' Pivot Table for Data Exchange'!$E$214)*100</f>
        <v>3.815524239109801</v>
      </c>
      <c r="O109" s="203">
        <f>(' Pivot Table for Data Exchange'!$E$217)*100</f>
        <v>0.028022092255959218</v>
      </c>
      <c r="P109" s="197">
        <f>(' Pivot Table for Data Exchange'!$E$220)*100</f>
        <v>0</v>
      </c>
      <c r="Q109" s="39">
        <f t="shared" si="10"/>
        <v>100</v>
      </c>
      <c r="R109" s="39">
        <f t="shared" si="11"/>
        <v>100</v>
      </c>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row>
    <row r="110" spans="1:41" ht="15.75" customHeight="1">
      <c r="A110" s="40" t="s">
        <v>427</v>
      </c>
      <c r="B110" s="197">
        <f>(' Pivot Table for Data Exchange'!$E$223)*100</f>
        <v>98.88290726918298</v>
      </c>
      <c r="C110" s="197">
        <f>(' Pivot Table for Data Exchange'!$E$226)*100</f>
        <v>0</v>
      </c>
      <c r="D110" s="113">
        <f>SUM(E110:G110)</f>
        <v>1.1170927308170129</v>
      </c>
      <c r="E110" s="197">
        <f>(' Pivot Table for Data Exchange'!$E$229)*100</f>
        <v>1.1170927308170129</v>
      </c>
      <c r="F110" s="200">
        <f>(' Pivot Table for Data Exchange'!$E$232)*100</f>
        <v>0</v>
      </c>
      <c r="G110" s="203">
        <f>(' Pivot Table for Data Exchange'!$E$235)*100</f>
        <v>0</v>
      </c>
      <c r="H110" s="197">
        <f>(' Pivot Table for Data Exchange'!$E$238)*100</f>
        <v>0</v>
      </c>
      <c r="I110" s="40" t="s">
        <v>427</v>
      </c>
      <c r="J110" s="197">
        <f>(' Pivot Table for Data Exchange'!$E$241)*100</f>
        <v>98.15915627996165</v>
      </c>
      <c r="K110" s="197">
        <f>(' Pivot Table for Data Exchange'!$E$244)*100</f>
        <v>0</v>
      </c>
      <c r="L110" s="113">
        <f>SUM(M110:O110)</f>
        <v>1.840843720038351</v>
      </c>
      <c r="M110" s="197">
        <f>(' Pivot Table for Data Exchange'!$E$247)*100</f>
        <v>1.7401725790987537</v>
      </c>
      <c r="N110" s="197">
        <f>(' Pivot Table for Data Exchange'!$E$250)*100</f>
        <v>0.10067114093959732</v>
      </c>
      <c r="O110" s="199">
        <f>(' Pivot Table for Data Exchange'!$E$253)*100</f>
        <v>0</v>
      </c>
      <c r="P110" s="197">
        <f>(' Pivot Table for Data Exchange'!$E$256)*100</f>
        <v>0</v>
      </c>
      <c r="Q110" s="39">
        <f t="shared" si="10"/>
        <v>99.99999999999999</v>
      </c>
      <c r="R110" s="39">
        <f t="shared" si="11"/>
        <v>100</v>
      </c>
      <c r="S110" s="47"/>
      <c r="T110" s="59"/>
      <c r="U110" s="47"/>
      <c r="V110" s="47"/>
      <c r="W110" s="47"/>
      <c r="X110" s="47"/>
      <c r="Y110" s="47"/>
      <c r="Z110" s="47"/>
      <c r="AA110" s="47"/>
      <c r="AB110" s="47"/>
      <c r="AC110" s="47"/>
      <c r="AD110" s="47"/>
      <c r="AE110" s="47"/>
      <c r="AF110" s="47"/>
      <c r="AG110" s="47"/>
      <c r="AH110" s="47"/>
      <c r="AI110" s="47"/>
      <c r="AJ110" s="47"/>
      <c r="AK110" s="47"/>
      <c r="AL110" s="47"/>
      <c r="AM110" s="47"/>
      <c r="AN110" s="47"/>
      <c r="AO110" s="47"/>
    </row>
    <row r="111" spans="1:41" ht="15.75" customHeight="1">
      <c r="A111" s="40" t="s">
        <v>428</v>
      </c>
      <c r="B111" s="197">
        <f>(' Pivot Table for Data Exchange'!$E$259)*100</f>
        <v>98.95987633644229</v>
      </c>
      <c r="C111" s="197">
        <f>(' Pivot Table for Data Exchange'!$E$262)*100</f>
        <v>0.9999280448801452</v>
      </c>
      <c r="D111" s="113">
        <f>SUM(E111:G111)</f>
        <v>0.040195618677564146</v>
      </c>
      <c r="E111" s="200">
        <f>(' Pivot Table for Data Exchange'!$E$265)*100</f>
        <v>0.020097809338782073</v>
      </c>
      <c r="F111" s="200">
        <f>(' Pivot Table for Data Exchange'!$E$268)*100</f>
        <v>0.020097809338782073</v>
      </c>
      <c r="G111" s="199">
        <f>(' Pivot Table for Data Exchange'!$E$271)*100</f>
        <v>0</v>
      </c>
      <c r="H111" s="197">
        <f>(' Pivot Table for Data Exchange'!$E$274)*100</f>
        <v>0</v>
      </c>
      <c r="I111" s="40" t="s">
        <v>428</v>
      </c>
      <c r="J111" s="197">
        <f>(' Pivot Table for Data Exchange'!$E$277)*100</f>
        <v>68.99974920581843</v>
      </c>
      <c r="K111" s="197">
        <f>(' Pivot Table for Data Exchange'!$E$280)*100</f>
        <v>29.00016719612105</v>
      </c>
      <c r="L111" s="113">
        <f>SUM(M111:O111)</f>
        <v>2.000083598060525</v>
      </c>
      <c r="M111" s="197">
        <f>(' Pivot Table for Data Exchange'!$E$283)*100</f>
        <v>2.000083598060525</v>
      </c>
      <c r="N111" s="197">
        <f>(' Pivot Table for Data Exchange'!$E$286)*100</f>
        <v>0</v>
      </c>
      <c r="O111" s="199">
        <f>(' Pivot Table for Data Exchange'!$E$289)*100</f>
        <v>0</v>
      </c>
      <c r="P111" s="197">
        <f>(' Pivot Table for Data Exchange'!$E$292)*100</f>
        <v>0</v>
      </c>
      <c r="Q111" s="39">
        <f t="shared" si="10"/>
        <v>100</v>
      </c>
      <c r="R111" s="39">
        <f t="shared" si="11"/>
        <v>100.00000000000001</v>
      </c>
      <c r="S111" s="47"/>
      <c r="U111" s="47"/>
      <c r="V111" s="47"/>
      <c r="W111" s="47"/>
      <c r="X111" s="47"/>
      <c r="Y111" s="47"/>
      <c r="Z111" s="47"/>
      <c r="AA111" s="47"/>
      <c r="AB111" s="47"/>
      <c r="AC111" s="47"/>
      <c r="AD111" s="47"/>
      <c r="AE111" s="47"/>
      <c r="AF111" s="47"/>
      <c r="AG111" s="47"/>
      <c r="AH111" s="47"/>
      <c r="AI111" s="47"/>
      <c r="AJ111" s="47"/>
      <c r="AK111" s="47"/>
      <c r="AL111" s="47"/>
      <c r="AM111" s="47"/>
      <c r="AN111" s="47"/>
      <c r="AO111" s="47"/>
    </row>
    <row r="112" spans="1:41" ht="11.25" customHeight="1">
      <c r="A112" s="40"/>
      <c r="B112" s="102"/>
      <c r="C112" s="103"/>
      <c r="D112" s="113"/>
      <c r="E112" s="102"/>
      <c r="F112" s="102"/>
      <c r="G112" s="103"/>
      <c r="H112" s="102"/>
      <c r="I112" s="40"/>
      <c r="J112" s="102"/>
      <c r="K112" s="103"/>
      <c r="L112" s="113"/>
      <c r="M112" s="102"/>
      <c r="N112" s="102"/>
      <c r="O112" s="103"/>
      <c r="P112" s="102"/>
      <c r="Q112" s="39">
        <f t="shared" si="10"/>
        <v>0</v>
      </c>
      <c r="R112" s="39">
        <f t="shared" si="11"/>
        <v>0</v>
      </c>
      <c r="S112" s="47"/>
      <c r="U112" s="47"/>
      <c r="V112" s="47"/>
      <c r="W112" s="47"/>
      <c r="X112" s="47"/>
      <c r="Y112" s="47"/>
      <c r="Z112" s="47"/>
      <c r="AA112" s="47"/>
      <c r="AB112" s="47"/>
      <c r="AC112" s="47"/>
      <c r="AD112" s="47"/>
      <c r="AE112" s="47"/>
      <c r="AF112" s="47"/>
      <c r="AG112" s="47"/>
      <c r="AH112" s="47"/>
      <c r="AI112" s="47"/>
      <c r="AJ112" s="47"/>
      <c r="AK112" s="47"/>
      <c r="AL112" s="47"/>
      <c r="AM112" s="47"/>
      <c r="AN112" s="47"/>
      <c r="AO112" s="47"/>
    </row>
    <row r="113" spans="1:41" ht="15.75" customHeight="1">
      <c r="A113" s="40" t="s">
        <v>122</v>
      </c>
      <c r="B113" s="197">
        <f>(' Pivot Table for Data Exchange'!$E$295)*100</f>
        <v>0</v>
      </c>
      <c r="C113" s="197">
        <f>(' Pivot Table for Data Exchange'!$E$298)*100</f>
        <v>0</v>
      </c>
      <c r="D113" s="113">
        <f>SUM(E113:G113)</f>
        <v>0</v>
      </c>
      <c r="E113" s="197">
        <f>(' Pivot Table for Data Exchange'!$E$301)*100</f>
        <v>0</v>
      </c>
      <c r="F113" s="197">
        <f>(' Pivot Table for Data Exchange'!$E$304)*100</f>
        <v>0</v>
      </c>
      <c r="G113" s="199">
        <f>(' Pivot Table for Data Exchange'!$E$307)*100</f>
        <v>0</v>
      </c>
      <c r="H113" s="197">
        <f>(' Pivot Table for Data Exchange'!$E$310)*100</f>
        <v>0</v>
      </c>
      <c r="I113" s="40" t="s">
        <v>122</v>
      </c>
      <c r="J113" s="197">
        <f>(' Pivot Table for Data Exchange'!$E$313)*100</f>
        <v>0</v>
      </c>
      <c r="K113" s="197">
        <f>(' Pivot Table for Data Exchange'!$E$316)*100</f>
        <v>0</v>
      </c>
      <c r="L113" s="113">
        <f>SUM(M113:O113)</f>
        <v>0</v>
      </c>
      <c r="M113" s="197">
        <f>(' Pivot Table for Data Exchange'!$E$319)*100</f>
        <v>0</v>
      </c>
      <c r="N113" s="197">
        <f>(' Pivot Table for Data Exchange'!$E$322)*100</f>
        <v>0</v>
      </c>
      <c r="O113" s="203">
        <f>(' Pivot Table for Data Exchange'!$E$325)*100</f>
        <v>0</v>
      </c>
      <c r="P113" s="197">
        <f>(' Pivot Table for Data Exchange'!$E$328)*100</f>
        <v>0</v>
      </c>
      <c r="Q113" s="39">
        <f t="shared" si="10"/>
        <v>0</v>
      </c>
      <c r="R113" s="39">
        <f t="shared" si="11"/>
        <v>0</v>
      </c>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row>
    <row r="114" spans="1:41" ht="15.75" customHeight="1">
      <c r="A114" s="40" t="s">
        <v>130</v>
      </c>
      <c r="B114" s="197">
        <f>(' Pivot Table for Data Exchange'!$E$331)*100</f>
        <v>94.82823502010183</v>
      </c>
      <c r="C114" s="197">
        <f>(' Pivot Table for Data Exchange'!$E$334)*100</f>
        <v>1.2752880565805873</v>
      </c>
      <c r="D114" s="113">
        <f>SUM(E114:G114)</f>
        <v>3.8964769233175915</v>
      </c>
      <c r="E114" s="197">
        <f>(' Pivot Table for Data Exchange'!$E$337)*100</f>
        <v>3.026484345261167</v>
      </c>
      <c r="F114" s="200">
        <f>(' Pivot Table for Data Exchange'!$E$340)*100</f>
        <v>0.04923338449317859</v>
      </c>
      <c r="G114" s="199">
        <f>(' Pivot Table for Data Exchange'!$E$343)*100</f>
        <v>0.8207591935632456</v>
      </c>
      <c r="H114" s="197">
        <f>(' Pivot Table for Data Exchange'!$E$346)*100</f>
        <v>0</v>
      </c>
      <c r="I114" s="40" t="s">
        <v>130</v>
      </c>
      <c r="J114" s="197">
        <f>(' Pivot Table for Data Exchange'!$E$349)*100</f>
        <v>71.33347824692564</v>
      </c>
      <c r="K114" s="197">
        <f>(' Pivot Table for Data Exchange'!$E$352)*100</f>
        <v>12.638840881312206</v>
      </c>
      <c r="L114" s="113">
        <f>SUM(M114:O114)</f>
        <v>16.027680871762158</v>
      </c>
      <c r="M114" s="197">
        <f>(' Pivot Table for Data Exchange'!$E$355)*100</f>
        <v>15.361315910443398</v>
      </c>
      <c r="N114" s="197">
        <f>(' Pivot Table for Data Exchange'!$E$358)*100</f>
        <v>0.25443025795807245</v>
      </c>
      <c r="O114" s="199">
        <f>(' Pivot Table for Data Exchange'!$E$361)*100</f>
        <v>0.4119347033606887</v>
      </c>
      <c r="P114" s="197">
        <f>(' Pivot Table for Data Exchange'!$E$364)*100</f>
        <v>0</v>
      </c>
      <c r="Q114" s="39">
        <f t="shared" si="10"/>
        <v>100.00000000000001</v>
      </c>
      <c r="R114" s="39">
        <f t="shared" si="11"/>
        <v>100</v>
      </c>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row>
    <row r="115" spans="1:41" ht="15.75" customHeight="1">
      <c r="A115" s="40" t="s">
        <v>123</v>
      </c>
      <c r="B115" s="197">
        <f>(' Pivot Table for Data Exchange'!$E$367)*100</f>
        <v>97.6002325074475</v>
      </c>
      <c r="C115" s="197">
        <f>(' Pivot Table for Data Exchange'!$E$370)*100</f>
        <v>0.25023614037637143</v>
      </c>
      <c r="D115" s="113">
        <f>SUM(E115:G115)</f>
        <v>2.1495313521761243</v>
      </c>
      <c r="E115" s="197">
        <f>(' Pivot Table for Data Exchange'!$E$373)*100</f>
        <v>1.2395553295066482</v>
      </c>
      <c r="F115" s="200">
        <f>(' Pivot Table for Data Exchange'!$E$376)*100</f>
        <v>0.03749182591004868</v>
      </c>
      <c r="G115" s="199">
        <f>(' Pivot Table for Data Exchange'!$E$379)*100</f>
        <v>0.8724841967594275</v>
      </c>
      <c r="H115" s="197">
        <f>(' Pivot Table for Data Exchange'!$E$382)*100</f>
        <v>0</v>
      </c>
      <c r="I115" s="40" t="s">
        <v>123</v>
      </c>
      <c r="J115" s="197">
        <f>(' Pivot Table for Data Exchange'!$E$385)*100</f>
        <v>95.01730392361256</v>
      </c>
      <c r="K115" s="197">
        <f>(' Pivot Table for Data Exchange'!$E$388)*100</f>
        <v>0.9256556727682108</v>
      </c>
      <c r="L115" s="113">
        <f>SUM(M115:O115)</f>
        <v>4.05704040361923</v>
      </c>
      <c r="M115" s="197">
        <f>(' Pivot Table for Data Exchange'!$E$391)*100</f>
        <v>1.4968936329900346</v>
      </c>
      <c r="N115" s="197">
        <f>(' Pivot Table for Data Exchange'!$E$394)*100</f>
        <v>0.4878455572697327</v>
      </c>
      <c r="O115" s="199">
        <f>(' Pivot Table for Data Exchange'!$E$397)*100</f>
        <v>2.072301213359463</v>
      </c>
      <c r="P115" s="197">
        <f>(' Pivot Table for Data Exchange'!$E$400)*100</f>
        <v>0</v>
      </c>
      <c r="Q115" s="39">
        <f t="shared" si="10"/>
        <v>100</v>
      </c>
      <c r="R115" s="39">
        <f t="shared" si="11"/>
        <v>100</v>
      </c>
      <c r="S115" s="47"/>
      <c r="T115" s="59"/>
      <c r="U115" s="47"/>
      <c r="V115" s="47"/>
      <c r="W115" s="47"/>
      <c r="X115" s="47"/>
      <c r="Y115" s="47"/>
      <c r="Z115" s="47"/>
      <c r="AA115" s="47"/>
      <c r="AB115" s="47"/>
      <c r="AC115" s="47"/>
      <c r="AD115" s="47"/>
      <c r="AE115" s="47"/>
      <c r="AF115" s="47"/>
      <c r="AG115" s="47"/>
      <c r="AH115" s="47"/>
      <c r="AI115" s="47"/>
      <c r="AJ115" s="47"/>
      <c r="AK115" s="47"/>
      <c r="AL115" s="47"/>
      <c r="AM115" s="47"/>
      <c r="AN115" s="47"/>
      <c r="AO115" s="47"/>
    </row>
    <row r="116" spans="1:41" ht="15.75" customHeight="1">
      <c r="A116" s="40" t="s">
        <v>429</v>
      </c>
      <c r="B116" s="197"/>
      <c r="C116" s="197"/>
      <c r="D116" s="113"/>
      <c r="E116" s="197"/>
      <c r="F116" s="200"/>
      <c r="G116" s="199"/>
      <c r="H116" s="197"/>
      <c r="I116" s="40" t="s">
        <v>429</v>
      </c>
      <c r="J116" s="197"/>
      <c r="K116" s="197"/>
      <c r="L116" s="113"/>
      <c r="M116" s="197"/>
      <c r="N116" s="197"/>
      <c r="O116" s="199"/>
      <c r="P116" s="197"/>
      <c r="Q116" s="39">
        <f aca="true" t="shared" si="12" ref="Q116:Q121">SUM(B116,C116,D116,H116)</f>
        <v>0</v>
      </c>
      <c r="R116" s="39">
        <f aca="true" t="shared" si="13" ref="R116:R121">SUM(J116,K116,L116,P116)</f>
        <v>0</v>
      </c>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row>
    <row r="117" spans="1:41" ht="11.25" customHeight="1">
      <c r="A117" s="40"/>
      <c r="B117" s="197"/>
      <c r="C117" s="197"/>
      <c r="D117" s="113"/>
      <c r="E117" s="197"/>
      <c r="F117" s="200"/>
      <c r="G117" s="199"/>
      <c r="H117" s="197"/>
      <c r="I117" s="40"/>
      <c r="J117" s="197"/>
      <c r="K117" s="197"/>
      <c r="L117" s="113"/>
      <c r="M117" s="197"/>
      <c r="N117" s="197"/>
      <c r="O117" s="199"/>
      <c r="P117" s="197"/>
      <c r="Q117" s="39"/>
      <c r="R117" s="39"/>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row>
    <row r="118" spans="1:41" ht="15.75" customHeight="1">
      <c r="A118" s="40" t="s">
        <v>430</v>
      </c>
      <c r="B118" s="197"/>
      <c r="C118" s="197"/>
      <c r="D118" s="113"/>
      <c r="E118" s="197"/>
      <c r="F118" s="200"/>
      <c r="G118" s="199"/>
      <c r="H118" s="197"/>
      <c r="I118" s="40" t="s">
        <v>430</v>
      </c>
      <c r="J118" s="197"/>
      <c r="K118" s="197"/>
      <c r="L118" s="113"/>
      <c r="M118" s="197"/>
      <c r="N118" s="197"/>
      <c r="O118" s="199"/>
      <c r="P118" s="197"/>
      <c r="Q118" s="39">
        <f t="shared" si="12"/>
        <v>0</v>
      </c>
      <c r="R118" s="39">
        <f t="shared" si="13"/>
        <v>0</v>
      </c>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row>
    <row r="119" spans="1:41" ht="15.75" customHeight="1">
      <c r="A119" s="40" t="s">
        <v>229</v>
      </c>
      <c r="B119" s="197">
        <f>(' Pivot Table for Data Exchange'!$E$403)*100</f>
        <v>94.61506937357163</v>
      </c>
      <c r="C119" s="197">
        <f>(' Pivot Table for Data Exchange'!$E$406)*100</f>
        <v>2.477414639701125</v>
      </c>
      <c r="D119" s="113">
        <f>SUM(E119:G119)</f>
        <v>2.907515986727247</v>
      </c>
      <c r="E119" s="197">
        <f>(' Pivot Table for Data Exchange'!$E$409)*100</f>
        <v>2.3207802041866255</v>
      </c>
      <c r="F119" s="200">
        <f>(' Pivot Table for Data Exchange'!$E$412)*100</f>
        <v>0.4377357746059638</v>
      </c>
      <c r="G119" s="199">
        <f>(' Pivot Table for Data Exchange'!$E$415)*100</f>
        <v>0.14900000793465787</v>
      </c>
      <c r="H119" s="197">
        <f>(' Pivot Table for Data Exchange'!$E$418)*100</f>
        <v>0</v>
      </c>
      <c r="I119" s="40" t="s">
        <v>229</v>
      </c>
      <c r="J119" s="197">
        <f>(' Pivot Table for Data Exchange'!$E$421)*100</f>
        <v>75.15325108598938</v>
      </c>
      <c r="K119" s="197">
        <f>(' Pivot Table for Data Exchange'!$E$424)*100</f>
        <v>14.339156410327835</v>
      </c>
      <c r="L119" s="113">
        <f>SUM(M119:O119)</f>
        <v>10.507592503682778</v>
      </c>
      <c r="M119" s="197">
        <f>(' Pivot Table for Data Exchange'!$E$427)*100</f>
        <v>8.60303503514001</v>
      </c>
      <c r="N119" s="197">
        <f>(' Pivot Table for Data Exchange'!$E$430)*100</f>
        <v>1.500476016471317</v>
      </c>
      <c r="O119" s="199">
        <f>(' Pivot Table for Data Exchange'!$E$433)*100</f>
        <v>0.40408145207144996</v>
      </c>
      <c r="P119" s="197">
        <f>(' Pivot Table for Data Exchange'!$E$436)*100</f>
        <v>0</v>
      </c>
      <c r="Q119" s="39">
        <f t="shared" si="12"/>
        <v>100</v>
      </c>
      <c r="R119" s="39">
        <f t="shared" si="13"/>
        <v>99.99999999999999</v>
      </c>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row>
    <row r="120" spans="1:41" ht="15.75" customHeight="1">
      <c r="A120" s="40" t="s">
        <v>431</v>
      </c>
      <c r="B120" s="197">
        <f>(' Pivot Table for Data Exchange'!$E$511)*100</f>
        <v>0</v>
      </c>
      <c r="C120" s="197">
        <f>(' Pivot Table for Data Exchange'!$E$514)*100</f>
        <v>0</v>
      </c>
      <c r="D120" s="113">
        <f>SUM(E120:G120)</f>
        <v>0</v>
      </c>
      <c r="E120" s="197">
        <f>(' Pivot Table for Data Exchange'!$E$517)*100</f>
        <v>0</v>
      </c>
      <c r="F120" s="200">
        <f>(' Pivot Table for Data Exchange'!$E$520)*100</f>
        <v>0</v>
      </c>
      <c r="G120" s="199">
        <f>(' Pivot Table for Data Exchange'!$E$523)*100</f>
        <v>0</v>
      </c>
      <c r="H120" s="197">
        <f>(' Pivot Table for Data Exchange'!$E$526)*100</f>
        <v>0</v>
      </c>
      <c r="I120" s="40" t="s">
        <v>431</v>
      </c>
      <c r="J120" s="197">
        <f>(' Pivot Table for Data Exchange'!$E$529)*100</f>
        <v>0</v>
      </c>
      <c r="K120" s="197">
        <f>(' Pivot Table for Data Exchange'!$E$532)*100</f>
        <v>0</v>
      </c>
      <c r="L120" s="113">
        <f>SUM(M120:O120)</f>
        <v>0</v>
      </c>
      <c r="M120" s="197">
        <f>(' Pivot Table for Data Exchange'!$E$535)*100</f>
        <v>0</v>
      </c>
      <c r="N120" s="197">
        <f>(' Pivot Table for Data Exchange'!$E$538)*100</f>
        <v>0</v>
      </c>
      <c r="O120" s="199">
        <f>(' Pivot Table for Data Exchange'!$E$541)*100</f>
        <v>0</v>
      </c>
      <c r="P120" s="197">
        <f>(' Pivot Table for Data Exchange'!$E$544)*100</f>
        <v>0</v>
      </c>
      <c r="Q120" s="39">
        <f t="shared" si="12"/>
        <v>0</v>
      </c>
      <c r="R120" s="39">
        <f t="shared" si="13"/>
        <v>0</v>
      </c>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row>
    <row r="121" spans="1:41" ht="15.75" customHeight="1">
      <c r="A121" s="34" t="s">
        <v>124</v>
      </c>
      <c r="B121" s="201">
        <f>(' Pivot Table for Data Exchange'!$E$439)*100</f>
        <v>88.5984477093609</v>
      </c>
      <c r="C121" s="201">
        <f>(' Pivot Table for Data Exchange'!$E$442)*100</f>
        <v>4.321939390310533</v>
      </c>
      <c r="D121" s="114">
        <f>SUM(E121:G121)</f>
        <v>7.079612900328571</v>
      </c>
      <c r="E121" s="201">
        <f>(' Pivot Table for Data Exchange'!$E$445)*100</f>
        <v>6.842727660561788</v>
      </c>
      <c r="F121" s="201">
        <f>(' Pivot Table for Data Exchange'!$E$448)*100</f>
        <v>0.22341309342933485</v>
      </c>
      <c r="G121" s="207">
        <f>(' Pivot Table for Data Exchange'!$E$451)*100</f>
        <v>0.013472146337447328</v>
      </c>
      <c r="H121" s="201">
        <f>(' Pivot Table for Data Exchange'!$E$454)*100</f>
        <v>0</v>
      </c>
      <c r="I121" s="34" t="s">
        <v>124</v>
      </c>
      <c r="J121" s="201">
        <f>(' Pivot Table for Data Exchange'!$E$457)*100</f>
        <v>30.755421774135055</v>
      </c>
      <c r="K121" s="201">
        <f>(' Pivot Table for Data Exchange'!$E$460)*100</f>
        <v>49.68811198955538</v>
      </c>
      <c r="L121" s="114">
        <f>SUM(M121:O121)</f>
        <v>19.556466236309564</v>
      </c>
      <c r="M121" s="201">
        <f>(' Pivot Table for Data Exchange'!$E$463)*100</f>
        <v>17.29346485819975</v>
      </c>
      <c r="N121" s="201">
        <f>(' Pivot Table for Data Exchange'!$E$466)*100</f>
        <v>2.252121563791978</v>
      </c>
      <c r="O121" s="207">
        <f>(' Pivot Table for Data Exchange'!$E$469)*100</f>
        <v>0.010879814317835641</v>
      </c>
      <c r="P121" s="201">
        <f>(' Pivot Table for Data Exchange'!$E$472)*100</f>
        <v>0</v>
      </c>
      <c r="Q121" s="39">
        <f t="shared" si="12"/>
        <v>100</v>
      </c>
      <c r="R121" s="39">
        <f t="shared" si="13"/>
        <v>100</v>
      </c>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row>
    <row r="122" spans="1:41" s="64" customFormat="1" ht="18" customHeight="1">
      <c r="A122" s="115" t="s">
        <v>477</v>
      </c>
      <c r="B122" s="68"/>
      <c r="C122" s="68"/>
      <c r="D122" s="69"/>
      <c r="E122" s="68"/>
      <c r="F122" s="69"/>
      <c r="G122" s="69"/>
      <c r="H122" s="68"/>
      <c r="I122" s="115" t="s">
        <v>477</v>
      </c>
      <c r="J122" s="68"/>
      <c r="K122" s="68"/>
      <c r="L122" s="69"/>
      <c r="M122" s="68"/>
      <c r="N122" s="69"/>
      <c r="O122" s="69"/>
      <c r="P122" s="68"/>
      <c r="Q122" s="68"/>
      <c r="R122" s="68"/>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row>
    <row r="123" spans="1:41" s="64" customFormat="1" ht="28.5" customHeight="1">
      <c r="A123" s="677" t="s">
        <v>746</v>
      </c>
      <c r="B123" s="689"/>
      <c r="C123" s="689"/>
      <c r="D123" s="689"/>
      <c r="E123" s="689"/>
      <c r="F123" s="689"/>
      <c r="G123" s="689"/>
      <c r="H123" s="689"/>
      <c r="I123" s="677" t="s">
        <v>746</v>
      </c>
      <c r="J123" s="689"/>
      <c r="K123" s="689"/>
      <c r="L123" s="689"/>
      <c r="M123" s="689"/>
      <c r="N123" s="689"/>
      <c r="O123" s="689"/>
      <c r="P123" s="689"/>
      <c r="Q123" s="68"/>
      <c r="R123" s="68"/>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row>
    <row r="124" spans="1:18" s="64" customFormat="1" ht="13.5" customHeight="1">
      <c r="A124" s="116"/>
      <c r="B124" s="63"/>
      <c r="H124" s="62"/>
      <c r="I124" s="116"/>
      <c r="P124" s="65"/>
      <c r="Q124" s="66"/>
      <c r="R124" s="67"/>
    </row>
    <row r="125" spans="8:18" s="64" customFormat="1" ht="13.5" customHeight="1">
      <c r="H125" s="559" t="s">
        <v>766</v>
      </c>
      <c r="I125" s="116"/>
      <c r="P125" s="559" t="s">
        <v>766</v>
      </c>
      <c r="Q125" s="66"/>
      <c r="R125" s="67"/>
    </row>
    <row r="126" spans="1:18" ht="18">
      <c r="A126" s="31" t="s">
        <v>445</v>
      </c>
      <c r="B126" s="32"/>
      <c r="C126" s="32"/>
      <c r="D126" s="32"/>
      <c r="E126" s="32"/>
      <c r="F126" s="32"/>
      <c r="G126" s="32"/>
      <c r="H126" s="46"/>
      <c r="I126" s="31" t="s">
        <v>460</v>
      </c>
      <c r="J126" s="33"/>
      <c r="K126" s="33"/>
      <c r="L126" s="32"/>
      <c r="M126" s="33"/>
      <c r="N126" s="33"/>
      <c r="O126" s="33"/>
      <c r="P126" s="33"/>
      <c r="Q126" s="55"/>
      <c r="R126" s="56"/>
    </row>
    <row r="127" spans="1:18" ht="12.75">
      <c r="A127" s="78"/>
      <c r="B127" s="33"/>
      <c r="C127" s="33"/>
      <c r="D127" s="33"/>
      <c r="E127" s="33"/>
      <c r="F127" s="33"/>
      <c r="G127" s="33"/>
      <c r="H127" s="43"/>
      <c r="I127" s="78"/>
      <c r="J127" s="33"/>
      <c r="K127" s="33"/>
      <c r="L127" s="33"/>
      <c r="M127" s="33"/>
      <c r="N127" s="33"/>
      <c r="O127" s="33"/>
      <c r="P127" s="33"/>
      <c r="R127" s="58"/>
    </row>
    <row r="128" spans="1:18" ht="15.75">
      <c r="A128" s="42" t="s">
        <v>465</v>
      </c>
      <c r="B128" s="33"/>
      <c r="C128" s="33"/>
      <c r="D128" s="33"/>
      <c r="E128" s="33"/>
      <c r="F128" s="33"/>
      <c r="G128" s="33"/>
      <c r="H128" s="43"/>
      <c r="I128" s="42" t="s">
        <v>466</v>
      </c>
      <c r="J128" s="33"/>
      <c r="K128" s="33"/>
      <c r="L128" s="33"/>
      <c r="M128" s="33"/>
      <c r="N128" s="33"/>
      <c r="O128" s="33"/>
      <c r="P128" s="33"/>
      <c r="R128" s="58" t="s">
        <v>14</v>
      </c>
    </row>
    <row r="129" spans="1:18" ht="15.75">
      <c r="A129" s="42" t="s">
        <v>734</v>
      </c>
      <c r="B129" s="33"/>
      <c r="C129" s="33"/>
      <c r="D129" s="33"/>
      <c r="E129" s="33"/>
      <c r="F129" s="33"/>
      <c r="G129" s="33"/>
      <c r="H129" s="43"/>
      <c r="I129" s="42" t="s">
        <v>734</v>
      </c>
      <c r="J129" s="33"/>
      <c r="K129" s="33"/>
      <c r="L129" s="33"/>
      <c r="M129" s="33"/>
      <c r="N129" s="33"/>
      <c r="O129" s="33"/>
      <c r="P129" s="33"/>
      <c r="R129" s="58" t="s">
        <v>14</v>
      </c>
    </row>
    <row r="130" spans="1:16" ht="12.75">
      <c r="A130" s="34"/>
      <c r="B130" s="35"/>
      <c r="C130" s="35"/>
      <c r="D130" s="35"/>
      <c r="E130" s="35"/>
      <c r="F130" s="35"/>
      <c r="G130" s="35"/>
      <c r="H130" s="35"/>
      <c r="I130" s="36"/>
      <c r="L130" s="37"/>
      <c r="P130" s="34"/>
    </row>
    <row r="131" spans="1:18" s="90" customFormat="1" ht="12">
      <c r="A131" s="85"/>
      <c r="B131" s="86" t="s">
        <v>231</v>
      </c>
      <c r="C131" s="86"/>
      <c r="D131" s="86"/>
      <c r="E131" s="86"/>
      <c r="F131" s="86"/>
      <c r="G131" s="86"/>
      <c r="H131" s="87"/>
      <c r="I131" s="85"/>
      <c r="J131" s="86" t="s">
        <v>231</v>
      </c>
      <c r="K131" s="86"/>
      <c r="L131" s="86"/>
      <c r="M131" s="86"/>
      <c r="N131" s="86"/>
      <c r="O131" s="86"/>
      <c r="P131" s="87"/>
      <c r="Q131" s="88"/>
      <c r="R131" s="89"/>
    </row>
    <row r="132" spans="1:18" s="90" customFormat="1" ht="12">
      <c r="A132" s="85"/>
      <c r="B132" s="86" t="s">
        <v>127</v>
      </c>
      <c r="C132" s="86"/>
      <c r="D132" s="690" t="s">
        <v>472</v>
      </c>
      <c r="E132" s="691"/>
      <c r="F132" s="691"/>
      <c r="G132" s="691"/>
      <c r="H132" s="91" t="s">
        <v>14</v>
      </c>
      <c r="I132" s="85"/>
      <c r="J132" s="86" t="s">
        <v>127</v>
      </c>
      <c r="K132" s="86"/>
      <c r="L132" s="690" t="s">
        <v>472</v>
      </c>
      <c r="M132" s="691"/>
      <c r="N132" s="691"/>
      <c r="O132" s="691"/>
      <c r="P132" s="91" t="s">
        <v>14</v>
      </c>
      <c r="Q132" s="88"/>
      <c r="R132" s="89"/>
    </row>
    <row r="133" spans="1:20" s="90" customFormat="1" ht="40.5" customHeight="1">
      <c r="A133" s="85"/>
      <c r="B133" s="92" t="s">
        <v>464</v>
      </c>
      <c r="C133" s="93" t="s">
        <v>463</v>
      </c>
      <c r="D133" s="94" t="s">
        <v>470</v>
      </c>
      <c r="E133" s="95" t="s">
        <v>12</v>
      </c>
      <c r="F133" s="92" t="s">
        <v>128</v>
      </c>
      <c r="G133" s="96" t="s">
        <v>474</v>
      </c>
      <c r="H133" s="97" t="s">
        <v>473</v>
      </c>
      <c r="I133" s="85"/>
      <c r="J133" s="92" t="s">
        <v>464</v>
      </c>
      <c r="K133" s="93" t="s">
        <v>463</v>
      </c>
      <c r="L133" s="94" t="s">
        <v>470</v>
      </c>
      <c r="M133" s="95" t="s">
        <v>12</v>
      </c>
      <c r="N133" s="92" t="s">
        <v>128</v>
      </c>
      <c r="O133" s="96" t="s">
        <v>474</v>
      </c>
      <c r="P133" s="97" t="s">
        <v>473</v>
      </c>
      <c r="Q133" s="98"/>
      <c r="R133" s="99"/>
      <c r="T133" s="100"/>
    </row>
    <row r="134" spans="1:41" ht="15.75" customHeight="1">
      <c r="A134" s="41" t="s">
        <v>421</v>
      </c>
      <c r="B134" s="197">
        <f>(' Pivot Table for Data Exchange'!$F$7)*100</f>
        <v>85.86464567065379</v>
      </c>
      <c r="C134" s="197">
        <f>(' Pivot Table for Data Exchange'!$F$10)*100</f>
        <v>1.9601881582882836</v>
      </c>
      <c r="D134" s="113">
        <f>SUM(E134:G134)</f>
        <v>11.354012947623673</v>
      </c>
      <c r="E134" s="197">
        <f>(' Pivot Table for Data Exchange'!$F$13)*100</f>
        <v>8.980529127209538</v>
      </c>
      <c r="F134" s="197">
        <f>(' Pivot Table for Data Exchange'!$F$16)*100</f>
        <v>2.373483820414136</v>
      </c>
      <c r="G134" s="198">
        <f>(' Pivot Table for Data Exchange'!$F$19)*100</f>
        <v>0</v>
      </c>
      <c r="H134" s="197">
        <f>(' Pivot Table for Data Exchange'!$F$22)*100</f>
        <v>0.8211532234342597</v>
      </c>
      <c r="I134" s="41" t="s">
        <v>421</v>
      </c>
      <c r="J134" s="197">
        <f>(' Pivot Table for Data Exchange'!$F$25)*100</f>
        <v>54.652701078975156</v>
      </c>
      <c r="K134" s="197">
        <f>(' Pivot Table for Data Exchange'!$F$28)*100</f>
        <v>4.831721141359096</v>
      </c>
      <c r="L134" s="113">
        <f>SUM(M134:O134)</f>
        <v>40.51557777966575</v>
      </c>
      <c r="M134" s="197">
        <f>(' Pivot Table for Data Exchange'!$F$31)*100</f>
        <v>33.86695471702693</v>
      </c>
      <c r="N134" s="197">
        <f>(' Pivot Table for Data Exchange'!$F$34)*100</f>
        <v>6.648623062638817</v>
      </c>
      <c r="O134" s="198">
        <f>(' Pivot Table for Data Exchange'!$F$37)*100</f>
        <v>0</v>
      </c>
      <c r="P134" s="197">
        <f>(' Pivot Table for Data Exchange'!$F$40)*100</f>
        <v>0</v>
      </c>
      <c r="Q134" s="39">
        <f>SUM(B134,C134,D134,H134)</f>
        <v>100.00000000000001</v>
      </c>
      <c r="R134" s="39">
        <f aca="true" t="shared" si="14" ref="R134:R146">SUM(J134,K134,L134,P134)</f>
        <v>100</v>
      </c>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row>
    <row r="135" spans="1:41" ht="15.75" customHeight="1">
      <c r="A135" s="40" t="s">
        <v>422</v>
      </c>
      <c r="B135" s="197">
        <f>(' Pivot Table for Data Exchange'!$F$43)*100</f>
        <v>0</v>
      </c>
      <c r="C135" s="197">
        <f>(' Pivot Table for Data Exchange'!$F$46)*100</f>
        <v>0</v>
      </c>
      <c r="D135" s="113">
        <f>SUM(E135:G135)</f>
        <v>0</v>
      </c>
      <c r="E135" s="197">
        <f>(' Pivot Table for Data Exchange'!$F$49)*100</f>
        <v>0</v>
      </c>
      <c r="F135" s="197">
        <f>(' Pivot Table for Data Exchange'!$F$52)*100</f>
        <v>0</v>
      </c>
      <c r="G135" s="199">
        <f>(' Pivot Table for Data Exchange'!$F$55)*100</f>
        <v>0</v>
      </c>
      <c r="H135" s="197">
        <f>(' Pivot Table for Data Exchange'!$F$58)*100</f>
        <v>0</v>
      </c>
      <c r="I135" s="40" t="s">
        <v>422</v>
      </c>
      <c r="J135" s="197">
        <f>(' Pivot Table for Data Exchange'!$F$61)*100</f>
        <v>0</v>
      </c>
      <c r="K135" s="197">
        <f>(' Pivot Table for Data Exchange'!$F$64)*100</f>
        <v>0</v>
      </c>
      <c r="L135" s="113">
        <f>SUM(M135:O135)</f>
        <v>0</v>
      </c>
      <c r="M135" s="197">
        <f>(' Pivot Table for Data Exchange'!$F$67)*100</f>
        <v>0</v>
      </c>
      <c r="N135" s="197">
        <f>(' Pivot Table for Data Exchange'!$F$70)*100</f>
        <v>0</v>
      </c>
      <c r="O135" s="199">
        <f>(' Pivot Table for Data Exchange'!$F$73)*100</f>
        <v>0</v>
      </c>
      <c r="P135" s="197">
        <f>(' Pivot Table for Data Exchange'!$F$76)*100</f>
        <v>0</v>
      </c>
      <c r="Q135" s="39">
        <f>SUM(B135,C135,D135,H135)</f>
        <v>0</v>
      </c>
      <c r="R135" s="39">
        <f t="shared" si="14"/>
        <v>0</v>
      </c>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row>
    <row r="136" spans="1:41" ht="15.75" customHeight="1">
      <c r="A136" s="40" t="s">
        <v>423</v>
      </c>
      <c r="B136" s="197">
        <f>(' Pivot Table for Data Exchange'!$F$79)*100</f>
        <v>0</v>
      </c>
      <c r="C136" s="197">
        <f>(' Pivot Table for Data Exchange'!$F$82)*100</f>
        <v>0</v>
      </c>
      <c r="D136" s="113">
        <f>SUM(E136:G136)</f>
        <v>0</v>
      </c>
      <c r="E136" s="197">
        <f>(' Pivot Table for Data Exchange'!$F$85)*100</f>
        <v>0</v>
      </c>
      <c r="F136" s="197">
        <f>(' Pivot Table for Data Exchange'!$F$88)*100</f>
        <v>0</v>
      </c>
      <c r="G136" s="199">
        <f>(' Pivot Table for Data Exchange'!$F$91)*100</f>
        <v>0</v>
      </c>
      <c r="H136" s="197">
        <f>(' Pivot Table for Data Exchange'!$F$94)*100</f>
        <v>0</v>
      </c>
      <c r="I136" s="40" t="s">
        <v>423</v>
      </c>
      <c r="J136" s="197">
        <f>(' Pivot Table for Data Exchange'!$F$97)*100</f>
        <v>0</v>
      </c>
      <c r="K136" s="197">
        <f>(' Pivot Table for Data Exchange'!$F$100)*100</f>
        <v>0</v>
      </c>
      <c r="L136" s="113">
        <f>SUM(M136:O136)</f>
        <v>0</v>
      </c>
      <c r="M136" s="197">
        <f>(' Pivot Table for Data Exchange'!$F$103)*100</f>
        <v>0</v>
      </c>
      <c r="N136" s="197">
        <f>(' Pivot Table for Data Exchange'!$F$106)*100</f>
        <v>0</v>
      </c>
      <c r="O136" s="199">
        <f>(' Pivot Table for Data Exchange'!$F$109)*100</f>
        <v>0</v>
      </c>
      <c r="P136" s="197">
        <f>(' Pivot Table for Data Exchange'!$F$112)*100</f>
        <v>0</v>
      </c>
      <c r="Q136" s="39">
        <f aca="true" t="shared" si="15" ref="Q136:Q146">SUM(B136,C136,D136,H136)</f>
        <v>0</v>
      </c>
      <c r="R136" s="39">
        <f t="shared" si="14"/>
        <v>0</v>
      </c>
      <c r="S136" s="47"/>
      <c r="T136" s="59"/>
      <c r="U136" s="47"/>
      <c r="V136" s="47"/>
      <c r="W136" s="47"/>
      <c r="X136" s="47"/>
      <c r="Y136" s="47"/>
      <c r="Z136" s="47"/>
      <c r="AA136" s="47"/>
      <c r="AB136" s="47"/>
      <c r="AC136" s="47"/>
      <c r="AD136" s="47"/>
      <c r="AE136" s="47"/>
      <c r="AF136" s="47"/>
      <c r="AG136" s="47"/>
      <c r="AH136" s="47"/>
      <c r="AI136" s="47"/>
      <c r="AJ136" s="47"/>
      <c r="AK136" s="47"/>
      <c r="AL136" s="47"/>
      <c r="AM136" s="47"/>
      <c r="AN136" s="47"/>
      <c r="AO136" s="47"/>
    </row>
    <row r="137" spans="1:41" ht="15.75" customHeight="1">
      <c r="A137" s="40" t="s">
        <v>424</v>
      </c>
      <c r="B137" s="197">
        <f>(' Pivot Table for Data Exchange'!$F$115)*100</f>
        <v>0</v>
      </c>
      <c r="C137" s="197">
        <f>(' Pivot Table for Data Exchange'!$F$118)*100</f>
        <v>0</v>
      </c>
      <c r="D137" s="113">
        <f>SUM(E137:G137)</f>
        <v>0</v>
      </c>
      <c r="E137" s="197">
        <f>(' Pivot Table for Data Exchange'!$F$121)*100</f>
        <v>0</v>
      </c>
      <c r="F137" s="197">
        <f>(' Pivot Table for Data Exchange'!$F$124)*100</f>
        <v>0</v>
      </c>
      <c r="G137" s="199">
        <f>(' Pivot Table for Data Exchange'!$F$127)*100</f>
        <v>0</v>
      </c>
      <c r="H137" s="197">
        <f>(' Pivot Table for Data Exchange'!$F$130)*100</f>
        <v>0</v>
      </c>
      <c r="I137" s="40" t="s">
        <v>424</v>
      </c>
      <c r="J137" s="197">
        <f>(' Pivot Table for Data Exchange'!$F$133)*100</f>
        <v>0</v>
      </c>
      <c r="K137" s="197">
        <f>(' Pivot Table for Data Exchange'!$F$136)*100</f>
        <v>0</v>
      </c>
      <c r="L137" s="113">
        <f>SUM(M137:O137)</f>
        <v>0</v>
      </c>
      <c r="M137" s="197">
        <f>(' Pivot Table for Data Exchange'!$F$139)*100</f>
        <v>0</v>
      </c>
      <c r="N137" s="197">
        <f>(' Pivot Table for Data Exchange'!$F$142)*100</f>
        <v>0</v>
      </c>
      <c r="O137" s="199">
        <f>(' Pivot Table for Data Exchange'!$F$145)*100</f>
        <v>0</v>
      </c>
      <c r="P137" s="197">
        <f>(' Pivot Table for Data Exchange'!$F$148)*100</f>
        <v>0</v>
      </c>
      <c r="Q137" s="39">
        <f t="shared" si="15"/>
        <v>0</v>
      </c>
      <c r="R137" s="39">
        <f t="shared" si="14"/>
        <v>0</v>
      </c>
      <c r="S137" s="47"/>
      <c r="U137" s="47"/>
      <c r="V137" s="47"/>
      <c r="W137" s="47"/>
      <c r="X137" s="47"/>
      <c r="Y137" s="47"/>
      <c r="Z137" s="47"/>
      <c r="AA137" s="47"/>
      <c r="AB137" s="47"/>
      <c r="AC137" s="47"/>
      <c r="AD137" s="47"/>
      <c r="AE137" s="47"/>
      <c r="AF137" s="47"/>
      <c r="AG137" s="47"/>
      <c r="AH137" s="47"/>
      <c r="AI137" s="47"/>
      <c r="AJ137" s="47"/>
      <c r="AK137" s="47"/>
      <c r="AL137" s="47"/>
      <c r="AM137" s="47"/>
      <c r="AN137" s="47"/>
      <c r="AO137" s="47"/>
    </row>
    <row r="138" spans="1:41" ht="15.75" customHeight="1">
      <c r="A138" s="40"/>
      <c r="B138" s="102"/>
      <c r="C138" s="103"/>
      <c r="D138" s="113"/>
      <c r="E138" s="102"/>
      <c r="F138" s="102"/>
      <c r="G138" s="103"/>
      <c r="H138" s="102"/>
      <c r="I138" s="40"/>
      <c r="J138" s="102"/>
      <c r="K138" s="103"/>
      <c r="L138" s="113"/>
      <c r="M138" s="102"/>
      <c r="N138" s="102"/>
      <c r="O138" s="103"/>
      <c r="P138" s="102"/>
      <c r="Q138" s="39">
        <f t="shared" si="15"/>
        <v>0</v>
      </c>
      <c r="R138" s="39">
        <f t="shared" si="14"/>
        <v>0</v>
      </c>
      <c r="S138" s="47"/>
      <c r="U138" s="47"/>
      <c r="V138" s="47"/>
      <c r="W138" s="47"/>
      <c r="X138" s="47"/>
      <c r="Y138" s="47"/>
      <c r="Z138" s="47"/>
      <c r="AA138" s="47"/>
      <c r="AB138" s="47"/>
      <c r="AC138" s="47"/>
      <c r="AD138" s="47"/>
      <c r="AE138" s="47"/>
      <c r="AF138" s="47"/>
      <c r="AG138" s="47"/>
      <c r="AH138" s="47"/>
      <c r="AI138" s="47"/>
      <c r="AJ138" s="47"/>
      <c r="AK138" s="47"/>
      <c r="AL138" s="47"/>
      <c r="AM138" s="47"/>
      <c r="AN138" s="47"/>
      <c r="AO138" s="47"/>
    </row>
    <row r="139" spans="1:41" ht="15.75" customHeight="1">
      <c r="A139" s="40" t="s">
        <v>425</v>
      </c>
      <c r="B139" s="197">
        <f>(' Pivot Table for Data Exchange'!$F$151)*100</f>
        <v>95.92160682416917</v>
      </c>
      <c r="C139" s="197">
        <f>(' Pivot Table for Data Exchange'!$F$154)*100</f>
        <v>1.6951850918086062</v>
      </c>
      <c r="D139" s="113">
        <f>SUM(E139:G139)</f>
        <v>2.3832080840222174</v>
      </c>
      <c r="E139" s="197">
        <f>(' Pivot Table for Data Exchange'!$F$157)*100</f>
        <v>2.357787615377348</v>
      </c>
      <c r="F139" s="200">
        <f>(' Pivot Table for Data Exchange'!$F$160)*100</f>
        <v>0.02542046864486979</v>
      </c>
      <c r="G139" s="199">
        <f>(' Pivot Table for Data Exchange'!$F$163)*100</f>
        <v>0</v>
      </c>
      <c r="H139" s="197">
        <f>(' Pivot Table for Data Exchange'!$F$166)*100</f>
        <v>0</v>
      </c>
      <c r="I139" s="40" t="s">
        <v>425</v>
      </c>
      <c r="J139" s="197">
        <f>(' Pivot Table for Data Exchange'!$F$169)*100</f>
        <v>75.37672481737228</v>
      </c>
      <c r="K139" s="197">
        <f>(' Pivot Table for Data Exchange'!$F$172)*100</f>
        <v>15.520709571927679</v>
      </c>
      <c r="L139" s="113">
        <f>SUM(M139:O139)</f>
        <v>9.102565610700042</v>
      </c>
      <c r="M139" s="197">
        <f>(' Pivot Table for Data Exchange'!$F$175)*100</f>
        <v>8.690844498817771</v>
      </c>
      <c r="N139" s="197">
        <f>(' Pivot Table for Data Exchange'!$F$178)*100</f>
        <v>0.4117211118822713</v>
      </c>
      <c r="O139" s="199">
        <f>(' Pivot Table for Data Exchange'!$F$181)*100</f>
        <v>0</v>
      </c>
      <c r="P139" s="197">
        <f>(' Pivot Table for Data Exchange'!$F$184)*100</f>
        <v>0</v>
      </c>
      <c r="Q139" s="39">
        <f t="shared" si="15"/>
        <v>100</v>
      </c>
      <c r="R139" s="39">
        <f t="shared" si="14"/>
        <v>100</v>
      </c>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row>
    <row r="140" spans="1:41" ht="15.75" customHeight="1">
      <c r="A140" s="40" t="s">
        <v>426</v>
      </c>
      <c r="B140" s="197">
        <f>(' Pivot Table for Data Exchange'!$F$187)*100</f>
        <v>91.43545723088651</v>
      </c>
      <c r="C140" s="197">
        <f>(' Pivot Table for Data Exchange'!$F$190)*100</f>
        <v>4.828597973509513</v>
      </c>
      <c r="D140" s="113">
        <f>SUM(E140:G140)</f>
        <v>3.7359447956039764</v>
      </c>
      <c r="E140" s="197">
        <f>(' Pivot Table for Data Exchange'!$F$193)*100</f>
        <v>2.5251723152177363</v>
      </c>
      <c r="F140" s="197">
        <f>(' Pivot Table for Data Exchange'!$F$196)*100</f>
        <v>0.8343788711368041</v>
      </c>
      <c r="G140" s="199">
        <f>(' Pivot Table for Data Exchange'!$F$199)*100</f>
        <v>0.3763936092494362</v>
      </c>
      <c r="H140" s="197">
        <f>(' Pivot Table for Data Exchange'!$F$202)*100</f>
        <v>0</v>
      </c>
      <c r="I140" s="40" t="s">
        <v>426</v>
      </c>
      <c r="J140" s="197">
        <f>(' Pivot Table for Data Exchange'!$F$205)*100</f>
        <v>74.69522062789945</v>
      </c>
      <c r="K140" s="197">
        <f>(' Pivot Table for Data Exchange'!$F$208)*100</f>
        <v>7.271550329053836</v>
      </c>
      <c r="L140" s="113">
        <f>SUM(M140:O140)</f>
        <v>18.033229043046713</v>
      </c>
      <c r="M140" s="197">
        <f>(' Pivot Table for Data Exchange'!$F$211)*100</f>
        <v>17.175531341029238</v>
      </c>
      <c r="N140" s="197">
        <f>(' Pivot Table for Data Exchange'!$F$214)*100</f>
        <v>0.8523033768475564</v>
      </c>
      <c r="O140" s="203">
        <f>(' Pivot Table for Data Exchange'!$F$217)*100</f>
        <v>0.005394325169921243</v>
      </c>
      <c r="P140" s="197">
        <f>(' Pivot Table for Data Exchange'!$F$220)*100</f>
        <v>0</v>
      </c>
      <c r="Q140" s="39">
        <f t="shared" si="15"/>
        <v>100</v>
      </c>
      <c r="R140" s="39">
        <f t="shared" si="14"/>
        <v>100</v>
      </c>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row>
    <row r="141" spans="1:41" ht="15.75" customHeight="1">
      <c r="A141" s="40" t="s">
        <v>427</v>
      </c>
      <c r="B141" s="197">
        <f>(' Pivot Table for Data Exchange'!$F$223)*100</f>
        <v>94.92816147227305</v>
      </c>
      <c r="C141" s="197">
        <f>(' Pivot Table for Data Exchange'!$F$226)*100</f>
        <v>0</v>
      </c>
      <c r="D141" s="113">
        <f>SUM(E141:G141)</f>
        <v>5.071838527726942</v>
      </c>
      <c r="E141" s="197">
        <f>(' Pivot Table for Data Exchange'!$F$229)*100</f>
        <v>4.201587537119168</v>
      </c>
      <c r="F141" s="197">
        <f>(' Pivot Table for Data Exchange'!$F$232)*100</f>
        <v>0.7814947323298106</v>
      </c>
      <c r="G141" s="199">
        <f>(' Pivot Table for Data Exchange'!$F$235)*100</f>
        <v>0.08875625827796373</v>
      </c>
      <c r="H141" s="197">
        <f>(' Pivot Table for Data Exchange'!$F$238)*100</f>
        <v>0</v>
      </c>
      <c r="I141" s="40" t="s">
        <v>427</v>
      </c>
      <c r="J141" s="197">
        <f>(' Pivot Table for Data Exchange'!$F$241)*100</f>
        <v>82.03675573374505</v>
      </c>
      <c r="K141" s="197">
        <f>(' Pivot Table for Data Exchange'!$F$244)*100</f>
        <v>0</v>
      </c>
      <c r="L141" s="113">
        <f>SUM(M141:O141)</f>
        <v>17.963244266254947</v>
      </c>
      <c r="M141" s="197">
        <f>(' Pivot Table for Data Exchange'!$F$247)*100</f>
        <v>15.81542445899843</v>
      </c>
      <c r="N141" s="197">
        <f>(' Pivot Table for Data Exchange'!$F$250)*100</f>
        <v>2.1478198072565178</v>
      </c>
      <c r="O141" s="199">
        <f>(' Pivot Table for Data Exchange'!$F$253)*100</f>
        <v>0</v>
      </c>
      <c r="P141" s="197">
        <f>(' Pivot Table for Data Exchange'!$F$256)*100</f>
        <v>0</v>
      </c>
      <c r="Q141" s="39">
        <f t="shared" si="15"/>
        <v>99.99999999999999</v>
      </c>
      <c r="R141" s="39">
        <f t="shared" si="14"/>
        <v>100</v>
      </c>
      <c r="S141" s="47"/>
      <c r="T141" s="59"/>
      <c r="U141" s="47"/>
      <c r="V141" s="47"/>
      <c r="W141" s="47"/>
      <c r="X141" s="47"/>
      <c r="Y141" s="47"/>
      <c r="Z141" s="47"/>
      <c r="AA141" s="47"/>
      <c r="AB141" s="47"/>
      <c r="AC141" s="47"/>
      <c r="AD141" s="47"/>
      <c r="AE141" s="47"/>
      <c r="AF141" s="47"/>
      <c r="AG141" s="47"/>
      <c r="AH141" s="47"/>
      <c r="AI141" s="47"/>
      <c r="AJ141" s="47"/>
      <c r="AK141" s="47"/>
      <c r="AL141" s="47"/>
      <c r="AM141" s="47"/>
      <c r="AN141" s="47"/>
      <c r="AO141" s="47"/>
    </row>
    <row r="142" spans="1:41" ht="15.75" customHeight="1">
      <c r="A142" s="40" t="s">
        <v>428</v>
      </c>
      <c r="B142" s="197">
        <f>(' Pivot Table for Data Exchange'!$F$259)*100</f>
        <v>97.5059726462566</v>
      </c>
      <c r="C142" s="197">
        <f>(' Pivot Table for Data Exchange'!$F$262)*100</f>
        <v>1.0332515281511812</v>
      </c>
      <c r="D142" s="113">
        <f>SUM(E142:G142)</f>
        <v>1.4607758255922196</v>
      </c>
      <c r="E142" s="197">
        <f>(' Pivot Table for Data Exchange'!$F$265)*100</f>
        <v>1.4184628003411082</v>
      </c>
      <c r="F142" s="200">
        <f>(' Pivot Table for Data Exchange'!$F$268)*100</f>
        <v>0.04231302525111153</v>
      </c>
      <c r="G142" s="199">
        <f>(' Pivot Table for Data Exchange'!$F$271)*100</f>
        <v>0</v>
      </c>
      <c r="H142" s="197">
        <f>(' Pivot Table for Data Exchange'!$F$274)*100</f>
        <v>0</v>
      </c>
      <c r="I142" s="40" t="s">
        <v>428</v>
      </c>
      <c r="J142" s="197">
        <f>(' Pivot Table for Data Exchange'!$F$277)*100</f>
        <v>86.34974647130592</v>
      </c>
      <c r="K142" s="197">
        <f>(' Pivot Table for Data Exchange'!$F$280)*100</f>
        <v>6.626445337422626</v>
      </c>
      <c r="L142" s="113">
        <f>SUM(M142:O142)</f>
        <v>7.023808191271449</v>
      </c>
      <c r="M142" s="197">
        <f>(' Pivot Table for Data Exchange'!$F$283)*100</f>
        <v>6.246991795296567</v>
      </c>
      <c r="N142" s="197">
        <f>(' Pivot Table for Data Exchange'!$F$286)*100</f>
        <v>0.7768163959748822</v>
      </c>
      <c r="O142" s="199">
        <f>(' Pivot Table for Data Exchange'!$F$289)*100</f>
        <v>0</v>
      </c>
      <c r="P142" s="197">
        <f>(' Pivot Table for Data Exchange'!$F$292)*100</f>
        <v>0</v>
      </c>
      <c r="Q142" s="39">
        <f t="shared" si="15"/>
        <v>100</v>
      </c>
      <c r="R142" s="39">
        <f t="shared" si="14"/>
        <v>100</v>
      </c>
      <c r="S142" s="47"/>
      <c r="U142" s="47"/>
      <c r="V142" s="47"/>
      <c r="W142" s="47"/>
      <c r="X142" s="47"/>
      <c r="Y142" s="47"/>
      <c r="Z142" s="47"/>
      <c r="AA142" s="47"/>
      <c r="AB142" s="47"/>
      <c r="AC142" s="47"/>
      <c r="AD142" s="47"/>
      <c r="AE142" s="47"/>
      <c r="AF142" s="47"/>
      <c r="AG142" s="47"/>
      <c r="AH142" s="47"/>
      <c r="AI142" s="47"/>
      <c r="AJ142" s="47"/>
      <c r="AK142" s="47"/>
      <c r="AL142" s="47"/>
      <c r="AM142" s="47"/>
      <c r="AN142" s="47"/>
      <c r="AO142" s="47"/>
    </row>
    <row r="143" spans="1:41" ht="15.75" customHeight="1">
      <c r="A143" s="40"/>
      <c r="B143" s="102"/>
      <c r="C143" s="103"/>
      <c r="D143" s="113"/>
      <c r="E143" s="102"/>
      <c r="F143" s="102"/>
      <c r="G143" s="103"/>
      <c r="H143" s="102"/>
      <c r="I143" s="40"/>
      <c r="J143" s="102"/>
      <c r="K143" s="103"/>
      <c r="L143" s="113"/>
      <c r="M143" s="102"/>
      <c r="N143" s="102"/>
      <c r="O143" s="103"/>
      <c r="P143" s="102"/>
      <c r="Q143" s="39">
        <f t="shared" si="15"/>
        <v>0</v>
      </c>
      <c r="R143" s="39">
        <f t="shared" si="14"/>
        <v>0</v>
      </c>
      <c r="S143" s="47"/>
      <c r="U143" s="47"/>
      <c r="V143" s="47"/>
      <c r="W143" s="47"/>
      <c r="X143" s="47"/>
      <c r="Y143" s="47"/>
      <c r="Z143" s="47"/>
      <c r="AA143" s="47"/>
      <c r="AB143" s="47"/>
      <c r="AC143" s="47"/>
      <c r="AD143" s="47"/>
      <c r="AE143" s="47"/>
      <c r="AF143" s="47"/>
      <c r="AG143" s="47"/>
      <c r="AH143" s="47"/>
      <c r="AI143" s="47"/>
      <c r="AJ143" s="47"/>
      <c r="AK143" s="47"/>
      <c r="AL143" s="47"/>
      <c r="AM143" s="47"/>
      <c r="AN143" s="47"/>
      <c r="AO143" s="47"/>
    </row>
    <row r="144" spans="1:41" ht="15.75" customHeight="1">
      <c r="A144" s="40" t="s">
        <v>122</v>
      </c>
      <c r="B144" s="197">
        <f>(' Pivot Table for Data Exchange'!$F$295)*100</f>
        <v>97.2354499696106</v>
      </c>
      <c r="C144" s="197">
        <f>(' Pivot Table for Data Exchange'!$F$298)*100</f>
        <v>0.9541680681194568</v>
      </c>
      <c r="D144" s="113">
        <f>SUM(E144:G144)</f>
        <v>1.8103819622699406</v>
      </c>
      <c r="E144" s="197">
        <f>(' Pivot Table for Data Exchange'!$F$301)*100</f>
        <v>1.4876052564806128</v>
      </c>
      <c r="F144" s="200">
        <f>(' Pivot Table for Data Exchange'!$F$304)*100</f>
        <v>0.18941740869903875</v>
      </c>
      <c r="G144" s="199">
        <f>(' Pivot Table for Data Exchange'!$F$307)*100</f>
        <v>0.133359297090289</v>
      </c>
      <c r="H144" s="197">
        <f>(' Pivot Table for Data Exchange'!$F$310)*100</f>
        <v>0</v>
      </c>
      <c r="I144" s="40" t="s">
        <v>122</v>
      </c>
      <c r="J144" s="197">
        <f>(' Pivot Table for Data Exchange'!$F$313)*100</f>
        <v>85.80097584976834</v>
      </c>
      <c r="K144" s="197">
        <f>(' Pivot Table for Data Exchange'!$F$316)*100</f>
        <v>4.7111402681536765</v>
      </c>
      <c r="L144" s="113">
        <f>SUM(M144:O144)</f>
        <v>9.487883882077986</v>
      </c>
      <c r="M144" s="197">
        <f>(' Pivot Table for Data Exchange'!$F$319)*100</f>
        <v>8.995858788798229</v>
      </c>
      <c r="N144" s="197">
        <f>(' Pivot Table for Data Exchange'!$F$322)*100</f>
        <v>0</v>
      </c>
      <c r="O144" s="199">
        <f>(' Pivot Table for Data Exchange'!$F$325)*100</f>
        <v>0.4920250932797573</v>
      </c>
      <c r="P144" s="197">
        <f>(' Pivot Table for Data Exchange'!$F$328)*100</f>
        <v>0</v>
      </c>
      <c r="Q144" s="39">
        <f t="shared" si="15"/>
        <v>100</v>
      </c>
      <c r="R144" s="39">
        <f t="shared" si="14"/>
        <v>99.99999999999999</v>
      </c>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row>
    <row r="145" spans="1:41" ht="15.75" customHeight="1">
      <c r="A145" s="40" t="s">
        <v>130</v>
      </c>
      <c r="B145" s="197">
        <f>(' Pivot Table for Data Exchange'!$F$331)*100</f>
        <v>90.77348639396978</v>
      </c>
      <c r="C145" s="197">
        <f>(' Pivot Table for Data Exchange'!$F$334)*100</f>
        <v>5.213512672452543</v>
      </c>
      <c r="D145" s="113">
        <f>SUM(E145:G145)</f>
        <v>4.013000933577677</v>
      </c>
      <c r="E145" s="197">
        <f>(' Pivot Table for Data Exchange'!$F$337)*100</f>
        <v>4.013000933577677</v>
      </c>
      <c r="F145" s="197">
        <f>(' Pivot Table for Data Exchange'!$F$340)*100</f>
        <v>0</v>
      </c>
      <c r="G145" s="199">
        <f>(' Pivot Table for Data Exchange'!$F$343)*100</f>
        <v>0</v>
      </c>
      <c r="H145" s="197">
        <f>(' Pivot Table for Data Exchange'!$F$346)*100</f>
        <v>0</v>
      </c>
      <c r="I145" s="40" t="s">
        <v>130</v>
      </c>
      <c r="J145" s="197">
        <f>(' Pivot Table for Data Exchange'!$F$349)*100</f>
        <v>66.09718670076727</v>
      </c>
      <c r="K145" s="197">
        <f>(' Pivot Table for Data Exchange'!$F$352)*100</f>
        <v>22.67007672634271</v>
      </c>
      <c r="L145" s="113">
        <f>SUM(M145:O145)</f>
        <v>11.232736572890026</v>
      </c>
      <c r="M145" s="197">
        <f>(' Pivot Table for Data Exchange'!$F$355)*100</f>
        <v>11.232736572890026</v>
      </c>
      <c r="N145" s="197">
        <f>(' Pivot Table for Data Exchange'!$F$358)*100</f>
        <v>0</v>
      </c>
      <c r="O145" s="199">
        <f>(' Pivot Table for Data Exchange'!$F$361)*100</f>
        <v>0</v>
      </c>
      <c r="P145" s="197">
        <f>(' Pivot Table for Data Exchange'!$F$364)*100</f>
        <v>0</v>
      </c>
      <c r="Q145" s="39">
        <f t="shared" si="15"/>
        <v>99.99999999999999</v>
      </c>
      <c r="R145" s="39">
        <f t="shared" si="14"/>
        <v>100</v>
      </c>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row>
    <row r="146" spans="1:41" ht="15.75" customHeight="1">
      <c r="A146" s="40" t="s">
        <v>123</v>
      </c>
      <c r="B146" s="197">
        <f>(' Pivot Table for Data Exchange'!$F$367)*100</f>
        <v>95.43654712526923</v>
      </c>
      <c r="C146" s="197">
        <f>(' Pivot Table for Data Exchange'!$F$370)*100</f>
        <v>0</v>
      </c>
      <c r="D146" s="113">
        <f>SUM(E146:G146)</f>
        <v>4.563452874730773</v>
      </c>
      <c r="E146" s="197">
        <f>(' Pivot Table for Data Exchange'!$F$373)*100</f>
        <v>3.9003790336991995</v>
      </c>
      <c r="F146" s="197">
        <f>(' Pivot Table for Data Exchange'!$F$376)*100</f>
        <v>0.6630738410315736</v>
      </c>
      <c r="G146" s="199">
        <f>(' Pivot Table for Data Exchange'!$F$379)*100</f>
        <v>0</v>
      </c>
      <c r="H146" s="197">
        <f>(' Pivot Table for Data Exchange'!$F$382)*100</f>
        <v>0</v>
      </c>
      <c r="I146" s="40" t="s">
        <v>123</v>
      </c>
      <c r="J146" s="197">
        <f>(' Pivot Table for Data Exchange'!$F$385)*100</f>
        <v>98.10691749017741</v>
      </c>
      <c r="K146" s="197">
        <f>(' Pivot Table for Data Exchange'!$F$388)*100</f>
        <v>0</v>
      </c>
      <c r="L146" s="113">
        <f>SUM(M146:O146)</f>
        <v>1.893082509822598</v>
      </c>
      <c r="M146" s="197">
        <f>(' Pivot Table for Data Exchange'!$F$391)*100</f>
        <v>1.0179783307536612</v>
      </c>
      <c r="N146" s="197">
        <f>(' Pivot Table for Data Exchange'!$F$394)*100</f>
        <v>0.8751041790689368</v>
      </c>
      <c r="O146" s="199">
        <f>(' Pivot Table for Data Exchange'!$F$397)*100</f>
        <v>0</v>
      </c>
      <c r="P146" s="197">
        <f>(' Pivot Table for Data Exchange'!$F$400)*100</f>
        <v>0</v>
      </c>
      <c r="Q146" s="39">
        <f t="shared" si="15"/>
        <v>100</v>
      </c>
      <c r="R146" s="39">
        <f t="shared" si="14"/>
        <v>100</v>
      </c>
      <c r="S146" s="47"/>
      <c r="T146" s="59"/>
      <c r="U146" s="47"/>
      <c r="V146" s="47"/>
      <c r="W146" s="47"/>
      <c r="X146" s="47"/>
      <c r="Y146" s="47"/>
      <c r="Z146" s="47"/>
      <c r="AA146" s="47"/>
      <c r="AB146" s="47"/>
      <c r="AC146" s="47"/>
      <c r="AD146" s="47"/>
      <c r="AE146" s="47"/>
      <c r="AF146" s="47"/>
      <c r="AG146" s="47"/>
      <c r="AH146" s="47"/>
      <c r="AI146" s="47"/>
      <c r="AJ146" s="47"/>
      <c r="AK146" s="47"/>
      <c r="AL146" s="47"/>
      <c r="AM146" s="47"/>
      <c r="AN146" s="47"/>
      <c r="AO146" s="47"/>
    </row>
    <row r="147" spans="1:41" ht="15.75" customHeight="1">
      <c r="A147" s="40" t="s">
        <v>429</v>
      </c>
      <c r="B147" s="197"/>
      <c r="C147" s="197"/>
      <c r="D147" s="113"/>
      <c r="E147" s="197"/>
      <c r="F147" s="197"/>
      <c r="G147" s="199"/>
      <c r="H147" s="197"/>
      <c r="I147" s="40" t="s">
        <v>429</v>
      </c>
      <c r="J147" s="197"/>
      <c r="K147" s="197"/>
      <c r="L147" s="113"/>
      <c r="M147" s="197"/>
      <c r="N147" s="197"/>
      <c r="O147" s="199"/>
      <c r="P147" s="197"/>
      <c r="Q147" s="39">
        <f aca="true" t="shared" si="16" ref="Q147:Q152">SUM(B147,C147,D147,H147)</f>
        <v>0</v>
      </c>
      <c r="R147" s="39">
        <f aca="true" t="shared" si="17" ref="R147:R152">SUM(J147,K147,L147,P147)</f>
        <v>0</v>
      </c>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row>
    <row r="148" spans="1:41" ht="15.75" customHeight="1">
      <c r="A148" s="40"/>
      <c r="B148" s="197"/>
      <c r="C148" s="197"/>
      <c r="D148" s="113"/>
      <c r="E148" s="197"/>
      <c r="F148" s="197"/>
      <c r="G148" s="199"/>
      <c r="H148" s="197"/>
      <c r="I148" s="40"/>
      <c r="J148" s="197"/>
      <c r="K148" s="197"/>
      <c r="L148" s="113"/>
      <c r="M148" s="197"/>
      <c r="N148" s="197"/>
      <c r="O148" s="199"/>
      <c r="P148" s="197"/>
      <c r="Q148" s="39"/>
      <c r="R148" s="39"/>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row>
    <row r="149" spans="1:41" ht="15.75" customHeight="1">
      <c r="A149" s="40" t="s">
        <v>430</v>
      </c>
      <c r="B149" s="197"/>
      <c r="C149" s="197"/>
      <c r="D149" s="113"/>
      <c r="E149" s="197"/>
      <c r="F149" s="197"/>
      <c r="G149" s="199"/>
      <c r="H149" s="197"/>
      <c r="I149" s="40" t="s">
        <v>430</v>
      </c>
      <c r="J149" s="197"/>
      <c r="K149" s="197"/>
      <c r="L149" s="113"/>
      <c r="M149" s="197"/>
      <c r="N149" s="197"/>
      <c r="O149" s="199"/>
      <c r="P149" s="197"/>
      <c r="Q149" s="39">
        <f t="shared" si="16"/>
        <v>0</v>
      </c>
      <c r="R149" s="39">
        <f t="shared" si="17"/>
        <v>0</v>
      </c>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row>
    <row r="150" spans="1:41" ht="15.75" customHeight="1">
      <c r="A150" s="40" t="s">
        <v>229</v>
      </c>
      <c r="B150" s="197">
        <f>(' Pivot Table for Data Exchange'!$F$403)*100</f>
        <v>89.08491364396215</v>
      </c>
      <c r="C150" s="197">
        <f>(' Pivot Table for Data Exchange'!$F$406)*100</f>
        <v>3.846522621821835</v>
      </c>
      <c r="D150" s="113">
        <f>SUM(E150:G150)</f>
        <v>7.068563734216</v>
      </c>
      <c r="E150" s="197">
        <f>(' Pivot Table for Data Exchange'!$F$409)*100</f>
        <v>6.863460327915324</v>
      </c>
      <c r="F150" s="197">
        <f>(' Pivot Table for Data Exchange'!$F$412)*100</f>
        <v>0.1550781852517311</v>
      </c>
      <c r="G150" s="199">
        <f>(' Pivot Table for Data Exchange'!$F$415)*100</f>
        <v>0.050025221048945516</v>
      </c>
      <c r="H150" s="197">
        <f>(' Pivot Table for Data Exchange'!$F$418)*100</f>
        <v>0</v>
      </c>
      <c r="I150" s="40" t="s">
        <v>229</v>
      </c>
      <c r="J150" s="197">
        <f>(' Pivot Table for Data Exchange'!$F$421)*100</f>
        <v>83.43641761504206</v>
      </c>
      <c r="K150" s="197">
        <f>(' Pivot Table for Data Exchange'!$F$424)*100</f>
        <v>0.9054923305294409</v>
      </c>
      <c r="L150" s="113">
        <f>SUM(M150:O150)</f>
        <v>15.6580900544285</v>
      </c>
      <c r="M150" s="197">
        <f>(' Pivot Table for Data Exchange'!$F$427)*100</f>
        <v>15.368629391390401</v>
      </c>
      <c r="N150" s="197">
        <f>(' Pivot Table for Data Exchange'!$F$430)*100</f>
        <v>0</v>
      </c>
      <c r="O150" s="199">
        <f>(' Pivot Table for Data Exchange'!$F$433)*100</f>
        <v>0.2894606630381</v>
      </c>
      <c r="P150" s="197">
        <f>(' Pivot Table for Data Exchange'!$F$436)*100</f>
        <v>0</v>
      </c>
      <c r="Q150" s="39">
        <f t="shared" si="16"/>
        <v>99.99999999999999</v>
      </c>
      <c r="R150" s="39">
        <f t="shared" si="17"/>
        <v>100</v>
      </c>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row>
    <row r="151" spans="1:41" ht="15.75" customHeight="1">
      <c r="A151" s="40" t="s">
        <v>431</v>
      </c>
      <c r="B151" s="197">
        <f>(' Pivot Table for Data Exchange'!$F$511)*100</f>
        <v>0</v>
      </c>
      <c r="C151" s="197">
        <f>(' Pivot Table for Data Exchange'!$F$514)*100</f>
        <v>0</v>
      </c>
      <c r="D151" s="113">
        <f>SUM(E151:G151)</f>
        <v>0</v>
      </c>
      <c r="E151" s="197">
        <f>(' Pivot Table for Data Exchange'!$F$517)*100</f>
        <v>0</v>
      </c>
      <c r="F151" s="197">
        <f>(' Pivot Table for Data Exchange'!$F$520)*100</f>
        <v>0</v>
      </c>
      <c r="G151" s="199">
        <f>(' Pivot Table for Data Exchange'!$F$523)*100</f>
        <v>0</v>
      </c>
      <c r="H151" s="197">
        <f>(' Pivot Table for Data Exchange'!$F$526)*100</f>
        <v>0</v>
      </c>
      <c r="I151" s="40" t="s">
        <v>431</v>
      </c>
      <c r="J151" s="197">
        <f>(' Pivot Table for Data Exchange'!$F$529)*100</f>
        <v>0</v>
      </c>
      <c r="K151" s="197">
        <f>(' Pivot Table for Data Exchange'!$F$532)*100</f>
        <v>0</v>
      </c>
      <c r="L151" s="113">
        <f>SUM(M151:O151)</f>
        <v>0</v>
      </c>
      <c r="M151" s="197">
        <f>(' Pivot Table for Data Exchange'!$F$535)*100</f>
        <v>0</v>
      </c>
      <c r="N151" s="197">
        <f>(' Pivot Table for Data Exchange'!$F$538)*100</f>
        <v>0</v>
      </c>
      <c r="O151" s="199">
        <f>(' Pivot Table for Data Exchange'!$F$541)*100</f>
        <v>0</v>
      </c>
      <c r="P151" s="197">
        <f>(' Pivot Table for Data Exchange'!$F$544)*100</f>
        <v>0</v>
      </c>
      <c r="Q151" s="39">
        <f t="shared" si="16"/>
        <v>0</v>
      </c>
      <c r="R151" s="39">
        <f t="shared" si="17"/>
        <v>0</v>
      </c>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row>
    <row r="152" spans="1:41" ht="15.75" customHeight="1">
      <c r="A152" s="34" t="s">
        <v>124</v>
      </c>
      <c r="B152" s="201">
        <f>(' Pivot Table for Data Exchange'!$F$439)*100</f>
        <v>0</v>
      </c>
      <c r="C152" s="201">
        <f>(' Pivot Table for Data Exchange'!$F$442)*100</f>
        <v>0</v>
      </c>
      <c r="D152" s="114">
        <f>SUM(E152:G152)</f>
        <v>0</v>
      </c>
      <c r="E152" s="201">
        <f>(' Pivot Table for Data Exchange'!$F$445)*100</f>
        <v>0</v>
      </c>
      <c r="F152" s="201">
        <f>(' Pivot Table for Data Exchange'!$F$448)*100</f>
        <v>0</v>
      </c>
      <c r="G152" s="202">
        <f>(' Pivot Table for Data Exchange'!$F$451)*100</f>
        <v>0</v>
      </c>
      <c r="H152" s="201">
        <f>(' Pivot Table for Data Exchange'!$F$454)*100</f>
        <v>0</v>
      </c>
      <c r="I152" s="34" t="s">
        <v>124</v>
      </c>
      <c r="J152" s="201">
        <f>(' Pivot Table for Data Exchange'!$F$457)*100</f>
        <v>0</v>
      </c>
      <c r="K152" s="201">
        <f>(' Pivot Table for Data Exchange'!$F$460)*100</f>
        <v>0</v>
      </c>
      <c r="L152" s="114">
        <f>SUM(M152:O152)</f>
        <v>0</v>
      </c>
      <c r="M152" s="201">
        <f>(' Pivot Table for Data Exchange'!$F$463)*100</f>
        <v>0</v>
      </c>
      <c r="N152" s="201">
        <f>(' Pivot Table for Data Exchange'!$F$466)*100</f>
        <v>0</v>
      </c>
      <c r="O152" s="202">
        <f>(' Pivot Table for Data Exchange'!$F$469)*100</f>
        <v>0</v>
      </c>
      <c r="P152" s="201">
        <f>(' Pivot Table for Data Exchange'!$F$472)*100</f>
        <v>0</v>
      </c>
      <c r="Q152" s="39">
        <f t="shared" si="16"/>
        <v>0</v>
      </c>
      <c r="R152" s="39">
        <f t="shared" si="17"/>
        <v>0</v>
      </c>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row>
    <row r="153" spans="1:41" s="64" customFormat="1" ht="18" customHeight="1">
      <c r="A153" s="115" t="s">
        <v>477</v>
      </c>
      <c r="B153" s="68"/>
      <c r="C153" s="68"/>
      <c r="D153" s="69"/>
      <c r="E153" s="68"/>
      <c r="F153" s="69"/>
      <c r="G153" s="69"/>
      <c r="H153" s="68"/>
      <c r="I153" s="115" t="s">
        <v>477</v>
      </c>
      <c r="J153" s="68"/>
      <c r="K153" s="68"/>
      <c r="L153" s="69"/>
      <c r="M153" s="68"/>
      <c r="N153" s="69"/>
      <c r="O153" s="69"/>
      <c r="P153" s="68"/>
      <c r="Q153" s="68"/>
      <c r="R153" s="68"/>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row>
    <row r="154" spans="1:41" s="64" customFormat="1" ht="18" customHeight="1">
      <c r="A154" s="115"/>
      <c r="B154" s="68"/>
      <c r="C154" s="68"/>
      <c r="D154" s="69"/>
      <c r="E154" s="68"/>
      <c r="F154" s="69"/>
      <c r="G154" s="69"/>
      <c r="H154" s="68"/>
      <c r="I154" s="115"/>
      <c r="J154" s="68"/>
      <c r="K154" s="68"/>
      <c r="L154" s="69"/>
      <c r="M154" s="68"/>
      <c r="N154" s="69"/>
      <c r="O154" s="69"/>
      <c r="P154" s="68"/>
      <c r="Q154" s="68"/>
      <c r="R154" s="68"/>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row>
    <row r="155" spans="1:18" s="64" customFormat="1" ht="13.5" customHeight="1">
      <c r="A155" s="115"/>
      <c r="B155" s="63"/>
      <c r="H155" s="559" t="s">
        <v>726</v>
      </c>
      <c r="I155" s="115"/>
      <c r="P155" s="559" t="s">
        <v>726</v>
      </c>
      <c r="Q155" s="66"/>
      <c r="R155" s="67"/>
    </row>
    <row r="156" spans="1:18" ht="18">
      <c r="A156" s="31" t="s">
        <v>446</v>
      </c>
      <c r="B156" s="32"/>
      <c r="C156" s="32"/>
      <c r="D156" s="32"/>
      <c r="E156" s="32"/>
      <c r="F156" s="32"/>
      <c r="G156" s="32"/>
      <c r="H156" s="46"/>
      <c r="I156" s="31" t="s">
        <v>462</v>
      </c>
      <c r="J156" s="33"/>
      <c r="K156" s="33"/>
      <c r="L156" s="32"/>
      <c r="M156" s="33"/>
      <c r="N156" s="33"/>
      <c r="O156" s="33"/>
      <c r="P156" s="33"/>
      <c r="Q156" s="55"/>
      <c r="R156" s="56"/>
    </row>
    <row r="157" spans="1:18" ht="12.75">
      <c r="A157" s="78"/>
      <c r="B157" s="33"/>
      <c r="C157" s="33"/>
      <c r="D157" s="33"/>
      <c r="E157" s="33"/>
      <c r="F157" s="33"/>
      <c r="G157" s="33"/>
      <c r="H157" s="43"/>
      <c r="I157" s="78"/>
      <c r="J157" s="33"/>
      <c r="K157" s="33"/>
      <c r="L157" s="33"/>
      <c r="M157" s="33"/>
      <c r="N157" s="33"/>
      <c r="O157" s="33"/>
      <c r="P157" s="33"/>
      <c r="R157" s="58"/>
    </row>
    <row r="158" spans="1:18" ht="15.75">
      <c r="A158" s="42" t="s">
        <v>465</v>
      </c>
      <c r="B158" s="33"/>
      <c r="C158" s="33"/>
      <c r="D158" s="33"/>
      <c r="E158" s="33"/>
      <c r="F158" s="33"/>
      <c r="G158" s="33"/>
      <c r="H158" s="43"/>
      <c r="I158" s="42" t="s">
        <v>466</v>
      </c>
      <c r="J158" s="33"/>
      <c r="K158" s="33"/>
      <c r="L158" s="33"/>
      <c r="M158" s="33"/>
      <c r="N158" s="33"/>
      <c r="O158" s="33"/>
      <c r="P158" s="33"/>
      <c r="R158" s="58" t="s">
        <v>14</v>
      </c>
    </row>
    <row r="159" spans="1:18" ht="15.75">
      <c r="A159" s="42" t="s">
        <v>735</v>
      </c>
      <c r="B159" s="33"/>
      <c r="C159" s="33"/>
      <c r="D159" s="33"/>
      <c r="E159" s="33"/>
      <c r="F159" s="33"/>
      <c r="G159" s="33"/>
      <c r="H159" s="43"/>
      <c r="I159" s="42" t="s">
        <v>735</v>
      </c>
      <c r="J159" s="33"/>
      <c r="K159" s="33"/>
      <c r="L159" s="33"/>
      <c r="M159" s="33"/>
      <c r="N159" s="33"/>
      <c r="O159" s="33"/>
      <c r="P159" s="33"/>
      <c r="R159" s="58" t="s">
        <v>14</v>
      </c>
    </row>
    <row r="160" spans="1:16" ht="12.75">
      <c r="A160" s="34"/>
      <c r="B160" s="35"/>
      <c r="C160" s="35"/>
      <c r="D160" s="35"/>
      <c r="E160" s="35"/>
      <c r="F160" s="35"/>
      <c r="G160" s="35"/>
      <c r="H160" s="35"/>
      <c r="I160" s="36"/>
      <c r="L160" s="37"/>
      <c r="P160" s="34"/>
    </row>
    <row r="161" spans="1:18" s="90" customFormat="1" ht="12">
      <c r="A161" s="85"/>
      <c r="B161" s="86" t="s">
        <v>231</v>
      </c>
      <c r="C161" s="86"/>
      <c r="D161" s="86"/>
      <c r="E161" s="86"/>
      <c r="F161" s="86"/>
      <c r="G161" s="86"/>
      <c r="H161" s="87"/>
      <c r="I161" s="85"/>
      <c r="J161" s="86" t="s">
        <v>231</v>
      </c>
      <c r="K161" s="86"/>
      <c r="L161" s="86"/>
      <c r="M161" s="86"/>
      <c r="N161" s="86"/>
      <c r="O161" s="86"/>
      <c r="P161" s="87"/>
      <c r="Q161" s="88"/>
      <c r="R161" s="89"/>
    </row>
    <row r="162" spans="1:18" s="90" customFormat="1" ht="12">
      <c r="A162" s="85"/>
      <c r="B162" s="86" t="s">
        <v>127</v>
      </c>
      <c r="C162" s="86"/>
      <c r="D162" s="690" t="s">
        <v>472</v>
      </c>
      <c r="E162" s="691"/>
      <c r="F162" s="691"/>
      <c r="G162" s="691"/>
      <c r="H162" s="91" t="s">
        <v>14</v>
      </c>
      <c r="I162" s="85"/>
      <c r="J162" s="86" t="s">
        <v>127</v>
      </c>
      <c r="K162" s="86"/>
      <c r="L162" s="690" t="s">
        <v>472</v>
      </c>
      <c r="M162" s="691"/>
      <c r="N162" s="691"/>
      <c r="O162" s="691"/>
      <c r="P162" s="91" t="s">
        <v>14</v>
      </c>
      <c r="Q162" s="88"/>
      <c r="R162" s="89"/>
    </row>
    <row r="163" spans="1:20" s="90" customFormat="1" ht="40.5" customHeight="1">
      <c r="A163" s="85"/>
      <c r="B163" s="92" t="s">
        <v>464</v>
      </c>
      <c r="C163" s="93" t="s">
        <v>463</v>
      </c>
      <c r="D163" s="94" t="s">
        <v>470</v>
      </c>
      <c r="E163" s="95" t="s">
        <v>12</v>
      </c>
      <c r="F163" s="92" t="s">
        <v>128</v>
      </c>
      <c r="G163" s="96" t="s">
        <v>474</v>
      </c>
      <c r="H163" s="97" t="s">
        <v>473</v>
      </c>
      <c r="I163" s="85"/>
      <c r="J163" s="92" t="s">
        <v>464</v>
      </c>
      <c r="K163" s="93" t="s">
        <v>463</v>
      </c>
      <c r="L163" s="94" t="s">
        <v>470</v>
      </c>
      <c r="M163" s="95" t="s">
        <v>12</v>
      </c>
      <c r="N163" s="92" t="s">
        <v>128</v>
      </c>
      <c r="O163" s="96" t="s">
        <v>474</v>
      </c>
      <c r="P163" s="97" t="s">
        <v>473</v>
      </c>
      <c r="Q163" s="98"/>
      <c r="R163" s="99"/>
      <c r="T163" s="100"/>
    </row>
    <row r="164" spans="1:41" ht="15.75" customHeight="1">
      <c r="A164" s="41" t="s">
        <v>421</v>
      </c>
      <c r="B164" s="197">
        <f>(' Pivot Table for Data Exchange'!$G$7)*100</f>
        <v>99.32835634565929</v>
      </c>
      <c r="C164" s="197">
        <f>(' Pivot Table for Data Exchange'!$G$10)*100</f>
        <v>0</v>
      </c>
      <c r="D164" s="113">
        <f>SUM(E164:G164)</f>
        <v>0.6716436543407156</v>
      </c>
      <c r="E164" s="197">
        <f>(' Pivot Table for Data Exchange'!$G$13)*100</f>
        <v>0.6716436543407156</v>
      </c>
      <c r="F164" s="197">
        <f>(' Pivot Table for Data Exchange'!$G$16)*100</f>
        <v>0</v>
      </c>
      <c r="G164" s="198">
        <f>(' Pivot Table for Data Exchange'!$G$19)*100</f>
        <v>0</v>
      </c>
      <c r="H164" s="197">
        <f>(' Pivot Table for Data Exchange'!$G$22)*100</f>
        <v>0</v>
      </c>
      <c r="I164" s="41" t="s">
        <v>421</v>
      </c>
      <c r="J164" s="197">
        <f>(' Pivot Table for Data Exchange'!$G$25)*100</f>
        <v>51.703038955741384</v>
      </c>
      <c r="K164" s="197">
        <f>(' Pivot Table for Data Exchange'!$G$28)*100</f>
        <v>1.786661227819702</v>
      </c>
      <c r="L164" s="113">
        <f>SUM(M164:O164)</f>
        <v>46.510299816438916</v>
      </c>
      <c r="M164" s="197">
        <f>(' Pivot Table for Data Exchange'!$G$31)*100</f>
        <v>46.510299816438916</v>
      </c>
      <c r="N164" s="197">
        <f>(' Pivot Table for Data Exchange'!$G$34)*100</f>
        <v>0</v>
      </c>
      <c r="O164" s="198">
        <f>(' Pivot Table for Data Exchange'!$G$37)*100</f>
        <v>0</v>
      </c>
      <c r="P164" s="197">
        <f>(' Pivot Table for Data Exchange'!$G$40)*100</f>
        <v>0</v>
      </c>
      <c r="Q164" s="39">
        <f aca="true" t="shared" si="18" ref="Q164:Q176">SUM(B164,C164,D164,H164)</f>
        <v>100</v>
      </c>
      <c r="R164" s="39">
        <f aca="true" t="shared" si="19" ref="R164:R176">SUM(J164,K164,L164,P164)</f>
        <v>100</v>
      </c>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row>
    <row r="165" spans="1:41" ht="15.75" customHeight="1">
      <c r="A165" s="40" t="s">
        <v>422</v>
      </c>
      <c r="B165" s="197">
        <f>(' Pivot Table for Data Exchange'!$G$43)*100</f>
        <v>93.31144541338058</v>
      </c>
      <c r="C165" s="197">
        <f>(' Pivot Table for Data Exchange'!$G$46)*100</f>
        <v>3.74295012102051</v>
      </c>
      <c r="D165" s="113">
        <f>SUM(E165:G165)</f>
        <v>2.945604465598907</v>
      </c>
      <c r="E165" s="197">
        <f>(' Pivot Table for Data Exchange'!$G$49)*100</f>
        <v>2.45370531216343</v>
      </c>
      <c r="F165" s="197">
        <f>(' Pivot Table for Data Exchange'!$G$52)*100</f>
        <v>0.23856674657494586</v>
      </c>
      <c r="G165" s="203">
        <f>(' Pivot Table for Data Exchange'!$G$55)*100</f>
        <v>0.2533324068605311</v>
      </c>
      <c r="H165" s="197">
        <f>(' Pivot Table for Data Exchange'!$G$58)*100</f>
        <v>0</v>
      </c>
      <c r="I165" s="40" t="s">
        <v>422</v>
      </c>
      <c r="J165" s="197">
        <f>(' Pivot Table for Data Exchange'!$G$61)*100</f>
        <v>72.47336474383462</v>
      </c>
      <c r="K165" s="197">
        <f>(' Pivot Table for Data Exchange'!$G$64)*100</f>
        <v>19.716456555880978</v>
      </c>
      <c r="L165" s="113">
        <f>SUM(M165:O165)</f>
        <v>7.810178700284392</v>
      </c>
      <c r="M165" s="197">
        <f>(' Pivot Table for Data Exchange'!$G$67)*100</f>
        <v>5.0596375058364105</v>
      </c>
      <c r="N165" s="197">
        <f>(' Pivot Table for Data Exchange'!$G$70)*100</f>
        <v>2.3430536100853177</v>
      </c>
      <c r="O165" s="199">
        <f>(' Pivot Table for Data Exchange'!$G$73)*100</f>
        <v>0.40748758436266397</v>
      </c>
      <c r="P165" s="197">
        <f>(' Pivot Table for Data Exchange'!$G$76)*100</f>
        <v>0</v>
      </c>
      <c r="Q165" s="39">
        <f t="shared" si="18"/>
        <v>100</v>
      </c>
      <c r="R165" s="39">
        <f t="shared" si="19"/>
        <v>100</v>
      </c>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row>
    <row r="166" spans="1:41" ht="15.75" customHeight="1">
      <c r="A166" s="40" t="s">
        <v>423</v>
      </c>
      <c r="B166" s="197">
        <f>(' Pivot Table for Data Exchange'!$G$79)*100</f>
        <v>0</v>
      </c>
      <c r="C166" s="197">
        <f>(' Pivot Table for Data Exchange'!$G$82)*100</f>
        <v>0</v>
      </c>
      <c r="D166" s="113">
        <f>SUM(E166:G166)</f>
        <v>0</v>
      </c>
      <c r="E166" s="197">
        <f>(' Pivot Table for Data Exchange'!$G$85)*100</f>
        <v>0</v>
      </c>
      <c r="F166" s="197">
        <f>(' Pivot Table for Data Exchange'!$G$88)*100</f>
        <v>0</v>
      </c>
      <c r="G166" s="199">
        <f>(' Pivot Table for Data Exchange'!$G$91)*100</f>
        <v>0</v>
      </c>
      <c r="H166" s="197">
        <f>(' Pivot Table for Data Exchange'!$G$94)*100</f>
        <v>0</v>
      </c>
      <c r="I166" s="40" t="s">
        <v>423</v>
      </c>
      <c r="J166" s="197">
        <f>(' Pivot Table for Data Exchange'!$G$97)*100</f>
        <v>0</v>
      </c>
      <c r="K166" s="197">
        <f>(' Pivot Table for Data Exchange'!$G$100)*100</f>
        <v>0</v>
      </c>
      <c r="L166" s="113">
        <f>SUM(M166:O166)</f>
        <v>0</v>
      </c>
      <c r="M166" s="197">
        <f>(' Pivot Table for Data Exchange'!$G$103)*100</f>
        <v>0</v>
      </c>
      <c r="N166" s="197">
        <f>(' Pivot Table for Data Exchange'!$G$106)*100</f>
        <v>0</v>
      </c>
      <c r="O166" s="199">
        <f>(' Pivot Table for Data Exchange'!$G$109)*100</f>
        <v>0</v>
      </c>
      <c r="P166" s="197">
        <f>(' Pivot Table for Data Exchange'!$G$112)*100</f>
        <v>0</v>
      </c>
      <c r="Q166" s="39">
        <f t="shared" si="18"/>
        <v>0</v>
      </c>
      <c r="R166" s="39">
        <f t="shared" si="19"/>
        <v>0</v>
      </c>
      <c r="S166" s="47"/>
      <c r="T166" s="59"/>
      <c r="U166" s="47"/>
      <c r="V166" s="47"/>
      <c r="W166" s="47"/>
      <c r="X166" s="47"/>
      <c r="Y166" s="47"/>
      <c r="Z166" s="47"/>
      <c r="AA166" s="47"/>
      <c r="AB166" s="47"/>
      <c r="AC166" s="47"/>
      <c r="AD166" s="47"/>
      <c r="AE166" s="47"/>
      <c r="AF166" s="47"/>
      <c r="AG166" s="47"/>
      <c r="AH166" s="47"/>
      <c r="AI166" s="47"/>
      <c r="AJ166" s="47"/>
      <c r="AK166" s="47"/>
      <c r="AL166" s="47"/>
      <c r="AM166" s="47"/>
      <c r="AN166" s="47"/>
      <c r="AO166" s="47"/>
    </row>
    <row r="167" spans="1:41" ht="15.75" customHeight="1">
      <c r="A167" s="40" t="s">
        <v>745</v>
      </c>
      <c r="B167" s="197">
        <f>(' Pivot Table for Data Exchange'!$G$115)*100</f>
        <v>82.51949837279766</v>
      </c>
      <c r="C167" s="197">
        <f>(' Pivot Table for Data Exchange'!$G$118)*100</f>
        <v>4.035742340926944</v>
      </c>
      <c r="D167" s="113">
        <f>SUM(E167:G167)</f>
        <v>13.44475928627539</v>
      </c>
      <c r="E167" s="197">
        <f>(' Pivot Table for Data Exchange'!$G$121)*100</f>
        <v>13.13124228481652</v>
      </c>
      <c r="F167" s="200">
        <f>(' Pivot Table for Data Exchange'!$G$124)*100</f>
        <v>0.02314555044327236</v>
      </c>
      <c r="G167" s="199">
        <f>(' Pivot Table for Data Exchange'!$G$127)*100</f>
        <v>0.2903714510155987</v>
      </c>
      <c r="H167" s="197">
        <f>(' Pivot Table for Data Exchange'!$G$130)*100</f>
        <v>0</v>
      </c>
      <c r="I167" s="40" t="s">
        <v>745</v>
      </c>
      <c r="J167" s="197">
        <f>(' Pivot Table for Data Exchange'!$G$133)*100</f>
        <v>56.29147863020971</v>
      </c>
      <c r="K167" s="197">
        <f>(' Pivot Table for Data Exchange'!$G$136)*100</f>
        <v>14.12264401380409</v>
      </c>
      <c r="L167" s="113">
        <f>SUM(M167:O167)</f>
        <v>29.585877355986195</v>
      </c>
      <c r="M167" s="197">
        <f>(' Pivot Table for Data Exchange'!$G$139)*100</f>
        <v>29.585877355986195</v>
      </c>
      <c r="N167" s="197">
        <f>(' Pivot Table for Data Exchange'!$G$142)*100</f>
        <v>0</v>
      </c>
      <c r="O167" s="199">
        <f>(' Pivot Table for Data Exchange'!$G$145)*100</f>
        <v>0</v>
      </c>
      <c r="P167" s="197">
        <f>(' Pivot Table for Data Exchange'!$G$148)*100</f>
        <v>0</v>
      </c>
      <c r="Q167" s="39">
        <f t="shared" si="18"/>
        <v>99.99999999999999</v>
      </c>
      <c r="R167" s="39">
        <f t="shared" si="19"/>
        <v>100</v>
      </c>
      <c r="S167" s="47"/>
      <c r="U167" s="47"/>
      <c r="V167" s="47"/>
      <c r="W167" s="47"/>
      <c r="X167" s="47"/>
      <c r="Y167" s="47"/>
      <c r="Z167" s="47"/>
      <c r="AA167" s="47"/>
      <c r="AB167" s="47"/>
      <c r="AC167" s="47"/>
      <c r="AD167" s="47"/>
      <c r="AE167" s="47"/>
      <c r="AF167" s="47"/>
      <c r="AG167" s="47"/>
      <c r="AH167" s="47"/>
      <c r="AI167" s="47"/>
      <c r="AJ167" s="47"/>
      <c r="AK167" s="47"/>
      <c r="AL167" s="47"/>
      <c r="AM167" s="47"/>
      <c r="AN167" s="47"/>
      <c r="AO167" s="47"/>
    </row>
    <row r="168" spans="1:41" ht="10.5" customHeight="1">
      <c r="A168" s="40"/>
      <c r="B168" s="102"/>
      <c r="C168" s="103"/>
      <c r="D168" s="113"/>
      <c r="E168" s="102"/>
      <c r="F168" s="102"/>
      <c r="G168" s="103"/>
      <c r="H168" s="102"/>
      <c r="I168" s="40"/>
      <c r="J168" s="102"/>
      <c r="K168" s="103"/>
      <c r="L168" s="113"/>
      <c r="M168" s="102"/>
      <c r="N168" s="102"/>
      <c r="O168" s="103"/>
      <c r="P168" s="102"/>
      <c r="Q168" s="39">
        <f t="shared" si="18"/>
        <v>0</v>
      </c>
      <c r="R168" s="39">
        <f t="shared" si="19"/>
        <v>0</v>
      </c>
      <c r="S168" s="47"/>
      <c r="U168" s="47"/>
      <c r="V168" s="47"/>
      <c r="W168" s="47"/>
      <c r="X168" s="47"/>
      <c r="Y168" s="47"/>
      <c r="Z168" s="47"/>
      <c r="AA168" s="47"/>
      <c r="AB168" s="47"/>
      <c r="AC168" s="47"/>
      <c r="AD168" s="47"/>
      <c r="AE168" s="47"/>
      <c r="AF168" s="47"/>
      <c r="AG168" s="47"/>
      <c r="AH168" s="47"/>
      <c r="AI168" s="47"/>
      <c r="AJ168" s="47"/>
      <c r="AK168" s="47"/>
      <c r="AL168" s="47"/>
      <c r="AM168" s="47"/>
      <c r="AN168" s="47"/>
      <c r="AO168" s="47"/>
    </row>
    <row r="169" spans="1:41" ht="15.75" customHeight="1">
      <c r="A169" s="40" t="s">
        <v>425</v>
      </c>
      <c r="B169" s="197">
        <f>(' Pivot Table for Data Exchange'!$G$151)*100</f>
        <v>95.24017576298952</v>
      </c>
      <c r="C169" s="197">
        <f>(' Pivot Table for Data Exchange'!$G$154)*100</f>
        <v>1.6277385979477466</v>
      </c>
      <c r="D169" s="113">
        <f>SUM(E169:G169)</f>
        <v>3.125001482605042</v>
      </c>
      <c r="E169" s="197">
        <f>(' Pivot Table for Data Exchange'!$G$157)*100</f>
        <v>2.624049186516717</v>
      </c>
      <c r="F169" s="197">
        <f>(' Pivot Table for Data Exchange'!$G$160)*100</f>
        <v>0.47710122442258296</v>
      </c>
      <c r="G169" s="203">
        <f>(' Pivot Table for Data Exchange'!$G$163)*100</f>
        <v>0.02385107166574202</v>
      </c>
      <c r="H169" s="200">
        <f>(' Pivot Table for Data Exchange'!$G$166)*100</f>
        <v>0.0070841564576819656</v>
      </c>
      <c r="I169" s="40" t="s">
        <v>425</v>
      </c>
      <c r="J169" s="197">
        <f>(' Pivot Table for Data Exchange'!$G$169)*100</f>
        <v>83.1655536728795</v>
      </c>
      <c r="K169" s="197">
        <f>(' Pivot Table for Data Exchange'!$G$172)*100</f>
        <v>10.595036379946178</v>
      </c>
      <c r="L169" s="113">
        <f>SUM(M169:O169)</f>
        <v>6.197548091298714</v>
      </c>
      <c r="M169" s="197">
        <f>(' Pivot Table for Data Exchange'!$G$175)*100</f>
        <v>5.966311173128675</v>
      </c>
      <c r="N169" s="197">
        <f>(' Pivot Table for Data Exchange'!$G$178)*100</f>
        <v>0.12757898933519385</v>
      </c>
      <c r="O169" s="199">
        <f>(' Pivot Table for Data Exchange'!$G$181)*100</f>
        <v>0.10365792883484501</v>
      </c>
      <c r="P169" s="205">
        <f>(' Pivot Table for Data Exchange'!$G$184)*100</f>
        <v>0.04186185587561048</v>
      </c>
      <c r="Q169" s="39">
        <f t="shared" si="18"/>
        <v>99.99999999999999</v>
      </c>
      <c r="R169" s="39">
        <f t="shared" si="19"/>
        <v>100</v>
      </c>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row>
    <row r="170" spans="1:41" ht="15.75" customHeight="1">
      <c r="A170" s="40" t="s">
        <v>426</v>
      </c>
      <c r="B170" s="197">
        <f>(' Pivot Table for Data Exchange'!$G$187)*100</f>
        <v>93.34005146569254</v>
      </c>
      <c r="C170" s="197">
        <f>(' Pivot Table for Data Exchange'!$G$190)*100</f>
        <v>0.07018048982382898</v>
      </c>
      <c r="D170" s="113">
        <f>SUM(E170:G170)</f>
        <v>6.589768044483634</v>
      </c>
      <c r="E170" s="197">
        <f>(' Pivot Table for Data Exchange'!$G$193)*100</f>
        <v>4.714689316370049</v>
      </c>
      <c r="F170" s="197">
        <f>(' Pivot Table for Data Exchange'!$G$196)*100</f>
        <v>0.4210829389429739</v>
      </c>
      <c r="G170" s="199">
        <f>(' Pivot Table for Data Exchange'!$G$199)*100</f>
        <v>1.4539957891706106</v>
      </c>
      <c r="H170" s="197">
        <f>(' Pivot Table for Data Exchange'!$G$202)*100</f>
        <v>0</v>
      </c>
      <c r="I170" s="40" t="s">
        <v>426</v>
      </c>
      <c r="J170" s="197">
        <f>(' Pivot Table for Data Exchange'!$G$205)*100</f>
        <v>95.67515617491591</v>
      </c>
      <c r="K170" s="197">
        <f>(' Pivot Table for Data Exchange'!$G$208)*100</f>
        <v>0</v>
      </c>
      <c r="L170" s="113">
        <f>SUM(M170:O170)</f>
        <v>4.324843825084095</v>
      </c>
      <c r="M170" s="197">
        <f>(' Pivot Table for Data Exchange'!$G$211)*100</f>
        <v>4.084574723690534</v>
      </c>
      <c r="N170" s="197">
        <f>(' Pivot Table for Data Exchange'!$G$214)*100</f>
        <v>0.14416146083613646</v>
      </c>
      <c r="O170" s="199">
        <f>(' Pivot Table for Data Exchange'!$G$217)*100</f>
        <v>0.09610764055742432</v>
      </c>
      <c r="P170" s="197">
        <f>(' Pivot Table for Data Exchange'!$G$220)*100</f>
        <v>0</v>
      </c>
      <c r="Q170" s="39">
        <f t="shared" si="18"/>
        <v>100</v>
      </c>
      <c r="R170" s="39">
        <f t="shared" si="19"/>
        <v>100</v>
      </c>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row>
    <row r="171" spans="1:41" ht="15.75" customHeight="1">
      <c r="A171" s="40" t="s">
        <v>427</v>
      </c>
      <c r="B171" s="197">
        <f>(' Pivot Table for Data Exchange'!$G$223)*100</f>
        <v>97.51030147139701</v>
      </c>
      <c r="C171" s="197">
        <f>(' Pivot Table for Data Exchange'!$G$226)*100</f>
        <v>0</v>
      </c>
      <c r="D171" s="113">
        <f>SUM(E171:G171)</f>
        <v>2.4896985286029767</v>
      </c>
      <c r="E171" s="197">
        <f>(' Pivot Table for Data Exchange'!$G$229)*100</f>
        <v>2.378011117974058</v>
      </c>
      <c r="F171" s="200">
        <f>(' Pivot Table for Data Exchange'!$G$232)*100</f>
        <v>0.07995803260933944</v>
      </c>
      <c r="G171" s="199">
        <f>(' Pivot Table for Data Exchange'!$G$235)*100</f>
        <v>0.03172937801957914</v>
      </c>
      <c r="H171" s="197">
        <f>(' Pivot Table for Data Exchange'!$G$238)*100</f>
        <v>0</v>
      </c>
      <c r="I171" s="40" t="s">
        <v>427</v>
      </c>
      <c r="J171" s="197">
        <f>(' Pivot Table for Data Exchange'!$G$241)*100</f>
        <v>98.79342504080205</v>
      </c>
      <c r="K171" s="197">
        <f>(' Pivot Table for Data Exchange'!$G$244)*100</f>
        <v>0</v>
      </c>
      <c r="L171" s="113">
        <f>SUM(M171:O171)</f>
        <v>1.2065749591979482</v>
      </c>
      <c r="M171" s="197">
        <f>(' Pivot Table for Data Exchange'!$G$247)*100</f>
        <v>1.2065749591979482</v>
      </c>
      <c r="N171" s="197">
        <f>(' Pivot Table for Data Exchange'!$G$250)*100</f>
        <v>0</v>
      </c>
      <c r="O171" s="199">
        <f>(' Pivot Table for Data Exchange'!$G$253)*100</f>
        <v>0</v>
      </c>
      <c r="P171" s="197">
        <f>(' Pivot Table for Data Exchange'!$G$256)*100</f>
        <v>0</v>
      </c>
      <c r="Q171" s="39">
        <f t="shared" si="18"/>
        <v>99.99999999999999</v>
      </c>
      <c r="R171" s="39">
        <f t="shared" si="19"/>
        <v>100</v>
      </c>
      <c r="S171" s="47"/>
      <c r="T171" s="59"/>
      <c r="U171" s="47"/>
      <c r="V171" s="47"/>
      <c r="W171" s="47"/>
      <c r="X171" s="47"/>
      <c r="Y171" s="47"/>
      <c r="Z171" s="47"/>
      <c r="AA171" s="47"/>
      <c r="AB171" s="47"/>
      <c r="AC171" s="47"/>
      <c r="AD171" s="47"/>
      <c r="AE171" s="47"/>
      <c r="AF171" s="47"/>
      <c r="AG171" s="47"/>
      <c r="AH171" s="47"/>
      <c r="AI171" s="47"/>
      <c r="AJ171" s="47"/>
      <c r="AK171" s="47"/>
      <c r="AL171" s="47"/>
      <c r="AM171" s="47"/>
      <c r="AN171" s="47"/>
      <c r="AO171" s="47"/>
    </row>
    <row r="172" spans="1:41" ht="15.75" customHeight="1">
      <c r="A172" s="40" t="s">
        <v>428</v>
      </c>
      <c r="B172" s="197">
        <f>(' Pivot Table for Data Exchange'!$G$259)*100</f>
        <v>97.62349366148993</v>
      </c>
      <c r="C172" s="197">
        <f>(' Pivot Table for Data Exchange'!$G$262)*100</f>
        <v>0</v>
      </c>
      <c r="D172" s="113">
        <f>SUM(E172:G172)</f>
        <v>2.3765063385100733</v>
      </c>
      <c r="E172" s="197">
        <f>(' Pivot Table for Data Exchange'!$G$265)*100</f>
        <v>2.3765063385100733</v>
      </c>
      <c r="F172" s="197">
        <f>(' Pivot Table for Data Exchange'!$G$268)*100</f>
        <v>0</v>
      </c>
      <c r="G172" s="199">
        <f>(' Pivot Table for Data Exchange'!$G$271)*100</f>
        <v>0</v>
      </c>
      <c r="H172" s="197">
        <f>(' Pivot Table for Data Exchange'!$G$274)*100</f>
        <v>0</v>
      </c>
      <c r="I172" s="40" t="s">
        <v>428</v>
      </c>
      <c r="J172" s="197">
        <f>(' Pivot Table for Data Exchange'!$G$277)*100</f>
        <v>68.98994046397043</v>
      </c>
      <c r="K172" s="197">
        <f>(' Pivot Table for Data Exchange'!$G$280)*100</f>
        <v>31.010059536029562</v>
      </c>
      <c r="L172" s="113">
        <f>SUM(M172:O172)</f>
        <v>0</v>
      </c>
      <c r="M172" s="197">
        <f>(' Pivot Table for Data Exchange'!$G$283)*100</f>
        <v>0</v>
      </c>
      <c r="N172" s="197">
        <f>(' Pivot Table for Data Exchange'!$G$286)*100</f>
        <v>0</v>
      </c>
      <c r="O172" s="199">
        <f>(' Pivot Table for Data Exchange'!$G$289)*100</f>
        <v>0</v>
      </c>
      <c r="P172" s="197">
        <f>(' Pivot Table for Data Exchange'!$G$292)*100</f>
        <v>0</v>
      </c>
      <c r="Q172" s="39">
        <f t="shared" si="18"/>
        <v>100</v>
      </c>
      <c r="R172" s="39">
        <f t="shared" si="19"/>
        <v>99.99999999999999</v>
      </c>
      <c r="S172" s="47"/>
      <c r="U172" s="47"/>
      <c r="V172" s="47"/>
      <c r="W172" s="47"/>
      <c r="X172" s="47"/>
      <c r="Y172" s="47"/>
      <c r="Z172" s="47"/>
      <c r="AA172" s="47"/>
      <c r="AB172" s="47"/>
      <c r="AC172" s="47"/>
      <c r="AD172" s="47"/>
      <c r="AE172" s="47"/>
      <c r="AF172" s="47"/>
      <c r="AG172" s="47"/>
      <c r="AH172" s="47"/>
      <c r="AI172" s="47"/>
      <c r="AJ172" s="47"/>
      <c r="AK172" s="47"/>
      <c r="AL172" s="47"/>
      <c r="AM172" s="47"/>
      <c r="AN172" s="47"/>
      <c r="AO172" s="47"/>
    </row>
    <row r="173" spans="1:41" ht="11.25" customHeight="1">
      <c r="A173" s="40"/>
      <c r="B173" s="102"/>
      <c r="C173" s="103"/>
      <c r="D173" s="113"/>
      <c r="E173" s="102"/>
      <c r="F173" s="102"/>
      <c r="G173" s="103"/>
      <c r="H173" s="102"/>
      <c r="I173" s="40"/>
      <c r="J173" s="102"/>
      <c r="K173" s="103"/>
      <c r="L173" s="113"/>
      <c r="M173" s="102"/>
      <c r="N173" s="102"/>
      <c r="O173" s="103"/>
      <c r="P173" s="102"/>
      <c r="Q173" s="39">
        <f t="shared" si="18"/>
        <v>0</v>
      </c>
      <c r="R173" s="39">
        <f t="shared" si="19"/>
        <v>0</v>
      </c>
      <c r="S173" s="47"/>
      <c r="U173" s="47"/>
      <c r="V173" s="47"/>
      <c r="W173" s="47"/>
      <c r="X173" s="47"/>
      <c r="Y173" s="47"/>
      <c r="Z173" s="47"/>
      <c r="AA173" s="47"/>
      <c r="AB173" s="47"/>
      <c r="AC173" s="47"/>
      <c r="AD173" s="47"/>
      <c r="AE173" s="47"/>
      <c r="AF173" s="47"/>
      <c r="AG173" s="47"/>
      <c r="AH173" s="47"/>
      <c r="AI173" s="47"/>
      <c r="AJ173" s="47"/>
      <c r="AK173" s="47"/>
      <c r="AL173" s="47"/>
      <c r="AM173" s="47"/>
      <c r="AN173" s="47"/>
      <c r="AO173" s="47"/>
    </row>
    <row r="174" spans="1:41" ht="15.75" customHeight="1">
      <c r="A174" s="40" t="s">
        <v>122</v>
      </c>
      <c r="B174" s="197">
        <f>(' Pivot Table for Data Exchange'!$G$295)*100</f>
        <v>93.79428276012911</v>
      </c>
      <c r="C174" s="197">
        <f>(' Pivot Table for Data Exchange'!$G$298)*100</f>
        <v>3.9489120276781744</v>
      </c>
      <c r="D174" s="113">
        <f>SUM(E174:G174)</f>
        <v>1.6238392863060638</v>
      </c>
      <c r="E174" s="197">
        <f>(' Pivot Table for Data Exchange'!$G$301)*100</f>
        <v>1.270571392591316</v>
      </c>
      <c r="F174" s="197">
        <f>(' Pivot Table for Data Exchange'!$G$304)*100</f>
        <v>0</v>
      </c>
      <c r="G174" s="199">
        <f>(' Pivot Table for Data Exchange'!$G$307)*100</f>
        <v>0.35326789371474776</v>
      </c>
      <c r="H174" s="197">
        <f>(' Pivot Table for Data Exchange'!$G$310)*100</f>
        <v>0.6329659258866493</v>
      </c>
      <c r="I174" s="40" t="s">
        <v>122</v>
      </c>
      <c r="J174" s="197">
        <f>(' Pivot Table for Data Exchange'!$G$313)*100</f>
        <v>69.64769647696477</v>
      </c>
      <c r="K174" s="197">
        <f>(' Pivot Table for Data Exchange'!$G$316)*100</f>
        <v>27.018970189701896</v>
      </c>
      <c r="L174" s="113">
        <f>SUM(M174:O174)</f>
        <v>3.3333333333333335</v>
      </c>
      <c r="M174" s="197">
        <f>(' Pivot Table for Data Exchange'!$G$319)*100</f>
        <v>1.4905149051490514</v>
      </c>
      <c r="N174" s="197">
        <f>(' Pivot Table for Data Exchange'!$G$322)*100</f>
        <v>0</v>
      </c>
      <c r="O174" s="199">
        <f>(' Pivot Table for Data Exchange'!$G$325)*100</f>
        <v>1.842818428184282</v>
      </c>
      <c r="P174" s="197">
        <f>(' Pivot Table for Data Exchange'!$G$328)*100</f>
        <v>0</v>
      </c>
      <c r="Q174" s="39">
        <f t="shared" si="18"/>
        <v>100</v>
      </c>
      <c r="R174" s="39">
        <f t="shared" si="19"/>
        <v>99.99999999999999</v>
      </c>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row>
    <row r="175" spans="1:41" ht="15.75" customHeight="1">
      <c r="A175" s="40" t="s">
        <v>130</v>
      </c>
      <c r="B175" s="197">
        <f>(' Pivot Table for Data Exchange'!$G$331)*100</f>
        <v>87.02186111305674</v>
      </c>
      <c r="C175" s="197">
        <f>(' Pivot Table for Data Exchange'!$G$334)*100</f>
        <v>2.944129252177161</v>
      </c>
      <c r="D175" s="113">
        <f>SUM(E175:G175)</f>
        <v>10.034009634766097</v>
      </c>
      <c r="E175" s="197">
        <f>(' Pivot Table for Data Exchange'!$G$337)*100</f>
        <v>9.944510595907948</v>
      </c>
      <c r="F175" s="197">
        <f>(' Pivot Table for Data Exchange'!$G$340)*100</f>
        <v>0.08949903885814792</v>
      </c>
      <c r="G175" s="199">
        <f>(' Pivot Table for Data Exchange'!$G$343)*100</f>
        <v>0</v>
      </c>
      <c r="H175" s="197">
        <f>(' Pivot Table for Data Exchange'!$G$346)*100</f>
        <v>0</v>
      </c>
      <c r="I175" s="40" t="s">
        <v>130</v>
      </c>
      <c r="J175" s="197">
        <f>(' Pivot Table for Data Exchange'!$G$349)*100</f>
        <v>57.13986380303824</v>
      </c>
      <c r="K175" s="197">
        <f>(' Pivot Table for Data Exchange'!$G$352)*100</f>
        <v>14.29020429544264</v>
      </c>
      <c r="L175" s="113">
        <f>SUM(M175:O175)</f>
        <v>28.56993190151912</v>
      </c>
      <c r="M175" s="197">
        <f>(' Pivot Table for Data Exchange'!$G$355)*100</f>
        <v>28.56993190151912</v>
      </c>
      <c r="N175" s="197">
        <f>(' Pivot Table for Data Exchange'!$G$358)*100</f>
        <v>0</v>
      </c>
      <c r="O175" s="199">
        <f>(' Pivot Table for Data Exchange'!$G$361)*100</f>
        <v>0</v>
      </c>
      <c r="P175" s="197">
        <f>(' Pivot Table for Data Exchange'!$G$364)*100</f>
        <v>0</v>
      </c>
      <c r="Q175" s="39">
        <f t="shared" si="18"/>
        <v>100</v>
      </c>
      <c r="R175" s="39">
        <f t="shared" si="19"/>
        <v>100</v>
      </c>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row>
    <row r="176" spans="1:41" ht="15.75" customHeight="1">
      <c r="A176" s="40" t="s">
        <v>123</v>
      </c>
      <c r="B176" s="197">
        <f>(' Pivot Table for Data Exchange'!$G$367)*100</f>
        <v>90.11068939293514</v>
      </c>
      <c r="C176" s="197">
        <f>(' Pivot Table for Data Exchange'!$G$370)*100</f>
        <v>0.1269805831339087</v>
      </c>
      <c r="D176" s="113">
        <f>SUM(E176:G176)</f>
        <v>9.762330023930955</v>
      </c>
      <c r="E176" s="197">
        <f>(' Pivot Table for Data Exchange'!$G$373)*100</f>
        <v>4.098786707505111</v>
      </c>
      <c r="F176" s="197">
        <f>(' Pivot Table for Data Exchange'!$G$376)*100</f>
        <v>4.244256221699725</v>
      </c>
      <c r="G176" s="199">
        <f>(' Pivot Table for Data Exchange'!$G$379)*100</f>
        <v>1.4192870947261196</v>
      </c>
      <c r="H176" s="197">
        <f>(' Pivot Table for Data Exchange'!$G$382)*100</f>
        <v>0</v>
      </c>
      <c r="I176" s="40" t="s">
        <v>123</v>
      </c>
      <c r="J176" s="197">
        <f>(' Pivot Table for Data Exchange'!$G$385)*100</f>
        <v>87.55925625721514</v>
      </c>
      <c r="K176" s="197">
        <f>(' Pivot Table for Data Exchange'!$G$388)*100</f>
        <v>0.6607226193107852</v>
      </c>
      <c r="L176" s="113">
        <f>SUM(M176:O176)</f>
        <v>11.780021123474075</v>
      </c>
      <c r="M176" s="197">
        <f>(' Pivot Table for Data Exchange'!$G$391)*100</f>
        <v>4.153464495370029</v>
      </c>
      <c r="N176" s="197">
        <f>(' Pivot Table for Data Exchange'!$G$394)*100</f>
        <v>6.533539655638249</v>
      </c>
      <c r="O176" s="199">
        <f>(' Pivot Table for Data Exchange'!$G$397)*100</f>
        <v>1.0930169724657972</v>
      </c>
      <c r="P176" s="197">
        <f>(' Pivot Table for Data Exchange'!$G$400)*100</f>
        <v>0</v>
      </c>
      <c r="Q176" s="39">
        <f t="shared" si="18"/>
        <v>100.00000000000001</v>
      </c>
      <c r="R176" s="39">
        <f t="shared" si="19"/>
        <v>100</v>
      </c>
      <c r="S176" s="47"/>
      <c r="T176" s="59"/>
      <c r="U176" s="47"/>
      <c r="V176" s="47"/>
      <c r="W176" s="47"/>
      <c r="X176" s="47"/>
      <c r="Y176" s="47"/>
      <c r="Z176" s="47"/>
      <c r="AA176" s="47"/>
      <c r="AB176" s="47"/>
      <c r="AC176" s="47"/>
      <c r="AD176" s="47"/>
      <c r="AE176" s="47"/>
      <c r="AF176" s="47"/>
      <c r="AG176" s="47"/>
      <c r="AH176" s="47"/>
      <c r="AI176" s="47"/>
      <c r="AJ176" s="47"/>
      <c r="AK176" s="47"/>
      <c r="AL176" s="47"/>
      <c r="AM176" s="47"/>
      <c r="AN176" s="47"/>
      <c r="AO176" s="47"/>
    </row>
    <row r="177" spans="1:41" ht="15.75" customHeight="1">
      <c r="A177" s="40" t="s">
        <v>429</v>
      </c>
      <c r="B177" s="197"/>
      <c r="C177" s="197"/>
      <c r="D177" s="113"/>
      <c r="E177" s="197"/>
      <c r="F177" s="197"/>
      <c r="G177" s="199"/>
      <c r="H177" s="197"/>
      <c r="I177" s="40" t="s">
        <v>429</v>
      </c>
      <c r="J177" s="197"/>
      <c r="K177" s="197"/>
      <c r="L177" s="113"/>
      <c r="M177" s="197"/>
      <c r="N177" s="197"/>
      <c r="O177" s="199"/>
      <c r="P177" s="197"/>
      <c r="Q177" s="39">
        <f aca="true" t="shared" si="20" ref="Q177:Q182">SUM(B177,C177,D177,H177)</f>
        <v>0</v>
      </c>
      <c r="R177" s="39">
        <f aca="true" t="shared" si="21" ref="R177:R182">SUM(J177,K177,L177,P177)</f>
        <v>0</v>
      </c>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row>
    <row r="178" spans="1:41" ht="11.25" customHeight="1">
      <c r="A178" s="40"/>
      <c r="B178" s="197"/>
      <c r="C178" s="197"/>
      <c r="D178" s="113"/>
      <c r="E178" s="197"/>
      <c r="F178" s="197"/>
      <c r="G178" s="199"/>
      <c r="H178" s="197"/>
      <c r="I178" s="40"/>
      <c r="J178" s="197"/>
      <c r="K178" s="197"/>
      <c r="L178" s="113"/>
      <c r="M178" s="197"/>
      <c r="N178" s="197"/>
      <c r="O178" s="199"/>
      <c r="P178" s="197"/>
      <c r="Q178" s="39"/>
      <c r="R178" s="39"/>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row>
    <row r="179" spans="1:41" ht="15.75" customHeight="1">
      <c r="A179" s="40" t="s">
        <v>430</v>
      </c>
      <c r="B179" s="197"/>
      <c r="C179" s="197"/>
      <c r="D179" s="113"/>
      <c r="E179" s="197"/>
      <c r="F179" s="197"/>
      <c r="G179" s="199"/>
      <c r="H179" s="197"/>
      <c r="I179" s="40" t="s">
        <v>430</v>
      </c>
      <c r="J179" s="197"/>
      <c r="K179" s="197"/>
      <c r="L179" s="113"/>
      <c r="M179" s="197"/>
      <c r="N179" s="197"/>
      <c r="O179" s="199"/>
      <c r="P179" s="197"/>
      <c r="Q179" s="39">
        <f t="shared" si="20"/>
        <v>0</v>
      </c>
      <c r="R179" s="39">
        <f t="shared" si="21"/>
        <v>0</v>
      </c>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row>
    <row r="180" spans="1:41" ht="15.75" customHeight="1">
      <c r="A180" s="40" t="s">
        <v>229</v>
      </c>
      <c r="B180" s="197">
        <f>(' Pivot Table for Data Exchange'!$G$403)*100</f>
        <v>56.10203323739671</v>
      </c>
      <c r="C180" s="197">
        <f>(' Pivot Table for Data Exchange'!$G$406)*100</f>
        <v>10.395970661962679</v>
      </c>
      <c r="D180" s="113">
        <f>SUM(E180:G180)</f>
        <v>33.5019961006406</v>
      </c>
      <c r="E180" s="197">
        <f>(' Pivot Table for Data Exchange'!$G$409)*100</f>
        <v>30.10630396434871</v>
      </c>
      <c r="F180" s="197">
        <f>(' Pivot Table for Data Exchange'!$G$412)*100</f>
        <v>3.3956921362918946</v>
      </c>
      <c r="G180" s="199">
        <f>(' Pivot Table for Data Exchange'!$G$415)*100</f>
        <v>0</v>
      </c>
      <c r="H180" s="197">
        <f>(' Pivot Table for Data Exchange'!$G$418)*100</f>
        <v>0</v>
      </c>
      <c r="I180" s="40" t="s">
        <v>229</v>
      </c>
      <c r="J180" s="197">
        <f>(' Pivot Table for Data Exchange'!$G$421)*100</f>
        <v>23.02957312993443</v>
      </c>
      <c r="K180" s="197">
        <f>(' Pivot Table for Data Exchange'!$G$424)*100</f>
        <v>21.58437040010705</v>
      </c>
      <c r="L180" s="113">
        <f>SUM(M180:O180)</f>
        <v>55.38605646995852</v>
      </c>
      <c r="M180" s="197">
        <f>(' Pivot Table for Data Exchange'!$G$427)*100</f>
        <v>51.813194165663056</v>
      </c>
      <c r="N180" s="197">
        <f>(' Pivot Table for Data Exchange'!$G$430)*100</f>
        <v>3.5728623042954633</v>
      </c>
      <c r="O180" s="199">
        <f>(' Pivot Table for Data Exchange'!$G$433)*100</f>
        <v>0</v>
      </c>
      <c r="P180" s="197">
        <f>(' Pivot Table for Data Exchange'!$G$436)*100</f>
        <v>0</v>
      </c>
      <c r="Q180" s="39">
        <f t="shared" si="20"/>
        <v>100</v>
      </c>
      <c r="R180" s="39">
        <f t="shared" si="21"/>
        <v>100</v>
      </c>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row>
    <row r="181" spans="1:41" ht="15.75" customHeight="1">
      <c r="A181" s="40" t="s">
        <v>431</v>
      </c>
      <c r="B181" s="197">
        <f>(' Pivot Table for Data Exchange'!$G$511)*100</f>
        <v>0</v>
      </c>
      <c r="C181" s="197">
        <f>(' Pivot Table for Data Exchange'!$G$514)*100</f>
        <v>0</v>
      </c>
      <c r="D181" s="113">
        <f>SUM(E181:G181)</f>
        <v>0</v>
      </c>
      <c r="E181" s="197">
        <f>(' Pivot Table for Data Exchange'!$G$517)*100</f>
        <v>0</v>
      </c>
      <c r="F181" s="197">
        <f>(' Pivot Table for Data Exchange'!$G$520)*100</f>
        <v>0</v>
      </c>
      <c r="G181" s="199">
        <f>(' Pivot Table for Data Exchange'!$G$523)*100</f>
        <v>0</v>
      </c>
      <c r="H181" s="197">
        <f>(' Pivot Table for Data Exchange'!$G$526)*100</f>
        <v>0</v>
      </c>
      <c r="I181" s="40" t="s">
        <v>431</v>
      </c>
      <c r="J181" s="197">
        <f>(' Pivot Table for Data Exchange'!$G$529)*100</f>
        <v>0</v>
      </c>
      <c r="K181" s="197">
        <f>(' Pivot Table for Data Exchange'!$G$532)*100</f>
        <v>0</v>
      </c>
      <c r="L181" s="113">
        <f>SUM(M181:O181)</f>
        <v>0</v>
      </c>
      <c r="M181" s="197">
        <f>(' Pivot Table for Data Exchange'!$G$535)*100</f>
        <v>0</v>
      </c>
      <c r="N181" s="197">
        <f>(' Pivot Table for Data Exchange'!$G$538)*100</f>
        <v>0</v>
      </c>
      <c r="O181" s="199">
        <f>(' Pivot Table for Data Exchange'!$G$541)*100</f>
        <v>0</v>
      </c>
      <c r="P181" s="197">
        <f>(' Pivot Table for Data Exchange'!$G$544)*100</f>
        <v>0</v>
      </c>
      <c r="Q181" s="39">
        <f t="shared" si="20"/>
        <v>0</v>
      </c>
      <c r="R181" s="39">
        <f t="shared" si="21"/>
        <v>0</v>
      </c>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row>
    <row r="182" spans="1:41" ht="15.75" customHeight="1">
      <c r="A182" s="34" t="s">
        <v>124</v>
      </c>
      <c r="B182" s="201">
        <f>(' Pivot Table for Data Exchange'!$G$439)*100</f>
        <v>0</v>
      </c>
      <c r="C182" s="201">
        <f>(' Pivot Table for Data Exchange'!$G$442)*100</f>
        <v>0</v>
      </c>
      <c r="D182" s="114">
        <f>SUM(E182:G182)</f>
        <v>0</v>
      </c>
      <c r="E182" s="201">
        <f>(' Pivot Table for Data Exchange'!$G$445)*100</f>
        <v>0</v>
      </c>
      <c r="F182" s="201">
        <f>(' Pivot Table for Data Exchange'!$G$448)*100</f>
        <v>0</v>
      </c>
      <c r="G182" s="202">
        <f>(' Pivot Table for Data Exchange'!$G$451)*100</f>
        <v>0</v>
      </c>
      <c r="H182" s="201">
        <f>(' Pivot Table for Data Exchange'!$G$454)*100</f>
        <v>0</v>
      </c>
      <c r="I182" s="34" t="s">
        <v>124</v>
      </c>
      <c r="J182" s="201">
        <f>(' Pivot Table for Data Exchange'!$G$457)*100</f>
        <v>0</v>
      </c>
      <c r="K182" s="201">
        <f>(' Pivot Table for Data Exchange'!$G$460)*100</f>
        <v>0</v>
      </c>
      <c r="L182" s="114">
        <f>SUM(M182:O182)</f>
        <v>0</v>
      </c>
      <c r="M182" s="201">
        <f>(' Pivot Table for Data Exchange'!$G$463)*100</f>
        <v>0</v>
      </c>
      <c r="N182" s="201">
        <f>(' Pivot Table for Data Exchange'!$G$466)*100</f>
        <v>0</v>
      </c>
      <c r="O182" s="202">
        <f>(' Pivot Table for Data Exchange'!$G$469)*100</f>
        <v>0</v>
      </c>
      <c r="P182" s="201">
        <f>(' Pivot Table for Data Exchange'!$G$472)*100</f>
        <v>0</v>
      </c>
      <c r="Q182" s="39">
        <f t="shared" si="20"/>
        <v>0</v>
      </c>
      <c r="R182" s="39">
        <f t="shared" si="21"/>
        <v>0</v>
      </c>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row>
    <row r="183" spans="1:41" s="64" customFormat="1" ht="18" customHeight="1">
      <c r="A183" s="115" t="s">
        <v>477</v>
      </c>
      <c r="B183" s="68"/>
      <c r="C183" s="68"/>
      <c r="D183" s="69"/>
      <c r="E183" s="68"/>
      <c r="F183" s="69"/>
      <c r="G183" s="69"/>
      <c r="H183" s="68"/>
      <c r="I183" s="115" t="s">
        <v>477</v>
      </c>
      <c r="J183" s="68"/>
      <c r="K183" s="68"/>
      <c r="L183" s="69"/>
      <c r="M183" s="68"/>
      <c r="N183" s="69"/>
      <c r="O183" s="69"/>
      <c r="P183" s="68"/>
      <c r="Q183" s="68"/>
      <c r="R183" s="68"/>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row>
    <row r="184" spans="1:41" s="64" customFormat="1" ht="25.5" customHeight="1">
      <c r="A184" s="677" t="s">
        <v>746</v>
      </c>
      <c r="B184" s="689"/>
      <c r="C184" s="689"/>
      <c r="D184" s="689"/>
      <c r="E184" s="689"/>
      <c r="F184" s="689"/>
      <c r="G184" s="689"/>
      <c r="H184" s="689"/>
      <c r="I184" s="677" t="s">
        <v>746</v>
      </c>
      <c r="J184" s="689"/>
      <c r="K184" s="689"/>
      <c r="L184" s="689"/>
      <c r="M184" s="689"/>
      <c r="N184" s="689"/>
      <c r="O184" s="689"/>
      <c r="P184" s="689"/>
      <c r="Q184" s="68"/>
      <c r="R184" s="68"/>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row>
    <row r="185" spans="1:41" s="64" customFormat="1" ht="16.5" customHeight="1">
      <c r="A185" s="565"/>
      <c r="B185" s="564"/>
      <c r="C185" s="564"/>
      <c r="D185" s="564"/>
      <c r="E185" s="564"/>
      <c r="F185" s="564"/>
      <c r="G185" s="564"/>
      <c r="H185" s="564"/>
      <c r="I185" s="565"/>
      <c r="J185" s="564"/>
      <c r="K185" s="564"/>
      <c r="L185" s="564"/>
      <c r="M185" s="564"/>
      <c r="N185" s="564"/>
      <c r="O185" s="564"/>
      <c r="P185" s="564"/>
      <c r="Q185" s="68"/>
      <c r="R185" s="68"/>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row>
    <row r="186" spans="1:18" s="64" customFormat="1" ht="13.5" customHeight="1">
      <c r="A186" s="115"/>
      <c r="B186" s="63"/>
      <c r="H186" s="559" t="s">
        <v>726</v>
      </c>
      <c r="I186" s="115"/>
      <c r="P186" s="559" t="s">
        <v>726</v>
      </c>
      <c r="Q186" s="66"/>
      <c r="R186" s="67"/>
    </row>
    <row r="187" spans="1:18" ht="18">
      <c r="A187" s="31" t="s">
        <v>447</v>
      </c>
      <c r="B187" s="32"/>
      <c r="C187" s="32"/>
      <c r="D187" s="32"/>
      <c r="E187" s="32"/>
      <c r="F187" s="32"/>
      <c r="G187" s="32"/>
      <c r="H187" s="46"/>
      <c r="I187" s="31" t="s">
        <v>469</v>
      </c>
      <c r="J187" s="33"/>
      <c r="K187" s="33"/>
      <c r="L187" s="32"/>
      <c r="M187" s="33"/>
      <c r="N187" s="33"/>
      <c r="O187" s="33"/>
      <c r="P187" s="33"/>
      <c r="Q187" s="55"/>
      <c r="R187" s="56"/>
    </row>
    <row r="188" spans="1:18" ht="12.75">
      <c r="A188" s="78"/>
      <c r="B188" s="33"/>
      <c r="C188" s="33"/>
      <c r="D188" s="33"/>
      <c r="E188" s="33"/>
      <c r="F188" s="33"/>
      <c r="G188" s="33"/>
      <c r="H188" s="43"/>
      <c r="I188" s="78"/>
      <c r="J188" s="33"/>
      <c r="K188" s="33"/>
      <c r="L188" s="33"/>
      <c r="M188" s="33"/>
      <c r="N188" s="33"/>
      <c r="O188" s="33"/>
      <c r="P188" s="33"/>
      <c r="R188" s="58"/>
    </row>
    <row r="189" spans="1:18" ht="15.75">
      <c r="A189" s="42" t="s">
        <v>465</v>
      </c>
      <c r="B189" s="33"/>
      <c r="C189" s="33"/>
      <c r="D189" s="33"/>
      <c r="E189" s="33"/>
      <c r="F189" s="33"/>
      <c r="G189" s="33"/>
      <c r="H189" s="43"/>
      <c r="I189" s="42" t="s">
        <v>466</v>
      </c>
      <c r="J189" s="33"/>
      <c r="K189" s="33"/>
      <c r="L189" s="33"/>
      <c r="M189" s="33"/>
      <c r="N189" s="33"/>
      <c r="O189" s="33"/>
      <c r="P189" s="33"/>
      <c r="R189" s="58" t="s">
        <v>14</v>
      </c>
    </row>
    <row r="190" spans="1:18" ht="15.75">
      <c r="A190" s="42" t="s">
        <v>736</v>
      </c>
      <c r="B190" s="33"/>
      <c r="C190" s="33"/>
      <c r="D190" s="33"/>
      <c r="E190" s="33"/>
      <c r="F190" s="33"/>
      <c r="G190" s="33"/>
      <c r="H190" s="43"/>
      <c r="I190" s="42" t="s">
        <v>736</v>
      </c>
      <c r="J190" s="33"/>
      <c r="K190" s="33"/>
      <c r="L190" s="33"/>
      <c r="M190" s="33"/>
      <c r="N190" s="33"/>
      <c r="O190" s="33"/>
      <c r="P190" s="33"/>
      <c r="R190" s="58" t="s">
        <v>14</v>
      </c>
    </row>
    <row r="191" spans="1:16" ht="12.75">
      <c r="A191" s="34"/>
      <c r="B191" s="35"/>
      <c r="C191" s="35"/>
      <c r="D191" s="35"/>
      <c r="E191" s="35"/>
      <c r="F191" s="35"/>
      <c r="G191" s="35"/>
      <c r="H191" s="35"/>
      <c r="I191" s="36"/>
      <c r="L191" s="37"/>
      <c r="P191" s="34"/>
    </row>
    <row r="192" spans="1:18" s="90" customFormat="1" ht="12">
      <c r="A192" s="85"/>
      <c r="B192" s="86" t="s">
        <v>231</v>
      </c>
      <c r="C192" s="86"/>
      <c r="D192" s="86"/>
      <c r="E192" s="86"/>
      <c r="F192" s="86"/>
      <c r="G192" s="86"/>
      <c r="H192" s="87"/>
      <c r="I192" s="85"/>
      <c r="J192" s="86" t="s">
        <v>231</v>
      </c>
      <c r="K192" s="86"/>
      <c r="L192" s="86"/>
      <c r="M192" s="86"/>
      <c r="N192" s="86"/>
      <c r="O192" s="86"/>
      <c r="P192" s="87"/>
      <c r="Q192" s="88"/>
      <c r="R192" s="89"/>
    </row>
    <row r="193" spans="1:18" s="90" customFormat="1" ht="12">
      <c r="A193" s="85"/>
      <c r="B193" s="86" t="s">
        <v>127</v>
      </c>
      <c r="C193" s="86"/>
      <c r="D193" s="690" t="s">
        <v>472</v>
      </c>
      <c r="E193" s="691"/>
      <c r="F193" s="691"/>
      <c r="G193" s="691"/>
      <c r="H193" s="91" t="s">
        <v>14</v>
      </c>
      <c r="I193" s="85"/>
      <c r="J193" s="86" t="s">
        <v>127</v>
      </c>
      <c r="K193" s="86"/>
      <c r="L193" s="690" t="s">
        <v>472</v>
      </c>
      <c r="M193" s="691"/>
      <c r="N193" s="691"/>
      <c r="O193" s="691"/>
      <c r="P193" s="91" t="s">
        <v>14</v>
      </c>
      <c r="Q193" s="88"/>
      <c r="R193" s="89"/>
    </row>
    <row r="194" spans="1:20" s="90" customFormat="1" ht="40.5" customHeight="1">
      <c r="A194" s="85"/>
      <c r="B194" s="92" t="s">
        <v>464</v>
      </c>
      <c r="C194" s="93" t="s">
        <v>463</v>
      </c>
      <c r="D194" s="94" t="s">
        <v>470</v>
      </c>
      <c r="E194" s="95" t="s">
        <v>12</v>
      </c>
      <c r="F194" s="92" t="s">
        <v>128</v>
      </c>
      <c r="G194" s="96" t="s">
        <v>474</v>
      </c>
      <c r="H194" s="97" t="s">
        <v>473</v>
      </c>
      <c r="I194" s="85"/>
      <c r="J194" s="92" t="s">
        <v>464</v>
      </c>
      <c r="K194" s="93" t="s">
        <v>463</v>
      </c>
      <c r="L194" s="94" t="s">
        <v>470</v>
      </c>
      <c r="M194" s="95" t="s">
        <v>12</v>
      </c>
      <c r="N194" s="92" t="s">
        <v>128</v>
      </c>
      <c r="O194" s="96" t="s">
        <v>474</v>
      </c>
      <c r="P194" s="97" t="s">
        <v>473</v>
      </c>
      <c r="Q194" s="98"/>
      <c r="R194" s="99"/>
      <c r="T194" s="100"/>
    </row>
    <row r="195" spans="1:41" ht="15.75" customHeight="1">
      <c r="A195" s="41" t="s">
        <v>421</v>
      </c>
      <c r="B195" s="197">
        <f>(' Pivot Table for Data Exchange'!$H$7)*100</f>
        <v>63.12448844069001</v>
      </c>
      <c r="C195" s="197">
        <f>(' Pivot Table for Data Exchange'!$H$10)*100</f>
        <v>13.003258536284031</v>
      </c>
      <c r="D195" s="113">
        <f>SUM(E195:G195)</f>
        <v>23.872253023025962</v>
      </c>
      <c r="E195" s="197">
        <f>(' Pivot Table for Data Exchange'!$H$13)*100</f>
        <v>23.872253023025962</v>
      </c>
      <c r="F195" s="197">
        <f>(' Pivot Table for Data Exchange'!$H$16)*100</f>
        <v>0</v>
      </c>
      <c r="G195" s="198">
        <f>(' Pivot Table for Data Exchange'!$H$19)*100</f>
        <v>0</v>
      </c>
      <c r="H195" s="197">
        <f>(' Pivot Table for Data Exchange'!$H$22)*100</f>
        <v>0</v>
      </c>
      <c r="I195" s="41" t="s">
        <v>421</v>
      </c>
      <c r="J195" s="197">
        <f>(' Pivot Table for Data Exchange'!$H$25)*100</f>
        <v>0</v>
      </c>
      <c r="K195" s="197">
        <f>(' Pivot Table for Data Exchange'!$H$28)*100</f>
        <v>0</v>
      </c>
      <c r="L195" s="113">
        <f>SUM(M195:O195)</f>
        <v>0</v>
      </c>
      <c r="M195" s="197">
        <f>(' Pivot Table for Data Exchange'!$H$31)*100</f>
        <v>0</v>
      </c>
      <c r="N195" s="197">
        <f>(' Pivot Table for Data Exchange'!$H$34)*100</f>
        <v>0</v>
      </c>
      <c r="O195" s="198">
        <f>(' Pivot Table for Data Exchange'!$H$37)*100</f>
        <v>0</v>
      </c>
      <c r="P195" s="197">
        <f>(' Pivot Table for Data Exchange'!$H$40)*100</f>
        <v>0</v>
      </c>
      <c r="Q195" s="39">
        <f aca="true" t="shared" si="22" ref="Q195:Q206">SUM(B195,C195,D195,H195)</f>
        <v>100</v>
      </c>
      <c r="R195" s="39">
        <f aca="true" t="shared" si="23" ref="R195:R206">SUM(J195,K195,L195,P195)</f>
        <v>0</v>
      </c>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row>
    <row r="196" spans="1:41" ht="15.75" customHeight="1">
      <c r="A196" s="40" t="s">
        <v>422</v>
      </c>
      <c r="B196" s="197">
        <f>(' Pivot Table for Data Exchange'!$H$43)*100</f>
        <v>89.06652010581372</v>
      </c>
      <c r="C196" s="197">
        <f>(' Pivot Table for Data Exchange'!$H$46)*100</f>
        <v>5.873506709990699</v>
      </c>
      <c r="D196" s="113">
        <f>SUM(E196:G196)</f>
        <v>5.059973184195586</v>
      </c>
      <c r="E196" s="197">
        <f>(' Pivot Table for Data Exchange'!$H$49)*100</f>
        <v>2.092719871477406</v>
      </c>
      <c r="F196" s="197">
        <f>(' Pivot Table for Data Exchange'!$H$52)*100</f>
        <v>2.9672533127181806</v>
      </c>
      <c r="G196" s="199">
        <f>(' Pivot Table for Data Exchange'!$H$55)*100</f>
        <v>0</v>
      </c>
      <c r="H196" s="197">
        <f>(' Pivot Table for Data Exchange'!$H$58)*100</f>
        <v>0</v>
      </c>
      <c r="I196" s="40" t="s">
        <v>422</v>
      </c>
      <c r="J196" s="197">
        <f>(' Pivot Table for Data Exchange'!$H$61)*100</f>
        <v>57.25947521865889</v>
      </c>
      <c r="K196" s="197">
        <f>(' Pivot Table for Data Exchange'!$H$64)*100</f>
        <v>2.2157434402332363</v>
      </c>
      <c r="L196" s="113">
        <f>SUM(M196:O196)</f>
        <v>40.524781341107875</v>
      </c>
      <c r="M196" s="197">
        <f>(' Pivot Table for Data Exchange'!$H$67)*100</f>
        <v>36.501457725947525</v>
      </c>
      <c r="N196" s="197">
        <f>(' Pivot Table for Data Exchange'!$H$70)*100</f>
        <v>4.02332361516035</v>
      </c>
      <c r="O196" s="199">
        <f>(' Pivot Table for Data Exchange'!$H$73)*100</f>
        <v>0</v>
      </c>
      <c r="P196" s="197">
        <f>(' Pivot Table for Data Exchange'!$H$76)*100</f>
        <v>0</v>
      </c>
      <c r="Q196" s="39">
        <f t="shared" si="22"/>
        <v>100</v>
      </c>
      <c r="R196" s="39">
        <f t="shared" si="23"/>
        <v>100</v>
      </c>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row>
    <row r="197" spans="1:41" ht="15.75" customHeight="1">
      <c r="A197" s="40" t="s">
        <v>423</v>
      </c>
      <c r="B197" s="197">
        <f>(' Pivot Table for Data Exchange'!$H$79)*100</f>
        <v>0</v>
      </c>
      <c r="C197" s="197">
        <f>(' Pivot Table for Data Exchange'!$H$82)*100</f>
        <v>0</v>
      </c>
      <c r="D197" s="113">
        <f>SUM(E197:G197)</f>
        <v>0</v>
      </c>
      <c r="E197" s="197">
        <f>(' Pivot Table for Data Exchange'!$H$85)*100</f>
        <v>0</v>
      </c>
      <c r="F197" s="197">
        <f>(' Pivot Table for Data Exchange'!$H$88)*100</f>
        <v>0</v>
      </c>
      <c r="G197" s="199">
        <f>(' Pivot Table for Data Exchange'!$H$91)*100</f>
        <v>0</v>
      </c>
      <c r="H197" s="197">
        <f>(' Pivot Table for Data Exchange'!$H$94)*100</f>
        <v>0</v>
      </c>
      <c r="I197" s="40" t="s">
        <v>423</v>
      </c>
      <c r="J197" s="197">
        <f>(' Pivot Table for Data Exchange'!$H$97)*100</f>
        <v>0</v>
      </c>
      <c r="K197" s="197">
        <f>(' Pivot Table for Data Exchange'!$H$100)*100</f>
        <v>0</v>
      </c>
      <c r="L197" s="113">
        <f>SUM(M197:O197)</f>
        <v>0</v>
      </c>
      <c r="M197" s="197">
        <f>(' Pivot Table for Data Exchange'!$H$103)*100</f>
        <v>0</v>
      </c>
      <c r="N197" s="197">
        <f>(' Pivot Table for Data Exchange'!$H$106)*100</f>
        <v>0</v>
      </c>
      <c r="O197" s="199">
        <f>(' Pivot Table for Data Exchange'!$H$109)*100</f>
        <v>0</v>
      </c>
      <c r="P197" s="197">
        <f>(' Pivot Table for Data Exchange'!$H$112)*100</f>
        <v>0</v>
      </c>
      <c r="Q197" s="39">
        <f t="shared" si="22"/>
        <v>0</v>
      </c>
      <c r="R197" s="39">
        <f t="shared" si="23"/>
        <v>0</v>
      </c>
      <c r="S197" s="47"/>
      <c r="T197" s="59"/>
      <c r="U197" s="47"/>
      <c r="V197" s="47"/>
      <c r="W197" s="47"/>
      <c r="X197" s="47"/>
      <c r="Y197" s="47"/>
      <c r="Z197" s="47"/>
      <c r="AA197" s="47"/>
      <c r="AB197" s="47"/>
      <c r="AC197" s="47"/>
      <c r="AD197" s="47"/>
      <c r="AE197" s="47"/>
      <c r="AF197" s="47"/>
      <c r="AG197" s="47"/>
      <c r="AH197" s="47"/>
      <c r="AI197" s="47"/>
      <c r="AJ197" s="47"/>
      <c r="AK197" s="47"/>
      <c r="AL197" s="47"/>
      <c r="AM197" s="47"/>
      <c r="AN197" s="47"/>
      <c r="AO197" s="47"/>
    </row>
    <row r="198" spans="1:41" ht="15.75" customHeight="1">
      <c r="A198" s="40" t="s">
        <v>745</v>
      </c>
      <c r="B198" s="197">
        <f>(' Pivot Table for Data Exchange'!$H$115)*100</f>
        <v>100</v>
      </c>
      <c r="C198" s="197">
        <f>(' Pivot Table for Data Exchange'!$H$118)*100</f>
        <v>0</v>
      </c>
      <c r="D198" s="113">
        <f>SUM(E198:G198)</f>
        <v>0</v>
      </c>
      <c r="E198" s="197">
        <f>(' Pivot Table for Data Exchange'!$H$121)*100</f>
        <v>0</v>
      </c>
      <c r="F198" s="197">
        <f>(' Pivot Table for Data Exchange'!$H$124)*100</f>
        <v>0</v>
      </c>
      <c r="G198" s="199">
        <f>(' Pivot Table for Data Exchange'!$H$127)*100</f>
        <v>0</v>
      </c>
      <c r="H198" s="197">
        <f>(' Pivot Table for Data Exchange'!$H$130)*100</f>
        <v>0</v>
      </c>
      <c r="I198" s="40" t="s">
        <v>424</v>
      </c>
      <c r="J198" s="197">
        <f>(' Pivot Table for Data Exchange'!$H$133)*100</f>
        <v>0</v>
      </c>
      <c r="K198" s="197">
        <f>(' Pivot Table for Data Exchange'!$H$136)*100</f>
        <v>0</v>
      </c>
      <c r="L198" s="113">
        <f>SUM(M198:O198)</f>
        <v>0</v>
      </c>
      <c r="M198" s="197">
        <f>(' Pivot Table for Data Exchange'!$H$139)*100</f>
        <v>0</v>
      </c>
      <c r="N198" s="197">
        <f>(' Pivot Table for Data Exchange'!$H$142)*100</f>
        <v>0</v>
      </c>
      <c r="O198" s="199">
        <f>(' Pivot Table for Data Exchange'!$H$145)*100</f>
        <v>0</v>
      </c>
      <c r="P198" s="197">
        <f>(' Pivot Table for Data Exchange'!$H$148)*100</f>
        <v>0</v>
      </c>
      <c r="Q198" s="39">
        <f t="shared" si="22"/>
        <v>100</v>
      </c>
      <c r="R198" s="39">
        <f t="shared" si="23"/>
        <v>0</v>
      </c>
      <c r="S198" s="47"/>
      <c r="U198" s="47"/>
      <c r="V198" s="47"/>
      <c r="W198" s="47"/>
      <c r="X198" s="47"/>
      <c r="Y198" s="47"/>
      <c r="Z198" s="47"/>
      <c r="AA198" s="47"/>
      <c r="AB198" s="47"/>
      <c r="AC198" s="47"/>
      <c r="AD198" s="47"/>
      <c r="AE198" s="47"/>
      <c r="AF198" s="47"/>
      <c r="AG198" s="47"/>
      <c r="AH198" s="47"/>
      <c r="AI198" s="47"/>
      <c r="AJ198" s="47"/>
      <c r="AK198" s="47"/>
      <c r="AL198" s="47"/>
      <c r="AM198" s="47"/>
      <c r="AN198" s="47"/>
      <c r="AO198" s="47"/>
    </row>
    <row r="199" spans="1:41" ht="15.75" customHeight="1">
      <c r="A199" s="40"/>
      <c r="B199" s="102"/>
      <c r="C199" s="103"/>
      <c r="D199" s="113"/>
      <c r="E199" s="102"/>
      <c r="F199" s="102"/>
      <c r="G199" s="103"/>
      <c r="H199" s="102"/>
      <c r="I199" s="40"/>
      <c r="J199" s="102"/>
      <c r="K199" s="103"/>
      <c r="L199" s="113"/>
      <c r="M199" s="102"/>
      <c r="N199" s="102"/>
      <c r="O199" s="103"/>
      <c r="P199" s="102"/>
      <c r="Q199" s="39">
        <f t="shared" si="22"/>
        <v>0</v>
      </c>
      <c r="R199" s="39">
        <f t="shared" si="23"/>
        <v>0</v>
      </c>
      <c r="S199" s="47"/>
      <c r="U199" s="47"/>
      <c r="V199" s="47"/>
      <c r="W199" s="47"/>
      <c r="X199" s="47"/>
      <c r="Y199" s="47"/>
      <c r="Z199" s="47"/>
      <c r="AA199" s="47"/>
      <c r="AB199" s="47"/>
      <c r="AC199" s="47"/>
      <c r="AD199" s="47"/>
      <c r="AE199" s="47"/>
      <c r="AF199" s="47"/>
      <c r="AG199" s="47"/>
      <c r="AH199" s="47"/>
      <c r="AI199" s="47"/>
      <c r="AJ199" s="47"/>
      <c r="AK199" s="47"/>
      <c r="AL199" s="47"/>
      <c r="AM199" s="47"/>
      <c r="AN199" s="47"/>
      <c r="AO199" s="47"/>
    </row>
    <row r="200" spans="1:41" ht="15.75" customHeight="1">
      <c r="A200" s="40" t="s">
        <v>425</v>
      </c>
      <c r="B200" s="197">
        <f>(' Pivot Table for Data Exchange'!$H$151)*100</f>
        <v>89.39568153202516</v>
      </c>
      <c r="C200" s="197">
        <f>(' Pivot Table for Data Exchange'!$H$154)*100</f>
        <v>0</v>
      </c>
      <c r="D200" s="113">
        <f>SUM(E200:G200)</f>
        <v>10.017289853830217</v>
      </c>
      <c r="E200" s="197">
        <f>(' Pivot Table for Data Exchange'!$H$157)*100</f>
        <v>9.785859201238122</v>
      </c>
      <c r="F200" s="197">
        <f>(' Pivot Table for Data Exchange'!$H$160)*100</f>
        <v>0</v>
      </c>
      <c r="G200" s="199">
        <f>(' Pivot Table for Data Exchange'!$H$163)*100</f>
        <v>0.23143065259209503</v>
      </c>
      <c r="H200" s="197">
        <f>(' Pivot Table for Data Exchange'!$H$166)*100</f>
        <v>0.5870286141446235</v>
      </c>
      <c r="I200" s="40" t="s">
        <v>425</v>
      </c>
      <c r="J200" s="197">
        <f>(' Pivot Table for Data Exchange'!$H$169)*100</f>
        <v>0</v>
      </c>
      <c r="K200" s="197">
        <f>(' Pivot Table for Data Exchange'!$H$172)*100</f>
        <v>0</v>
      </c>
      <c r="L200" s="113">
        <f>SUM(M200:O200)</f>
        <v>0</v>
      </c>
      <c r="M200" s="197">
        <f>(' Pivot Table for Data Exchange'!$H$175)*100</f>
        <v>0</v>
      </c>
      <c r="N200" s="197">
        <f>(' Pivot Table for Data Exchange'!$H$178)*100</f>
        <v>0</v>
      </c>
      <c r="O200" s="199">
        <f>(' Pivot Table for Data Exchange'!$H$181)*100</f>
        <v>0</v>
      </c>
      <c r="P200" s="197">
        <f>(' Pivot Table for Data Exchange'!$H$184)*100</f>
        <v>0</v>
      </c>
      <c r="Q200" s="39">
        <f t="shared" si="22"/>
        <v>100.00000000000001</v>
      </c>
      <c r="R200" s="39">
        <f t="shared" si="23"/>
        <v>0</v>
      </c>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row>
    <row r="201" spans="1:41" ht="15.75" customHeight="1">
      <c r="A201" s="40" t="s">
        <v>426</v>
      </c>
      <c r="B201" s="197">
        <f>(' Pivot Table for Data Exchange'!$H$187)*100</f>
        <v>0</v>
      </c>
      <c r="C201" s="197">
        <f>(' Pivot Table for Data Exchange'!$H$190)*100</f>
        <v>0</v>
      </c>
      <c r="D201" s="113">
        <f>SUM(E201:G201)</f>
        <v>0</v>
      </c>
      <c r="E201" s="197">
        <f>(' Pivot Table for Data Exchange'!$H$193)*100</f>
        <v>0</v>
      </c>
      <c r="F201" s="197">
        <f>(' Pivot Table for Data Exchange'!$H$196)*100</f>
        <v>0</v>
      </c>
      <c r="G201" s="199">
        <f>(' Pivot Table for Data Exchange'!$H$199)*100</f>
        <v>0</v>
      </c>
      <c r="H201" s="197">
        <f>(' Pivot Table for Data Exchange'!$H$202)*100</f>
        <v>0</v>
      </c>
      <c r="I201" s="40" t="s">
        <v>426</v>
      </c>
      <c r="J201" s="197">
        <f>(' Pivot Table for Data Exchange'!$H$205)*100</f>
        <v>0</v>
      </c>
      <c r="K201" s="197">
        <f>(' Pivot Table for Data Exchange'!$H$208)*100</f>
        <v>0</v>
      </c>
      <c r="L201" s="113">
        <f>SUM(M201:O201)</f>
        <v>0</v>
      </c>
      <c r="M201" s="197">
        <f>(' Pivot Table for Data Exchange'!$H$211)*100</f>
        <v>0</v>
      </c>
      <c r="N201" s="197">
        <f>(' Pivot Table for Data Exchange'!$H$214)*100</f>
        <v>0</v>
      </c>
      <c r="O201" s="199">
        <f>(' Pivot Table for Data Exchange'!$H$217)*100</f>
        <v>0</v>
      </c>
      <c r="P201" s="197">
        <f>(' Pivot Table for Data Exchange'!$H$220)*100</f>
        <v>0</v>
      </c>
      <c r="Q201" s="39">
        <f t="shared" si="22"/>
        <v>0</v>
      </c>
      <c r="R201" s="39">
        <f t="shared" si="23"/>
        <v>0</v>
      </c>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row>
    <row r="202" spans="1:41" ht="15.75" customHeight="1">
      <c r="A202" s="40" t="s">
        <v>427</v>
      </c>
      <c r="B202" s="197">
        <f>(' Pivot Table for Data Exchange'!$H$223)*100</f>
        <v>0</v>
      </c>
      <c r="C202" s="197">
        <f>(' Pivot Table for Data Exchange'!$H$226)*100</f>
        <v>0</v>
      </c>
      <c r="D202" s="113">
        <f>SUM(E202:G202)</f>
        <v>0</v>
      </c>
      <c r="E202" s="197">
        <f>(' Pivot Table for Data Exchange'!$H$229)*100</f>
        <v>0</v>
      </c>
      <c r="F202" s="197">
        <f>(' Pivot Table for Data Exchange'!$H$232)*100</f>
        <v>0</v>
      </c>
      <c r="G202" s="199">
        <f>(' Pivot Table for Data Exchange'!$H$235)*100</f>
        <v>0</v>
      </c>
      <c r="H202" s="197">
        <f>(' Pivot Table for Data Exchange'!$H$238)*100</f>
        <v>0</v>
      </c>
      <c r="I202" s="40" t="s">
        <v>427</v>
      </c>
      <c r="J202" s="197">
        <f>(' Pivot Table for Data Exchange'!$H$241)*100</f>
        <v>0</v>
      </c>
      <c r="K202" s="197">
        <f>(' Pivot Table for Data Exchange'!$H$244)*100</f>
        <v>0</v>
      </c>
      <c r="L202" s="113">
        <f>SUM(M202:O202)</f>
        <v>0</v>
      </c>
      <c r="M202" s="197">
        <f>(' Pivot Table for Data Exchange'!$H$247)*100</f>
        <v>0</v>
      </c>
      <c r="N202" s="197">
        <f>(' Pivot Table for Data Exchange'!$H$250)*100</f>
        <v>0</v>
      </c>
      <c r="O202" s="199">
        <f>(' Pivot Table for Data Exchange'!$H$253)*100</f>
        <v>0</v>
      </c>
      <c r="P202" s="197">
        <f>(' Pivot Table for Data Exchange'!$H$256)*100</f>
        <v>0</v>
      </c>
      <c r="Q202" s="39">
        <f t="shared" si="22"/>
        <v>0</v>
      </c>
      <c r="R202" s="39">
        <f t="shared" si="23"/>
        <v>0</v>
      </c>
      <c r="S202" s="47"/>
      <c r="T202" s="59"/>
      <c r="U202" s="47"/>
      <c r="V202" s="47"/>
      <c r="W202" s="47"/>
      <c r="X202" s="47"/>
      <c r="Y202" s="47"/>
      <c r="Z202" s="47"/>
      <c r="AA202" s="47"/>
      <c r="AB202" s="47"/>
      <c r="AC202" s="47"/>
      <c r="AD202" s="47"/>
      <c r="AE202" s="47"/>
      <c r="AF202" s="47"/>
      <c r="AG202" s="47"/>
      <c r="AH202" s="47"/>
      <c r="AI202" s="47"/>
      <c r="AJ202" s="47"/>
      <c r="AK202" s="47"/>
      <c r="AL202" s="47"/>
      <c r="AM202" s="47"/>
      <c r="AN202" s="47"/>
      <c r="AO202" s="47"/>
    </row>
    <row r="203" spans="1:41" ht="15.75" customHeight="1">
      <c r="A203" s="40" t="s">
        <v>428</v>
      </c>
      <c r="B203" s="197">
        <f>(' Pivot Table for Data Exchange'!$H$259)*100</f>
        <v>0</v>
      </c>
      <c r="C203" s="197">
        <f>(' Pivot Table for Data Exchange'!$H$262)*100</f>
        <v>0</v>
      </c>
      <c r="D203" s="113">
        <f>SUM(E203:G203)</f>
        <v>0</v>
      </c>
      <c r="E203" s="197">
        <f>(' Pivot Table for Data Exchange'!$H$265)*100</f>
        <v>0</v>
      </c>
      <c r="F203" s="197">
        <f>(' Pivot Table for Data Exchange'!$H$268)*100</f>
        <v>0</v>
      </c>
      <c r="G203" s="199">
        <f>(' Pivot Table for Data Exchange'!$H$271)*100</f>
        <v>0</v>
      </c>
      <c r="H203" s="197">
        <f>(' Pivot Table for Data Exchange'!$H$274)*100</f>
        <v>0</v>
      </c>
      <c r="I203" s="40" t="s">
        <v>428</v>
      </c>
      <c r="J203" s="197">
        <f>(' Pivot Table for Data Exchange'!$H$277)*100</f>
        <v>0</v>
      </c>
      <c r="K203" s="197">
        <f>(' Pivot Table for Data Exchange'!$H$280)*100</f>
        <v>0</v>
      </c>
      <c r="L203" s="113">
        <f>SUM(M203:O203)</f>
        <v>0</v>
      </c>
      <c r="M203" s="197">
        <f>(' Pivot Table for Data Exchange'!$H$283)*100</f>
        <v>0</v>
      </c>
      <c r="N203" s="197">
        <f>(' Pivot Table for Data Exchange'!$H$286)*100</f>
        <v>0</v>
      </c>
      <c r="O203" s="199">
        <f>(' Pivot Table for Data Exchange'!$H$289)*100</f>
        <v>0</v>
      </c>
      <c r="P203" s="197">
        <f>(' Pivot Table for Data Exchange'!$H$292)*100</f>
        <v>0</v>
      </c>
      <c r="Q203" s="39">
        <f t="shared" si="22"/>
        <v>0</v>
      </c>
      <c r="R203" s="39">
        <f t="shared" si="23"/>
        <v>0</v>
      </c>
      <c r="S203" s="47"/>
      <c r="U203" s="47"/>
      <c r="V203" s="47"/>
      <c r="W203" s="47"/>
      <c r="X203" s="47"/>
      <c r="Y203" s="47"/>
      <c r="Z203" s="47"/>
      <c r="AA203" s="47"/>
      <c r="AB203" s="47"/>
      <c r="AC203" s="47"/>
      <c r="AD203" s="47"/>
      <c r="AE203" s="47"/>
      <c r="AF203" s="47"/>
      <c r="AG203" s="47"/>
      <c r="AH203" s="47"/>
      <c r="AI203" s="47"/>
      <c r="AJ203" s="47"/>
      <c r="AK203" s="47"/>
      <c r="AL203" s="47"/>
      <c r="AM203" s="47"/>
      <c r="AN203" s="47"/>
      <c r="AO203" s="47"/>
    </row>
    <row r="204" spans="1:41" ht="11.25" customHeight="1">
      <c r="A204" s="40"/>
      <c r="B204" s="102"/>
      <c r="C204" s="103"/>
      <c r="D204" s="113"/>
      <c r="E204" s="102"/>
      <c r="F204" s="102"/>
      <c r="G204" s="103"/>
      <c r="H204" s="102"/>
      <c r="I204" s="40"/>
      <c r="J204" s="102"/>
      <c r="K204" s="103"/>
      <c r="L204" s="113"/>
      <c r="M204" s="102"/>
      <c r="N204" s="102"/>
      <c r="O204" s="103"/>
      <c r="P204" s="102"/>
      <c r="Q204" s="39">
        <f t="shared" si="22"/>
        <v>0</v>
      </c>
      <c r="R204" s="39">
        <f t="shared" si="23"/>
        <v>0</v>
      </c>
      <c r="S204" s="47"/>
      <c r="U204" s="47"/>
      <c r="V204" s="47"/>
      <c r="W204" s="47"/>
      <c r="X204" s="47"/>
      <c r="Y204" s="47"/>
      <c r="Z204" s="47"/>
      <c r="AA204" s="47"/>
      <c r="AB204" s="47"/>
      <c r="AC204" s="47"/>
      <c r="AD204" s="47"/>
      <c r="AE204" s="47"/>
      <c r="AF204" s="47"/>
      <c r="AG204" s="47"/>
      <c r="AH204" s="47"/>
      <c r="AI204" s="47"/>
      <c r="AJ204" s="47"/>
      <c r="AK204" s="47"/>
      <c r="AL204" s="47"/>
      <c r="AM204" s="47"/>
      <c r="AN204" s="47"/>
      <c r="AO204" s="47"/>
    </row>
    <row r="205" spans="1:41" ht="15.75" customHeight="1">
      <c r="A205" s="40" t="s">
        <v>122</v>
      </c>
      <c r="B205" s="197">
        <f>(' Pivot Table for Data Exchange'!$H$295)*100</f>
        <v>0</v>
      </c>
      <c r="C205" s="197">
        <f>(' Pivot Table for Data Exchange'!$H$298)*100</f>
        <v>0</v>
      </c>
      <c r="D205" s="113">
        <f>SUM(E205:G205)</f>
        <v>0</v>
      </c>
      <c r="E205" s="197">
        <f>(' Pivot Table for Data Exchange'!$H$301)*100</f>
        <v>0</v>
      </c>
      <c r="F205" s="197">
        <f>(' Pivot Table for Data Exchange'!$H$304)*100</f>
        <v>0</v>
      </c>
      <c r="G205" s="199">
        <f>(' Pivot Table for Data Exchange'!$H$307)*100</f>
        <v>0</v>
      </c>
      <c r="H205" s="197">
        <f>(' Pivot Table for Data Exchange'!$H$310)*100</f>
        <v>0</v>
      </c>
      <c r="I205" s="40" t="s">
        <v>122</v>
      </c>
      <c r="J205" s="197">
        <f>(' Pivot Table for Data Exchange'!$H$313)*100</f>
        <v>0</v>
      </c>
      <c r="K205" s="197">
        <f>(' Pivot Table for Data Exchange'!$H$316)*100</f>
        <v>0</v>
      </c>
      <c r="L205" s="113">
        <f>SUM(M205:O205)</f>
        <v>0</v>
      </c>
      <c r="M205" s="197">
        <f>(' Pivot Table for Data Exchange'!$H$319)*100</f>
        <v>0</v>
      </c>
      <c r="N205" s="197">
        <f>(' Pivot Table for Data Exchange'!$H$322)*100</f>
        <v>0</v>
      </c>
      <c r="O205" s="199">
        <f>(' Pivot Table for Data Exchange'!$H$325)*100</f>
        <v>0</v>
      </c>
      <c r="P205" s="197">
        <f>(' Pivot Table for Data Exchange'!$H$328)*100</f>
        <v>0</v>
      </c>
      <c r="Q205" s="39">
        <f t="shared" si="22"/>
        <v>0</v>
      </c>
      <c r="R205" s="39">
        <f t="shared" si="23"/>
        <v>0</v>
      </c>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row>
    <row r="206" spans="1:41" ht="15.75" customHeight="1">
      <c r="A206" s="40" t="s">
        <v>130</v>
      </c>
      <c r="B206" s="197">
        <f>(' Pivot Table for Data Exchange'!$H$331)*100</f>
        <v>95.16060177116134</v>
      </c>
      <c r="C206" s="197">
        <f>(' Pivot Table for Data Exchange'!$H$334)*100</f>
        <v>3.068878852949956</v>
      </c>
      <c r="D206" s="113">
        <f>SUM(E206:G206)</f>
        <v>1.7705193758887101</v>
      </c>
      <c r="E206" s="197">
        <f>(' Pivot Table for Data Exchange'!$H$337)*100</f>
        <v>1.747408898175877</v>
      </c>
      <c r="F206" s="200">
        <f>(' Pivot Table for Data Exchange'!$H$340)*100</f>
        <v>0.023110477712833057</v>
      </c>
      <c r="G206" s="199">
        <f>(' Pivot Table for Data Exchange'!$H$343)*100</f>
        <v>0</v>
      </c>
      <c r="H206" s="197">
        <f>(' Pivot Table for Data Exchange'!$H$346)*100</f>
        <v>0</v>
      </c>
      <c r="I206" s="40" t="s">
        <v>130</v>
      </c>
      <c r="J206" s="197">
        <f>(' Pivot Table for Data Exchange'!$H$349)*100</f>
        <v>97.34289329396879</v>
      </c>
      <c r="K206" s="197">
        <f>(' Pivot Table for Data Exchange'!$H$352)*100</f>
        <v>1.8557570645297343</v>
      </c>
      <c r="L206" s="113">
        <f>SUM(M206:O206)</f>
        <v>0.8013496415014763</v>
      </c>
      <c r="M206" s="197">
        <f>(' Pivot Table for Data Exchange'!$H$355)*100</f>
        <v>0.8013496415014763</v>
      </c>
      <c r="N206" s="197">
        <f>(' Pivot Table for Data Exchange'!$H$358)*100</f>
        <v>0</v>
      </c>
      <c r="O206" s="199">
        <f>(' Pivot Table for Data Exchange'!$H$361)*100</f>
        <v>0</v>
      </c>
      <c r="P206" s="197">
        <f>(' Pivot Table for Data Exchange'!$H$364)*100</f>
        <v>0</v>
      </c>
      <c r="Q206" s="39">
        <f t="shared" si="22"/>
        <v>100</v>
      </c>
      <c r="R206" s="39">
        <f t="shared" si="23"/>
        <v>100</v>
      </c>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row>
    <row r="207" spans="1:41" ht="15.75" customHeight="1">
      <c r="A207" s="40" t="s">
        <v>123</v>
      </c>
      <c r="B207" s="197">
        <f>(' Pivot Table for Data Exchange'!$H$367)*100</f>
        <v>97.91731197545614</v>
      </c>
      <c r="C207" s="197">
        <f>(' Pivot Table for Data Exchange'!$H$370)*100</f>
        <v>0.461672345384014</v>
      </c>
      <c r="D207" s="113">
        <f>SUM(E207:G207)</f>
        <v>1.621015679159845</v>
      </c>
      <c r="E207" s="197">
        <f>(' Pivot Table for Data Exchange'!$H$373)*100</f>
        <v>1.4145168665280174</v>
      </c>
      <c r="F207" s="197">
        <f>(' Pivot Table for Data Exchange'!$H$376)*100</f>
        <v>0.20354882959422982</v>
      </c>
      <c r="G207" s="204">
        <f>(' Pivot Table for Data Exchange'!$H$379)*100</f>
        <v>0.002949983037597534</v>
      </c>
      <c r="H207" s="197">
        <f>(' Pivot Table for Data Exchange'!$H$382)*100</f>
        <v>0</v>
      </c>
      <c r="I207" s="40" t="s">
        <v>123</v>
      </c>
      <c r="J207" s="197">
        <f>(' Pivot Table for Data Exchange'!$H$385)*100</f>
        <v>0</v>
      </c>
      <c r="K207" s="197">
        <f>(' Pivot Table for Data Exchange'!$H$388)*100</f>
        <v>0</v>
      </c>
      <c r="L207" s="113">
        <f>SUM(M207:O207)</f>
        <v>0</v>
      </c>
      <c r="M207" s="197">
        <f>(' Pivot Table for Data Exchange'!$H$391)*100</f>
        <v>0</v>
      </c>
      <c r="N207" s="197">
        <f>(' Pivot Table for Data Exchange'!$H$394)*100</f>
        <v>0</v>
      </c>
      <c r="O207" s="199">
        <f>(' Pivot Table for Data Exchange'!$H$397)*100</f>
        <v>0</v>
      </c>
      <c r="P207" s="197">
        <f>(' Pivot Table for Data Exchange'!$H$400)*100</f>
        <v>0</v>
      </c>
      <c r="Q207" s="39">
        <f aca="true" t="shared" si="24" ref="Q207:Q213">SUM(B207,C207,D207,H207)</f>
        <v>100</v>
      </c>
      <c r="R207" s="39">
        <f aca="true" t="shared" si="25" ref="R207:R213">SUM(J207,K207,L207,P207)</f>
        <v>0</v>
      </c>
      <c r="S207" s="47"/>
      <c r="T207" s="59"/>
      <c r="U207" s="47"/>
      <c r="V207" s="47"/>
      <c r="W207" s="47"/>
      <c r="X207" s="47"/>
      <c r="Y207" s="47"/>
      <c r="Z207" s="47"/>
      <c r="AA207" s="47"/>
      <c r="AB207" s="47"/>
      <c r="AC207" s="47"/>
      <c r="AD207" s="47"/>
      <c r="AE207" s="47"/>
      <c r="AF207" s="47"/>
      <c r="AG207" s="47"/>
      <c r="AH207" s="47"/>
      <c r="AI207" s="47"/>
      <c r="AJ207" s="47"/>
      <c r="AK207" s="47"/>
      <c r="AL207" s="47"/>
      <c r="AM207" s="47"/>
      <c r="AN207" s="47"/>
      <c r="AO207" s="47"/>
    </row>
    <row r="208" spans="1:41" ht="15.75" customHeight="1">
      <c r="A208" s="40" t="s">
        <v>429</v>
      </c>
      <c r="B208" s="197"/>
      <c r="C208" s="197"/>
      <c r="D208" s="113"/>
      <c r="E208" s="197"/>
      <c r="F208" s="197"/>
      <c r="G208" s="203"/>
      <c r="H208" s="197"/>
      <c r="I208" s="40" t="s">
        <v>429</v>
      </c>
      <c r="J208" s="197"/>
      <c r="K208" s="197"/>
      <c r="L208" s="113"/>
      <c r="M208" s="197"/>
      <c r="N208" s="197"/>
      <c r="O208" s="199"/>
      <c r="P208" s="197"/>
      <c r="Q208" s="39">
        <f t="shared" si="24"/>
        <v>0</v>
      </c>
      <c r="R208" s="39">
        <f t="shared" si="25"/>
        <v>0</v>
      </c>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row>
    <row r="209" spans="1:41" ht="11.25" customHeight="1">
      <c r="A209" s="40"/>
      <c r="B209" s="197"/>
      <c r="C209" s="197"/>
      <c r="D209" s="113"/>
      <c r="E209" s="197"/>
      <c r="F209" s="197"/>
      <c r="G209" s="203"/>
      <c r="H209" s="197"/>
      <c r="I209" s="40"/>
      <c r="J209" s="197"/>
      <c r="K209" s="197"/>
      <c r="L209" s="113"/>
      <c r="M209" s="197"/>
      <c r="N209" s="197"/>
      <c r="O209" s="199"/>
      <c r="P209" s="197"/>
      <c r="Q209" s="39"/>
      <c r="R209" s="39"/>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row>
    <row r="210" spans="1:41" ht="15.75" customHeight="1">
      <c r="A210" s="40" t="s">
        <v>430</v>
      </c>
      <c r="B210" s="197"/>
      <c r="C210" s="197"/>
      <c r="D210" s="113"/>
      <c r="E210" s="197"/>
      <c r="F210" s="197"/>
      <c r="G210" s="203"/>
      <c r="H210" s="197"/>
      <c r="I210" s="40" t="s">
        <v>430</v>
      </c>
      <c r="J210" s="197"/>
      <c r="K210" s="197"/>
      <c r="L210" s="113"/>
      <c r="M210" s="197"/>
      <c r="N210" s="197"/>
      <c r="O210" s="199"/>
      <c r="P210" s="197"/>
      <c r="Q210" s="39">
        <f t="shared" si="24"/>
        <v>0</v>
      </c>
      <c r="R210" s="39">
        <f t="shared" si="25"/>
        <v>0</v>
      </c>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row>
    <row r="211" spans="1:41" ht="15.75" customHeight="1">
      <c r="A211" s="40" t="s">
        <v>229</v>
      </c>
      <c r="B211" s="197">
        <f>(' Pivot Table for Data Exchange'!$H$403)*100</f>
        <v>91.26791190981731</v>
      </c>
      <c r="C211" s="197">
        <f>(' Pivot Table for Data Exchange'!$H$406)*100</f>
        <v>3.688545609338298</v>
      </c>
      <c r="D211" s="113">
        <f>SUM(E211:G211)</f>
        <v>5.043542480844386</v>
      </c>
      <c r="E211" s="197">
        <f>(' Pivot Table for Data Exchange'!$H$409)*100</f>
        <v>3.510067595983219</v>
      </c>
      <c r="F211" s="197">
        <f>(' Pivot Table for Data Exchange'!$H$412)*100</f>
        <v>1.4093608640797612</v>
      </c>
      <c r="G211" s="199">
        <f>(' Pivot Table for Data Exchange'!$H$415)*100</f>
        <v>0.12411402078140546</v>
      </c>
      <c r="H211" s="197">
        <f>(' Pivot Table for Data Exchange'!$H$418)*100</f>
        <v>0</v>
      </c>
      <c r="I211" s="40" t="s">
        <v>229</v>
      </c>
      <c r="J211" s="197">
        <f>(' Pivot Table for Data Exchange'!$H$421)*100</f>
        <v>98.2531055900621</v>
      </c>
      <c r="K211" s="197">
        <f>(' Pivot Table for Data Exchange'!$H$424)*100</f>
        <v>1.746894409937888</v>
      </c>
      <c r="L211" s="113">
        <f>SUM(M211:O211)</f>
        <v>0</v>
      </c>
      <c r="M211" s="197">
        <f>(' Pivot Table for Data Exchange'!$H$427)*100</f>
        <v>0</v>
      </c>
      <c r="N211" s="197">
        <f>(' Pivot Table for Data Exchange'!$H$430)*100</f>
        <v>0</v>
      </c>
      <c r="O211" s="199">
        <f>(' Pivot Table for Data Exchange'!$H$433)*100</f>
        <v>0</v>
      </c>
      <c r="P211" s="197">
        <f>(' Pivot Table for Data Exchange'!$H$436)*100</f>
        <v>0</v>
      </c>
      <c r="Q211" s="39">
        <f t="shared" si="24"/>
        <v>99.99999999999999</v>
      </c>
      <c r="R211" s="39">
        <f t="shared" si="25"/>
        <v>100</v>
      </c>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row>
    <row r="212" spans="1:41" ht="15.75" customHeight="1">
      <c r="A212" s="40" t="s">
        <v>431</v>
      </c>
      <c r="B212" s="197">
        <f>(' Pivot Table for Data Exchange'!$H$511)*100</f>
        <v>0</v>
      </c>
      <c r="C212" s="197">
        <f>(' Pivot Table for Data Exchange'!$H$514)*100</f>
        <v>0</v>
      </c>
      <c r="D212" s="113">
        <f>SUM(E212:G212)</f>
        <v>0</v>
      </c>
      <c r="E212" s="197">
        <f>(' Pivot Table for Data Exchange'!$H$517)*100</f>
        <v>0</v>
      </c>
      <c r="F212" s="197">
        <f>(' Pivot Table for Data Exchange'!$H$520)*100</f>
        <v>0</v>
      </c>
      <c r="G212" s="203">
        <f>(' Pivot Table for Data Exchange'!$H$523)*100</f>
        <v>0</v>
      </c>
      <c r="H212" s="197">
        <f>(' Pivot Table for Data Exchange'!$H$526)*100</f>
        <v>0</v>
      </c>
      <c r="I212" s="40" t="s">
        <v>431</v>
      </c>
      <c r="J212" s="197">
        <f>(' Pivot Table for Data Exchange'!$H$529)*100</f>
        <v>0</v>
      </c>
      <c r="K212" s="197">
        <f>(' Pivot Table for Data Exchange'!$H$532)*100</f>
        <v>0</v>
      </c>
      <c r="L212" s="113">
        <f>SUM(M212:O212)</f>
        <v>0</v>
      </c>
      <c r="M212" s="197">
        <f>(' Pivot Table for Data Exchange'!$H$535)*100</f>
        <v>0</v>
      </c>
      <c r="N212" s="197">
        <f>(' Pivot Table for Data Exchange'!$H$538)*100</f>
        <v>0</v>
      </c>
      <c r="O212" s="199">
        <f>(' Pivot Table for Data Exchange'!$H$541)*100</f>
        <v>0</v>
      </c>
      <c r="P212" s="197">
        <f>(' Pivot Table for Data Exchange'!$H$544)*100</f>
        <v>0</v>
      </c>
      <c r="Q212" s="39">
        <f t="shared" si="24"/>
        <v>0</v>
      </c>
      <c r="R212" s="39">
        <f t="shared" si="25"/>
        <v>0</v>
      </c>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row>
    <row r="213" spans="1:41" ht="15.75" customHeight="1">
      <c r="A213" s="34" t="s">
        <v>124</v>
      </c>
      <c r="B213" s="201">
        <f>(' Pivot Table for Data Exchange'!$H$439)*100</f>
        <v>89.40223709919796</v>
      </c>
      <c r="C213" s="201">
        <f>(' Pivot Table for Data Exchange'!$H$442)*100</f>
        <v>7.208623555828569</v>
      </c>
      <c r="D213" s="114">
        <f>SUM(E213:G213)</f>
        <v>3.3891393449734677</v>
      </c>
      <c r="E213" s="201">
        <f>(' Pivot Table for Data Exchange'!$H$445)*100</f>
        <v>2.990202713254969</v>
      </c>
      <c r="F213" s="201">
        <f>(' Pivot Table for Data Exchange'!$H$448)*100</f>
        <v>0.2995061445611697</v>
      </c>
      <c r="G213" s="202">
        <f>(' Pivot Table for Data Exchange'!$H$451)*100</f>
        <v>0.09943048715732922</v>
      </c>
      <c r="H213" s="201">
        <f>(' Pivot Table for Data Exchange'!$H$454)*100</f>
        <v>0</v>
      </c>
      <c r="I213" s="34" t="s">
        <v>124</v>
      </c>
      <c r="J213" s="201">
        <f>(' Pivot Table for Data Exchange'!$H$457)*100</f>
        <v>59.09396725723256</v>
      </c>
      <c r="K213" s="201">
        <f>(' Pivot Table for Data Exchange'!$H$460)*100</f>
        <v>0.6055169320475443</v>
      </c>
      <c r="L213" s="114">
        <f>SUM(M213:O213)</f>
        <v>40.300515810719894</v>
      </c>
      <c r="M213" s="201">
        <f>(' Pivot Table for Data Exchange'!$H$463)*100</f>
        <v>40.300515810719894</v>
      </c>
      <c r="N213" s="201">
        <f>(' Pivot Table for Data Exchange'!$H$466)*100</f>
        <v>0</v>
      </c>
      <c r="O213" s="202">
        <f>(' Pivot Table for Data Exchange'!$H$469)*100</f>
        <v>0</v>
      </c>
      <c r="P213" s="201">
        <f>(' Pivot Table for Data Exchange'!$H$472)*100</f>
        <v>0</v>
      </c>
      <c r="Q213" s="39">
        <f t="shared" si="24"/>
        <v>100</v>
      </c>
      <c r="R213" s="39">
        <f t="shared" si="25"/>
        <v>100</v>
      </c>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row>
    <row r="214" spans="1:41" s="64" customFormat="1" ht="18" customHeight="1">
      <c r="A214" s="115" t="s">
        <v>477</v>
      </c>
      <c r="B214" s="68"/>
      <c r="C214" s="68"/>
      <c r="D214" s="69"/>
      <c r="E214" s="68"/>
      <c r="F214" s="69"/>
      <c r="G214" s="69"/>
      <c r="H214" s="68"/>
      <c r="I214" s="115" t="s">
        <v>477</v>
      </c>
      <c r="J214" s="68"/>
      <c r="K214" s="68"/>
      <c r="L214" s="69"/>
      <c r="M214" s="68"/>
      <c r="N214" s="69"/>
      <c r="O214" s="69"/>
      <c r="P214" s="68"/>
      <c r="Q214" s="68"/>
      <c r="R214" s="68"/>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row>
    <row r="215" spans="1:18" s="64" customFormat="1" ht="26.25" customHeight="1">
      <c r="A215" s="677" t="s">
        <v>746</v>
      </c>
      <c r="B215" s="689"/>
      <c r="C215" s="689"/>
      <c r="D215" s="689"/>
      <c r="E215" s="689"/>
      <c r="F215" s="689"/>
      <c r="G215" s="689"/>
      <c r="H215" s="689"/>
      <c r="I215" s="677" t="s">
        <v>746</v>
      </c>
      <c r="J215" s="689"/>
      <c r="K215" s="689"/>
      <c r="L215" s="689"/>
      <c r="M215" s="689"/>
      <c r="N215" s="689"/>
      <c r="O215" s="689"/>
      <c r="P215" s="689"/>
      <c r="Q215" s="66"/>
      <c r="R215" s="67"/>
    </row>
    <row r="216" spans="1:18" s="64" customFormat="1" ht="13.5" customHeight="1">
      <c r="A216" s="116"/>
      <c r="B216" s="63"/>
      <c r="H216" s="62"/>
      <c r="I216" s="116"/>
      <c r="P216" s="65"/>
      <c r="Q216" s="66"/>
      <c r="R216" s="67"/>
    </row>
    <row r="217" spans="8:18" s="64" customFormat="1" ht="11.25">
      <c r="H217" s="559" t="s">
        <v>726</v>
      </c>
      <c r="P217" s="559" t="s">
        <v>726</v>
      </c>
      <c r="Q217" s="66"/>
      <c r="R217" s="67"/>
    </row>
    <row r="218" spans="1:16" ht="18">
      <c r="A218" s="31" t="s">
        <v>448</v>
      </c>
      <c r="B218" s="32"/>
      <c r="C218" s="32"/>
      <c r="D218" s="32"/>
      <c r="E218" s="32"/>
      <c r="F218" s="32"/>
      <c r="G218" s="32"/>
      <c r="H218" s="46"/>
      <c r="I218" s="40"/>
      <c r="J218" s="40"/>
      <c r="K218" s="40"/>
      <c r="L218" s="40"/>
      <c r="M218" s="40"/>
      <c r="N218" s="40"/>
      <c r="O218" s="40"/>
      <c r="P218" s="40"/>
    </row>
    <row r="219" spans="1:16" ht="12.75">
      <c r="A219" s="78"/>
      <c r="B219" s="33"/>
      <c r="C219" s="33"/>
      <c r="D219" s="33"/>
      <c r="E219" s="33"/>
      <c r="F219" s="33"/>
      <c r="G219" s="33"/>
      <c r="H219" s="43"/>
      <c r="I219" s="40"/>
      <c r="J219" s="40"/>
      <c r="K219" s="40"/>
      <c r="L219" s="40"/>
      <c r="M219" s="40"/>
      <c r="N219" s="40"/>
      <c r="O219" s="40"/>
      <c r="P219" s="40"/>
    </row>
    <row r="220" spans="1:16" ht="15.75">
      <c r="A220" s="42" t="s">
        <v>465</v>
      </c>
      <c r="B220" s="33"/>
      <c r="C220" s="33"/>
      <c r="D220" s="33"/>
      <c r="E220" s="33"/>
      <c r="F220" s="33"/>
      <c r="G220" s="33"/>
      <c r="H220" s="43"/>
      <c r="I220" s="45"/>
      <c r="J220" s="40"/>
      <c r="K220" s="40"/>
      <c r="L220" s="43"/>
      <c r="M220" s="40"/>
      <c r="N220" s="40"/>
      <c r="O220" s="40"/>
      <c r="P220" s="40"/>
    </row>
    <row r="221" spans="1:16" ht="15.75">
      <c r="A221" s="42" t="s">
        <v>737</v>
      </c>
      <c r="B221" s="33"/>
      <c r="C221" s="33"/>
      <c r="D221" s="33"/>
      <c r="E221" s="33"/>
      <c r="F221" s="33"/>
      <c r="G221" s="33"/>
      <c r="H221" s="43"/>
      <c r="I221" s="45"/>
      <c r="J221" s="40"/>
      <c r="K221" s="40"/>
      <c r="L221" s="40"/>
      <c r="M221" s="40"/>
      <c r="N221" s="40"/>
      <c r="O221" s="40"/>
      <c r="P221" s="40"/>
    </row>
    <row r="222" spans="1:16" ht="12.75">
      <c r="A222" s="34"/>
      <c r="B222" s="35"/>
      <c r="C222" s="35"/>
      <c r="D222" s="35"/>
      <c r="E222" s="35"/>
      <c r="F222" s="35"/>
      <c r="G222" s="35"/>
      <c r="H222" s="35"/>
      <c r="I222" s="45"/>
      <c r="J222" s="40"/>
      <c r="K222" s="40"/>
      <c r="L222" s="40"/>
      <c r="M222" s="40"/>
      <c r="N222" s="40"/>
      <c r="O222" s="40"/>
      <c r="P222" s="40"/>
    </row>
    <row r="223" spans="1:16" ht="12.75">
      <c r="A223" s="85"/>
      <c r="B223" s="86" t="s">
        <v>231</v>
      </c>
      <c r="C223" s="86"/>
      <c r="D223" s="86"/>
      <c r="E223" s="86"/>
      <c r="F223" s="86"/>
      <c r="G223" s="86"/>
      <c r="H223" s="87"/>
      <c r="I223" s="45"/>
      <c r="J223" s="40"/>
      <c r="K223" s="40"/>
      <c r="L223" s="40"/>
      <c r="M223" s="40"/>
      <c r="N223" s="40"/>
      <c r="O223" s="40"/>
      <c r="P223" s="40"/>
    </row>
    <row r="224" spans="1:16" ht="12.75">
      <c r="A224" s="85"/>
      <c r="B224" s="86" t="s">
        <v>127</v>
      </c>
      <c r="C224" s="86"/>
      <c r="D224" s="690" t="s">
        <v>472</v>
      </c>
      <c r="E224" s="691"/>
      <c r="F224" s="691"/>
      <c r="G224" s="691"/>
      <c r="H224" s="91" t="s">
        <v>14</v>
      </c>
      <c r="I224" s="45"/>
      <c r="J224" s="40"/>
      <c r="K224" s="40"/>
      <c r="L224" s="40"/>
      <c r="M224" s="40"/>
      <c r="N224" s="40"/>
      <c r="O224" s="40"/>
      <c r="P224" s="40"/>
    </row>
    <row r="225" spans="1:16" ht="36">
      <c r="A225" s="85"/>
      <c r="B225" s="92" t="s">
        <v>464</v>
      </c>
      <c r="C225" s="93" t="s">
        <v>463</v>
      </c>
      <c r="D225" s="94" t="s">
        <v>470</v>
      </c>
      <c r="E225" s="95" t="s">
        <v>12</v>
      </c>
      <c r="F225" s="92" t="s">
        <v>128</v>
      </c>
      <c r="G225" s="96" t="s">
        <v>474</v>
      </c>
      <c r="H225" s="97" t="s">
        <v>473</v>
      </c>
      <c r="I225" s="45"/>
      <c r="J225" s="40"/>
      <c r="K225" s="40"/>
      <c r="L225" s="40"/>
      <c r="M225" s="40"/>
      <c r="N225" s="40"/>
      <c r="O225" s="40"/>
      <c r="P225" s="40"/>
    </row>
    <row r="226" spans="1:41" ht="15.75" customHeight="1">
      <c r="A226" s="41" t="s">
        <v>421</v>
      </c>
      <c r="B226" s="197">
        <f>(' Pivot Table for Data Exchange'!$O$7)*100</f>
        <v>88.99838289585871</v>
      </c>
      <c r="C226" s="197">
        <f>(' Pivot Table for Data Exchange'!$O$10)*100</f>
        <v>1.3221392493366475</v>
      </c>
      <c r="D226" s="113">
        <f>SUM(E226:G226)</f>
        <v>9.679477854804647</v>
      </c>
      <c r="E226" s="197">
        <f>(' Pivot Table for Data Exchange'!$O$13)*100</f>
        <v>7.761993699346044</v>
      </c>
      <c r="F226" s="197">
        <f>(' Pivot Table for Data Exchange'!$O$16)*100</f>
        <v>0.29443399762371697</v>
      </c>
      <c r="G226" s="198">
        <f>(' Pivot Table for Data Exchange'!$O$19)*100</f>
        <v>1.6230501578348857</v>
      </c>
      <c r="H226" s="197">
        <f>(' Pivot Table for Data Exchange'!$O$22)*100</f>
        <v>0</v>
      </c>
      <c r="I226" s="40"/>
      <c r="J226" s="112"/>
      <c r="K226" s="112"/>
      <c r="L226" s="112"/>
      <c r="M226" s="112"/>
      <c r="N226" s="112"/>
      <c r="O226" s="112"/>
      <c r="P226" s="112"/>
      <c r="Q226" s="39">
        <f aca="true" t="shared" si="26" ref="Q226:Q238">SUM(B226,C226,D226,H226)</f>
        <v>100</v>
      </c>
      <c r="R226" s="39">
        <f aca="true" t="shared" si="27" ref="R226:R238">SUM(J226,K226,L226,P226)</f>
        <v>0</v>
      </c>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row>
    <row r="227" spans="1:41" ht="15.75" customHeight="1">
      <c r="A227" s="40" t="s">
        <v>422</v>
      </c>
      <c r="B227" s="197">
        <f>(' Pivot Table for Data Exchange'!$O$43)*100</f>
        <v>79.1589171949436</v>
      </c>
      <c r="C227" s="197">
        <f>(' Pivot Table for Data Exchange'!$O$46)*100</f>
        <v>9.944151289526681</v>
      </c>
      <c r="D227" s="113">
        <f>SUM(E227:G227)</f>
        <v>10.896931515529722</v>
      </c>
      <c r="E227" s="197">
        <f>(' Pivot Table for Data Exchange'!$O$49)*100</f>
        <v>8.932205214471827</v>
      </c>
      <c r="F227" s="197">
        <f>(' Pivot Table for Data Exchange'!$O$52)*100</f>
        <v>0.8950147520767125</v>
      </c>
      <c r="G227" s="199">
        <f>(' Pivot Table for Data Exchange'!$O$55)*100</f>
        <v>1.0697115489811833</v>
      </c>
      <c r="H227" s="197">
        <f>(' Pivot Table for Data Exchange'!$O$58)*100</f>
        <v>0</v>
      </c>
      <c r="I227" s="40"/>
      <c r="J227" s="112"/>
      <c r="K227" s="112"/>
      <c r="L227" s="112"/>
      <c r="M227" s="112"/>
      <c r="N227" s="112"/>
      <c r="O227" s="112"/>
      <c r="P227" s="112"/>
      <c r="Q227" s="39">
        <f t="shared" si="26"/>
        <v>100</v>
      </c>
      <c r="R227" s="39">
        <f t="shared" si="27"/>
        <v>0</v>
      </c>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row>
    <row r="228" spans="1:41" ht="15.75" customHeight="1">
      <c r="A228" s="40" t="s">
        <v>423</v>
      </c>
      <c r="B228" s="197">
        <f>(' Pivot Table for Data Exchange'!$O$79)*100</f>
        <v>90.64876810881857</v>
      </c>
      <c r="C228" s="197">
        <f>(' Pivot Table for Data Exchange'!$O$82)*100</f>
        <v>0</v>
      </c>
      <c r="D228" s="113">
        <f>SUM(E228:G228)</f>
        <v>9.351231891181428</v>
      </c>
      <c r="E228" s="197">
        <f>(' Pivot Table for Data Exchange'!$O$85)*100</f>
        <v>4.612628750559785</v>
      </c>
      <c r="F228" s="197">
        <f>(' Pivot Table for Data Exchange'!$O$88)*100</f>
        <v>0.25850236110959407</v>
      </c>
      <c r="G228" s="199">
        <f>(' Pivot Table for Data Exchange'!$O$91)*100</f>
        <v>4.48010077951205</v>
      </c>
      <c r="H228" s="197">
        <f>(' Pivot Table for Data Exchange'!$O$94)*100</f>
        <v>0</v>
      </c>
      <c r="I228" s="40"/>
      <c r="J228" s="112"/>
      <c r="K228" s="112"/>
      <c r="L228" s="112"/>
      <c r="M228" s="112"/>
      <c r="N228" s="112"/>
      <c r="O228" s="112"/>
      <c r="P228" s="112"/>
      <c r="Q228" s="39">
        <f t="shared" si="26"/>
        <v>100</v>
      </c>
      <c r="R228" s="39">
        <f t="shared" si="27"/>
        <v>0</v>
      </c>
      <c r="S228" s="47"/>
      <c r="T228" s="59"/>
      <c r="U228" s="47"/>
      <c r="V228" s="47"/>
      <c r="W228" s="47"/>
      <c r="X228" s="47"/>
      <c r="Y228" s="47"/>
      <c r="Z228" s="47"/>
      <c r="AA228" s="47"/>
      <c r="AB228" s="47"/>
      <c r="AC228" s="47"/>
      <c r="AD228" s="47"/>
      <c r="AE228" s="47"/>
      <c r="AF228" s="47"/>
      <c r="AG228" s="47"/>
      <c r="AH228" s="47"/>
      <c r="AI228" s="47"/>
      <c r="AJ228" s="47"/>
      <c r="AK228" s="47"/>
      <c r="AL228" s="47"/>
      <c r="AM228" s="47"/>
      <c r="AN228" s="47"/>
      <c r="AO228" s="47"/>
    </row>
    <row r="229" spans="1:41" ht="15.75" customHeight="1">
      <c r="A229" s="40" t="s">
        <v>424</v>
      </c>
      <c r="B229" s="197">
        <f>(' Pivot Table for Data Exchange'!$O$115)*100</f>
        <v>86.5290683227805</v>
      </c>
      <c r="C229" s="197">
        <f>(' Pivot Table for Data Exchange'!$O$118)*100</f>
        <v>3.360944812795139</v>
      </c>
      <c r="D229" s="113">
        <f>SUM(E229:G229)</f>
        <v>9.617685756281979</v>
      </c>
      <c r="E229" s="197">
        <f>(' Pivot Table for Data Exchange'!$O$121)*100</f>
        <v>7.4713909103110225</v>
      </c>
      <c r="F229" s="197">
        <f>(' Pivot Table for Data Exchange'!$O$124)*100</f>
        <v>0.25183706711756315</v>
      </c>
      <c r="G229" s="199">
        <f>(' Pivot Table for Data Exchange'!$O$127)*100</f>
        <v>1.894457778853394</v>
      </c>
      <c r="H229" s="197">
        <f>(' Pivot Table for Data Exchange'!$O$130)*100</f>
        <v>0.49232805844118394</v>
      </c>
      <c r="I229" s="40"/>
      <c r="J229" s="112"/>
      <c r="K229" s="112"/>
      <c r="L229" s="112"/>
      <c r="M229" s="112"/>
      <c r="N229" s="112"/>
      <c r="O229" s="112"/>
      <c r="P229" s="112"/>
      <c r="Q229" s="39">
        <f t="shared" si="26"/>
        <v>100.0000269502988</v>
      </c>
      <c r="R229" s="39">
        <f t="shared" si="27"/>
        <v>0</v>
      </c>
      <c r="S229" s="47"/>
      <c r="U229" s="47"/>
      <c r="V229" s="47"/>
      <c r="W229" s="47"/>
      <c r="X229" s="47"/>
      <c r="Y229" s="47"/>
      <c r="Z229" s="47"/>
      <c r="AA229" s="47"/>
      <c r="AB229" s="47"/>
      <c r="AC229" s="47"/>
      <c r="AD229" s="47"/>
      <c r="AE229" s="47"/>
      <c r="AF229" s="47"/>
      <c r="AG229" s="47"/>
      <c r="AH229" s="47"/>
      <c r="AI229" s="47"/>
      <c r="AJ229" s="47"/>
      <c r="AK229" s="47"/>
      <c r="AL229" s="47"/>
      <c r="AM229" s="47"/>
      <c r="AN229" s="47"/>
      <c r="AO229" s="47"/>
    </row>
    <row r="230" spans="1:41" ht="15.75" customHeight="1">
      <c r="A230" s="40"/>
      <c r="B230" s="102"/>
      <c r="C230" s="103"/>
      <c r="D230" s="113"/>
      <c r="E230" s="102"/>
      <c r="F230" s="102"/>
      <c r="G230" s="103"/>
      <c r="H230" s="102"/>
      <c r="I230" s="40"/>
      <c r="J230" s="112"/>
      <c r="K230" s="112"/>
      <c r="L230" s="112"/>
      <c r="M230" s="112"/>
      <c r="N230" s="112"/>
      <c r="O230" s="112"/>
      <c r="P230" s="112"/>
      <c r="Q230" s="39">
        <f t="shared" si="26"/>
        <v>0</v>
      </c>
      <c r="R230" s="39">
        <f t="shared" si="27"/>
        <v>0</v>
      </c>
      <c r="S230" s="47"/>
      <c r="U230" s="47"/>
      <c r="V230" s="47"/>
      <c r="W230" s="47"/>
      <c r="X230" s="47"/>
      <c r="Y230" s="47"/>
      <c r="Z230" s="47"/>
      <c r="AA230" s="47"/>
      <c r="AB230" s="47"/>
      <c r="AC230" s="47"/>
      <c r="AD230" s="47"/>
      <c r="AE230" s="47"/>
      <c r="AF230" s="47"/>
      <c r="AG230" s="47"/>
      <c r="AH230" s="47"/>
      <c r="AI230" s="47"/>
      <c r="AJ230" s="47"/>
      <c r="AK230" s="47"/>
      <c r="AL230" s="47"/>
      <c r="AM230" s="47"/>
      <c r="AN230" s="47"/>
      <c r="AO230" s="47"/>
    </row>
    <row r="231" spans="1:41" ht="15.75" customHeight="1">
      <c r="A231" s="40" t="s">
        <v>425</v>
      </c>
      <c r="B231" s="197">
        <f>(' Pivot Table for Data Exchange'!$O$151)*100</f>
        <v>80.80148773938937</v>
      </c>
      <c r="C231" s="197">
        <f>(' Pivot Table for Data Exchange'!$O$154)*100</f>
        <v>13.654491790335193</v>
      </c>
      <c r="D231" s="113">
        <f>SUM(E231:G231)</f>
        <v>5.54402047027544</v>
      </c>
      <c r="E231" s="197">
        <f>(' Pivot Table for Data Exchange'!$O$157)*100</f>
        <v>4.844718015675278</v>
      </c>
      <c r="F231" s="197">
        <f>(' Pivot Table for Data Exchange'!$O$160)*100</f>
        <v>0.16844093593660847</v>
      </c>
      <c r="G231" s="199">
        <f>(' Pivot Table for Data Exchange'!$O$163)*100</f>
        <v>0.5308615186635531</v>
      </c>
      <c r="H231" s="197">
        <f>(' Pivot Table for Data Exchange'!$O$166)*100</f>
        <v>0</v>
      </c>
      <c r="I231" s="40"/>
      <c r="J231" s="112"/>
      <c r="K231" s="112"/>
      <c r="L231" s="112"/>
      <c r="M231" s="112"/>
      <c r="N231" s="112"/>
      <c r="O231" s="112"/>
      <c r="P231" s="112"/>
      <c r="Q231" s="39">
        <f t="shared" si="26"/>
        <v>100.00000000000001</v>
      </c>
      <c r="R231" s="39">
        <f t="shared" si="27"/>
        <v>0</v>
      </c>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row>
    <row r="232" spans="1:41" ht="15.75" customHeight="1">
      <c r="A232" s="40" t="s">
        <v>426</v>
      </c>
      <c r="B232" s="197">
        <f>(' Pivot Table for Data Exchange'!$O$187)*100</f>
        <v>70.25162389998461</v>
      </c>
      <c r="C232" s="197">
        <f>(' Pivot Table for Data Exchange'!$O$190)*100</f>
        <v>10.206731969077818</v>
      </c>
      <c r="D232" s="113">
        <f>SUM(E232:G232)</f>
        <v>19.54164413093758</v>
      </c>
      <c r="E232" s="197">
        <f>(' Pivot Table for Data Exchange'!$O$193)*100</f>
        <v>17.85975178206098</v>
      </c>
      <c r="F232" s="197">
        <f>(' Pivot Table for Data Exchange'!$O$196)*100</f>
        <v>1.1639435414560064</v>
      </c>
      <c r="G232" s="199">
        <f>(' Pivot Table for Data Exchange'!$O$199)*100</f>
        <v>0.5179488074205952</v>
      </c>
      <c r="H232" s="197">
        <f>(' Pivot Table for Data Exchange'!$O$202)*100</f>
        <v>0</v>
      </c>
      <c r="I232" s="40"/>
      <c r="J232" s="112"/>
      <c r="K232" s="112"/>
      <c r="L232" s="112"/>
      <c r="M232" s="112"/>
      <c r="N232" s="112"/>
      <c r="O232" s="112"/>
      <c r="P232" s="112"/>
      <c r="Q232" s="39">
        <f t="shared" si="26"/>
        <v>100.00000000000001</v>
      </c>
      <c r="R232" s="39">
        <f t="shared" si="27"/>
        <v>0</v>
      </c>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row>
    <row r="233" spans="1:41" ht="15.75" customHeight="1">
      <c r="A233" s="40" t="s">
        <v>427</v>
      </c>
      <c r="B233" s="197">
        <f>(' Pivot Table for Data Exchange'!$O$223)*100</f>
        <v>96.81834395590343</v>
      </c>
      <c r="C233" s="197">
        <f>(' Pivot Table for Data Exchange'!$O$226)*100</f>
        <v>0</v>
      </c>
      <c r="D233" s="113">
        <f>SUM(E233:G233)</f>
        <v>3.1816560440965658</v>
      </c>
      <c r="E233" s="197">
        <f>(' Pivot Table for Data Exchange'!$O$229)*100</f>
        <v>3.0366865657578592</v>
      </c>
      <c r="F233" s="197">
        <f>(' Pivot Table for Data Exchange'!$O$232)*100</f>
        <v>0.03795858207197324</v>
      </c>
      <c r="G233" s="199">
        <f>(' Pivot Table for Data Exchange'!$O$235)*100</f>
        <v>0.10701089626673307</v>
      </c>
      <c r="H233" s="197">
        <f>(' Pivot Table for Data Exchange'!$O$238)*100</f>
        <v>0</v>
      </c>
      <c r="I233" s="40"/>
      <c r="J233" s="112"/>
      <c r="K233" s="112"/>
      <c r="L233" s="112"/>
      <c r="M233" s="112"/>
      <c r="N233" s="112"/>
      <c r="O233" s="112"/>
      <c r="P233" s="112"/>
      <c r="Q233" s="39">
        <f t="shared" si="26"/>
        <v>100</v>
      </c>
      <c r="R233" s="39">
        <f t="shared" si="27"/>
        <v>0</v>
      </c>
      <c r="S233" s="47"/>
      <c r="T233" s="59"/>
      <c r="U233" s="47"/>
      <c r="V233" s="47"/>
      <c r="W233" s="47"/>
      <c r="X233" s="47"/>
      <c r="Y233" s="47"/>
      <c r="Z233" s="47"/>
      <c r="AA233" s="47"/>
      <c r="AB233" s="47"/>
      <c r="AC233" s="47"/>
      <c r="AD233" s="47"/>
      <c r="AE233" s="47"/>
      <c r="AF233" s="47"/>
      <c r="AG233" s="47"/>
      <c r="AH233" s="47"/>
      <c r="AI233" s="47"/>
      <c r="AJ233" s="47"/>
      <c r="AK233" s="47"/>
      <c r="AL233" s="47"/>
      <c r="AM233" s="47"/>
      <c r="AN233" s="47"/>
      <c r="AO233" s="47"/>
    </row>
    <row r="234" spans="1:41" ht="15.75" customHeight="1">
      <c r="A234" s="40" t="s">
        <v>428</v>
      </c>
      <c r="B234" s="197">
        <f>(' Pivot Table for Data Exchange'!$O$259)*100</f>
        <v>86.44085341132643</v>
      </c>
      <c r="C234" s="197">
        <f>(' Pivot Table for Data Exchange'!$O$262)*100</f>
        <v>5.320095211371376</v>
      </c>
      <c r="D234" s="113">
        <f>SUM(E234:G234)</f>
        <v>8.163040593716273</v>
      </c>
      <c r="E234" s="197">
        <f>(' Pivot Table for Data Exchange'!$O$265)*100</f>
        <v>7.111930191858727</v>
      </c>
      <c r="F234" s="197">
        <f>(' Pivot Table for Data Exchange'!$O$268)*100</f>
        <v>0.4566735996484628</v>
      </c>
      <c r="G234" s="199">
        <f>(' Pivot Table for Data Exchange'!$O$271)*100</f>
        <v>0.5944368022090825</v>
      </c>
      <c r="H234" s="197">
        <f>(' Pivot Table for Data Exchange'!$O$274)*100</f>
        <v>0.07601078358593304</v>
      </c>
      <c r="I234" s="40"/>
      <c r="J234" s="112"/>
      <c r="K234" s="112"/>
      <c r="L234" s="112"/>
      <c r="M234" s="112"/>
      <c r="N234" s="112"/>
      <c r="O234" s="112"/>
      <c r="P234" s="112"/>
      <c r="Q234" s="39">
        <f t="shared" si="26"/>
        <v>100.00000000000001</v>
      </c>
      <c r="R234" s="39">
        <f t="shared" si="27"/>
        <v>0</v>
      </c>
      <c r="S234" s="47"/>
      <c r="U234" s="47"/>
      <c r="V234" s="47"/>
      <c r="W234" s="47"/>
      <c r="X234" s="47"/>
      <c r="Y234" s="47"/>
      <c r="Z234" s="47"/>
      <c r="AA234" s="47"/>
      <c r="AB234" s="47"/>
      <c r="AC234" s="47"/>
      <c r="AD234" s="47"/>
      <c r="AE234" s="47"/>
      <c r="AF234" s="47"/>
      <c r="AG234" s="47"/>
      <c r="AH234" s="47"/>
      <c r="AI234" s="47"/>
      <c r="AJ234" s="47"/>
      <c r="AK234" s="47"/>
      <c r="AL234" s="47"/>
      <c r="AM234" s="47"/>
      <c r="AN234" s="47"/>
      <c r="AO234" s="47"/>
    </row>
    <row r="235" spans="1:41" ht="15.75" customHeight="1">
      <c r="A235" s="40"/>
      <c r="B235" s="102"/>
      <c r="C235" s="103"/>
      <c r="D235" s="113"/>
      <c r="E235" s="102"/>
      <c r="F235" s="102"/>
      <c r="G235" s="103"/>
      <c r="H235" s="102"/>
      <c r="I235" s="40"/>
      <c r="J235" s="112"/>
      <c r="K235" s="112"/>
      <c r="L235" s="112"/>
      <c r="M235" s="112"/>
      <c r="N235" s="112"/>
      <c r="O235" s="112"/>
      <c r="P235" s="112"/>
      <c r="Q235" s="39">
        <f t="shared" si="26"/>
        <v>0</v>
      </c>
      <c r="R235" s="39">
        <f t="shared" si="27"/>
        <v>0</v>
      </c>
      <c r="S235" s="47"/>
      <c r="U235" s="47"/>
      <c r="V235" s="47"/>
      <c r="W235" s="47"/>
      <c r="X235" s="47"/>
      <c r="Y235" s="47"/>
      <c r="Z235" s="47"/>
      <c r="AA235" s="47"/>
      <c r="AB235" s="47"/>
      <c r="AC235" s="47"/>
      <c r="AD235" s="47"/>
      <c r="AE235" s="47"/>
      <c r="AF235" s="47"/>
      <c r="AG235" s="47"/>
      <c r="AH235" s="47"/>
      <c r="AI235" s="47"/>
      <c r="AJ235" s="47"/>
      <c r="AK235" s="47"/>
      <c r="AL235" s="47"/>
      <c r="AM235" s="47"/>
      <c r="AN235" s="47"/>
      <c r="AO235" s="47"/>
    </row>
    <row r="236" spans="1:41" ht="15.75" customHeight="1">
      <c r="A236" s="40" t="s">
        <v>478</v>
      </c>
      <c r="B236" s="197">
        <f>(' Pivot Table for Data Exchange'!$O$295)*100</f>
        <v>90.51375736422928</v>
      </c>
      <c r="C236" s="197">
        <f>(' Pivot Table for Data Exchange'!$O$298)*100</f>
        <v>0</v>
      </c>
      <c r="D236" s="113">
        <f>SUM(E236:G236)</f>
        <v>9.486242635770724</v>
      </c>
      <c r="E236" s="197">
        <f>(' Pivot Table for Data Exchange'!$O$301)*100</f>
        <v>9.486242635770724</v>
      </c>
      <c r="F236" s="197">
        <f>(' Pivot Table for Data Exchange'!$O$304)*100</f>
        <v>0</v>
      </c>
      <c r="G236" s="199">
        <f>(' Pivot Table for Data Exchange'!$O$307)*100</f>
        <v>0</v>
      </c>
      <c r="H236" s="197">
        <f>(' Pivot Table for Data Exchange'!$O$310)*100</f>
        <v>0</v>
      </c>
      <c r="I236" s="40"/>
      <c r="J236" s="112"/>
      <c r="K236" s="112"/>
      <c r="L236" s="112"/>
      <c r="M236" s="112"/>
      <c r="N236" s="112"/>
      <c r="O236" s="112"/>
      <c r="P236" s="112"/>
      <c r="Q236" s="39">
        <f t="shared" si="26"/>
        <v>100</v>
      </c>
      <c r="R236" s="39">
        <f t="shared" si="27"/>
        <v>0</v>
      </c>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row>
    <row r="237" spans="1:41" ht="15.75" customHeight="1">
      <c r="A237" s="40" t="s">
        <v>130</v>
      </c>
      <c r="B237" s="197">
        <f>(' Pivot Table for Data Exchange'!$O$331)*100</f>
        <v>73.59044984367445</v>
      </c>
      <c r="C237" s="197">
        <f>(' Pivot Table for Data Exchange'!$O$334)*100</f>
        <v>17.049180603246356</v>
      </c>
      <c r="D237" s="113">
        <f>SUM(E237:G237)</f>
        <v>9.36036955307918</v>
      </c>
      <c r="E237" s="197">
        <f>(' Pivot Table for Data Exchange'!$O$337)*100</f>
        <v>7.164995491276671</v>
      </c>
      <c r="F237" s="197">
        <f>(' Pivot Table for Data Exchange'!$O$340)*100</f>
        <v>0.3489834518647868</v>
      </c>
      <c r="G237" s="199">
        <f>(' Pivot Table for Data Exchange'!$O$343)*100</f>
        <v>1.8463906099377214</v>
      </c>
      <c r="H237" s="197">
        <f>(' Pivot Table for Data Exchange'!$O$346)*100</f>
        <v>0</v>
      </c>
      <c r="I237" s="40"/>
      <c r="J237" s="112"/>
      <c r="K237" s="112"/>
      <c r="L237" s="112"/>
      <c r="M237" s="112"/>
      <c r="N237" s="112"/>
      <c r="O237" s="112"/>
      <c r="P237" s="112"/>
      <c r="Q237" s="39">
        <f t="shared" si="26"/>
        <v>99.99999999999999</v>
      </c>
      <c r="R237" s="39">
        <f t="shared" si="27"/>
        <v>0</v>
      </c>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row>
    <row r="238" spans="1:41" ht="15.75" customHeight="1">
      <c r="A238" s="40" t="s">
        <v>123</v>
      </c>
      <c r="B238" s="197">
        <f>(' Pivot Table for Data Exchange'!$O$367)*100</f>
        <v>79.06961446483628</v>
      </c>
      <c r="C238" s="197">
        <f>(' Pivot Table for Data Exchange'!$O$370)*100</f>
        <v>5.814326061447121</v>
      </c>
      <c r="D238" s="113">
        <f>SUM(E238:G238)</f>
        <v>14.599862356866348</v>
      </c>
      <c r="E238" s="197">
        <f>(' Pivot Table for Data Exchange'!$O$373)*100</f>
        <v>11.166776653857227</v>
      </c>
      <c r="F238" s="197">
        <f>(' Pivot Table for Data Exchange'!$O$376)*100</f>
        <v>2.2346143481296163</v>
      </c>
      <c r="G238" s="199">
        <f>(' Pivot Table for Data Exchange'!$O$379)*100</f>
        <v>1.1984713548795056</v>
      </c>
      <c r="H238" s="197">
        <f>(' Pivot Table for Data Exchange'!$O$382)*100</f>
        <v>0.5161971168502498</v>
      </c>
      <c r="I238" s="40"/>
      <c r="J238" s="112"/>
      <c r="K238" s="112"/>
      <c r="L238" s="112"/>
      <c r="M238" s="112"/>
      <c r="N238" s="112"/>
      <c r="O238" s="112"/>
      <c r="P238" s="112"/>
      <c r="Q238" s="39">
        <f t="shared" si="26"/>
        <v>100</v>
      </c>
      <c r="R238" s="39">
        <f t="shared" si="27"/>
        <v>0</v>
      </c>
      <c r="S238" s="47"/>
      <c r="T238" s="59"/>
      <c r="U238" s="47"/>
      <c r="V238" s="47"/>
      <c r="W238" s="47"/>
      <c r="X238" s="47"/>
      <c r="Y238" s="47"/>
      <c r="Z238" s="47"/>
      <c r="AA238" s="47"/>
      <c r="AB238" s="47"/>
      <c r="AC238" s="47"/>
      <c r="AD238" s="47"/>
      <c r="AE238" s="47"/>
      <c r="AF238" s="47"/>
      <c r="AG238" s="47"/>
      <c r="AH238" s="47"/>
      <c r="AI238" s="47"/>
      <c r="AJ238" s="47"/>
      <c r="AK238" s="47"/>
      <c r="AL238" s="47"/>
      <c r="AM238" s="47"/>
      <c r="AN238" s="47"/>
      <c r="AO238" s="47"/>
    </row>
    <row r="239" spans="1:41" ht="15.75" customHeight="1">
      <c r="A239" s="40" t="s">
        <v>429</v>
      </c>
      <c r="B239" s="197"/>
      <c r="C239" s="197"/>
      <c r="D239" s="113"/>
      <c r="E239" s="197"/>
      <c r="F239" s="197"/>
      <c r="G239" s="199"/>
      <c r="H239" s="197"/>
      <c r="I239" s="40"/>
      <c r="J239" s="112"/>
      <c r="K239" s="112"/>
      <c r="L239" s="112"/>
      <c r="M239" s="112"/>
      <c r="N239" s="112"/>
      <c r="O239" s="112"/>
      <c r="P239" s="112"/>
      <c r="Q239" s="39">
        <f aca="true" t="shared" si="28" ref="Q239:Q244">SUM(B239,C239,D239,H239)</f>
        <v>0</v>
      </c>
      <c r="R239" s="39">
        <f aca="true" t="shared" si="29" ref="R239:R244">SUM(J239,K239,L239,P239)</f>
        <v>0</v>
      </c>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row>
    <row r="240" spans="1:41" ht="10.5" customHeight="1">
      <c r="A240" s="40"/>
      <c r="B240" s="197"/>
      <c r="C240" s="197"/>
      <c r="D240" s="113"/>
      <c r="E240" s="197"/>
      <c r="F240" s="197"/>
      <c r="G240" s="199"/>
      <c r="H240" s="197"/>
      <c r="I240" s="40"/>
      <c r="J240" s="112"/>
      <c r="K240" s="112"/>
      <c r="L240" s="112"/>
      <c r="M240" s="112"/>
      <c r="N240" s="112"/>
      <c r="O240" s="112"/>
      <c r="P240" s="112"/>
      <c r="Q240" s="39"/>
      <c r="R240" s="39"/>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row>
    <row r="241" spans="1:41" ht="15.75" customHeight="1">
      <c r="A241" s="40" t="s">
        <v>430</v>
      </c>
      <c r="B241" s="197"/>
      <c r="C241" s="197"/>
      <c r="D241" s="113"/>
      <c r="E241" s="197"/>
      <c r="F241" s="197"/>
      <c r="G241" s="199"/>
      <c r="H241" s="197"/>
      <c r="I241" s="40"/>
      <c r="J241" s="112"/>
      <c r="K241" s="112"/>
      <c r="L241" s="112"/>
      <c r="M241" s="112"/>
      <c r="N241" s="112"/>
      <c r="O241" s="112"/>
      <c r="P241" s="112"/>
      <c r="Q241" s="39">
        <f t="shared" si="28"/>
        <v>0</v>
      </c>
      <c r="R241" s="39">
        <f t="shared" si="29"/>
        <v>0</v>
      </c>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row>
    <row r="242" spans="1:41" ht="15.75" customHeight="1">
      <c r="A242" s="40" t="s">
        <v>229</v>
      </c>
      <c r="B242" s="197">
        <f>(' Pivot Table for Data Exchange'!$O$403)*100</f>
        <v>77.76900018802888</v>
      </c>
      <c r="C242" s="197">
        <f>(' Pivot Table for Data Exchange'!$O$406)*100</f>
        <v>11.777701868204403</v>
      </c>
      <c r="D242" s="113">
        <f>SUM(E242:G242)</f>
        <v>10.45329794376671</v>
      </c>
      <c r="E242" s="197">
        <f>(' Pivot Table for Data Exchange'!$O$409)*100</f>
        <v>8.821582400496291</v>
      </c>
      <c r="F242" s="197">
        <f>(' Pivot Table for Data Exchange'!$O$412)*100</f>
        <v>0.5233136186573516</v>
      </c>
      <c r="G242" s="199">
        <f>(' Pivot Table for Data Exchange'!$O$415)*100</f>
        <v>1.1084019246130683</v>
      </c>
      <c r="H242" s="197">
        <f>(' Pivot Table for Data Exchange'!$O$418)*100</f>
        <v>0</v>
      </c>
      <c r="I242" s="40"/>
      <c r="J242" s="112"/>
      <c r="K242" s="112"/>
      <c r="L242" s="112"/>
      <c r="M242" s="112"/>
      <c r="N242" s="112"/>
      <c r="O242" s="112"/>
      <c r="P242" s="112"/>
      <c r="Q242" s="39">
        <f t="shared" si="28"/>
        <v>100</v>
      </c>
      <c r="R242" s="39">
        <f t="shared" si="29"/>
        <v>0</v>
      </c>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row>
    <row r="243" spans="1:41" ht="15.75" customHeight="1">
      <c r="A243" s="40" t="s">
        <v>431</v>
      </c>
      <c r="B243" s="197">
        <f>(' Pivot Table for Data Exchange'!$O$511)*100</f>
        <v>0</v>
      </c>
      <c r="C243" s="197">
        <f>(' Pivot Table for Data Exchange'!$O$514)*100</f>
        <v>0</v>
      </c>
      <c r="D243" s="113">
        <f>SUM(E243:G243)</f>
        <v>0</v>
      </c>
      <c r="E243" s="197">
        <f>(' Pivot Table for Data Exchange'!$O$517)*100</f>
        <v>0</v>
      </c>
      <c r="F243" s="197">
        <f>(' Pivot Table for Data Exchange'!$O$520)*100</f>
        <v>0</v>
      </c>
      <c r="G243" s="199">
        <f>(' Pivot Table for Data Exchange'!$O$523)*100</f>
        <v>0</v>
      </c>
      <c r="H243" s="197">
        <f>(' Pivot Table for Data Exchange'!$O$526)*100</f>
        <v>0</v>
      </c>
      <c r="I243" s="40"/>
      <c r="J243" s="112"/>
      <c r="K243" s="112"/>
      <c r="L243" s="112"/>
      <c r="M243" s="112"/>
      <c r="N243" s="112"/>
      <c r="O243" s="112"/>
      <c r="P243" s="112"/>
      <c r="Q243" s="39">
        <f t="shared" si="28"/>
        <v>0</v>
      </c>
      <c r="R243" s="39">
        <f t="shared" si="29"/>
        <v>0</v>
      </c>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row>
    <row r="244" spans="1:41" ht="15.75" customHeight="1">
      <c r="A244" s="34" t="s">
        <v>124</v>
      </c>
      <c r="B244" s="201">
        <f>(' Pivot Table for Data Exchange'!$O$439)*100</f>
        <v>70.28075019124074</v>
      </c>
      <c r="C244" s="201">
        <f>(' Pivot Table for Data Exchange'!$O$442)*100</f>
        <v>22.288338271887174</v>
      </c>
      <c r="D244" s="114">
        <f>SUM(E244:G244)</f>
        <v>7.3816725431061005</v>
      </c>
      <c r="E244" s="201">
        <f>(' Pivot Table for Data Exchange'!$O$445)*100</f>
        <v>5.150091004211692</v>
      </c>
      <c r="F244" s="201">
        <f>(' Pivot Table for Data Exchange'!$O$448)*100</f>
        <v>1.9607670731814544</v>
      </c>
      <c r="G244" s="202">
        <f>(' Pivot Table for Data Exchange'!$O$451)*100</f>
        <v>0.27081446571295426</v>
      </c>
      <c r="H244" s="208">
        <f>(' Pivot Table for Data Exchange'!$O$454)*100</f>
        <v>0.04923899376599168</v>
      </c>
      <c r="I244" s="40"/>
      <c r="J244" s="112"/>
      <c r="K244" s="112"/>
      <c r="L244" s="112"/>
      <c r="M244" s="112"/>
      <c r="N244" s="112"/>
      <c r="O244" s="112"/>
      <c r="P244" s="112"/>
      <c r="Q244" s="39">
        <f t="shared" si="28"/>
        <v>100.00000000000001</v>
      </c>
      <c r="R244" s="39">
        <f t="shared" si="29"/>
        <v>0</v>
      </c>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row>
    <row r="245" spans="1:41" s="64" customFormat="1" ht="18" customHeight="1">
      <c r="A245" s="115" t="s">
        <v>477</v>
      </c>
      <c r="B245" s="68"/>
      <c r="C245" s="68"/>
      <c r="D245" s="69"/>
      <c r="E245" s="68"/>
      <c r="F245" s="69"/>
      <c r="G245" s="69"/>
      <c r="H245" s="68"/>
      <c r="I245" s="115"/>
      <c r="J245" s="68"/>
      <c r="K245" s="68"/>
      <c r="L245" s="69"/>
      <c r="M245" s="68"/>
      <c r="N245" s="69"/>
      <c r="O245" s="69"/>
      <c r="P245" s="68"/>
      <c r="Q245" s="68"/>
      <c r="R245" s="68"/>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row>
    <row r="246" spans="1:18" s="64" customFormat="1" ht="28.5" customHeight="1">
      <c r="A246" s="687" t="s">
        <v>749</v>
      </c>
      <c r="B246" s="688"/>
      <c r="C246" s="688"/>
      <c r="D246" s="688"/>
      <c r="E246" s="688"/>
      <c r="F246" s="688"/>
      <c r="G246" s="688"/>
      <c r="H246" s="688"/>
      <c r="I246" s="115"/>
      <c r="P246" s="65"/>
      <c r="Q246" s="66"/>
      <c r="R246" s="67"/>
    </row>
    <row r="247" spans="1:41" ht="12" customHeight="1">
      <c r="A247" s="40"/>
      <c r="B247" s="102"/>
      <c r="C247" s="102"/>
      <c r="D247" s="101"/>
      <c r="E247" s="102"/>
      <c r="F247" s="101"/>
      <c r="G247" s="101"/>
      <c r="H247" s="102"/>
      <c r="I247" s="40"/>
      <c r="J247" s="102"/>
      <c r="K247" s="102"/>
      <c r="L247" s="101"/>
      <c r="M247" s="102"/>
      <c r="N247" s="101"/>
      <c r="O247" s="101"/>
      <c r="P247" s="102"/>
      <c r="Q247" s="39"/>
      <c r="R247" s="39"/>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row>
    <row r="248" spans="8:18" s="64" customFormat="1" ht="11.25">
      <c r="H248" s="559" t="s">
        <v>766</v>
      </c>
      <c r="I248" s="62"/>
      <c r="J248" s="62"/>
      <c r="K248" s="62"/>
      <c r="L248" s="62"/>
      <c r="M248" s="62"/>
      <c r="N248" s="62"/>
      <c r="O248" s="62"/>
      <c r="P248" s="62"/>
      <c r="Q248" s="62"/>
      <c r="R248" s="62"/>
    </row>
    <row r="249" spans="1:17" ht="18">
      <c r="A249" s="31" t="s">
        <v>449</v>
      </c>
      <c r="B249" s="32"/>
      <c r="C249" s="32"/>
      <c r="D249" s="32"/>
      <c r="E249" s="32"/>
      <c r="F249" s="32"/>
      <c r="G249" s="32"/>
      <c r="H249" s="46"/>
      <c r="I249" s="45"/>
      <c r="J249" s="40"/>
      <c r="K249" s="40"/>
      <c r="L249" s="40"/>
      <c r="M249" s="40"/>
      <c r="N249" s="40"/>
      <c r="O249" s="40"/>
      <c r="P249" s="40"/>
      <c r="Q249" s="55"/>
    </row>
    <row r="250" spans="1:16" ht="12.75">
      <c r="A250" s="78"/>
      <c r="B250" s="33"/>
      <c r="C250" s="33"/>
      <c r="D250" s="33"/>
      <c r="E250" s="33"/>
      <c r="F250" s="33"/>
      <c r="G250" s="33"/>
      <c r="H250" s="43"/>
      <c r="I250" s="45"/>
      <c r="J250" s="40"/>
      <c r="K250" s="40"/>
      <c r="L250" s="40"/>
      <c r="M250" s="40"/>
      <c r="N250" s="40"/>
      <c r="O250" s="40"/>
      <c r="P250" s="40"/>
    </row>
    <row r="251" spans="1:16" ht="15.75">
      <c r="A251" s="42" t="s">
        <v>465</v>
      </c>
      <c r="B251" s="33"/>
      <c r="C251" s="33"/>
      <c r="D251" s="33"/>
      <c r="E251" s="33"/>
      <c r="F251" s="33"/>
      <c r="G251" s="33"/>
      <c r="H251" s="43"/>
      <c r="I251" s="45"/>
      <c r="J251" s="40"/>
      <c r="K251" s="40"/>
      <c r="L251" s="40"/>
      <c r="M251" s="40"/>
      <c r="N251" s="40"/>
      <c r="O251" s="40"/>
      <c r="P251" s="40"/>
    </row>
    <row r="252" spans="1:16" ht="15.75">
      <c r="A252" s="42" t="s">
        <v>738</v>
      </c>
      <c r="B252" s="33"/>
      <c r="C252" s="33"/>
      <c r="D252" s="33"/>
      <c r="E252" s="33"/>
      <c r="F252" s="33"/>
      <c r="G252" s="33"/>
      <c r="H252" s="43"/>
      <c r="I252" s="45"/>
      <c r="J252" s="40"/>
      <c r="K252" s="40"/>
      <c r="L252" s="40"/>
      <c r="M252" s="40"/>
      <c r="N252" s="40"/>
      <c r="O252" s="40"/>
      <c r="P252" s="40"/>
    </row>
    <row r="253" spans="1:16" ht="12.75">
      <c r="A253" s="34"/>
      <c r="B253" s="35"/>
      <c r="C253" s="35"/>
      <c r="D253" s="35"/>
      <c r="E253" s="35"/>
      <c r="F253" s="35"/>
      <c r="G253" s="35"/>
      <c r="H253" s="35"/>
      <c r="I253" s="45"/>
      <c r="J253" s="40"/>
      <c r="K253" s="40"/>
      <c r="L253" s="40"/>
      <c r="M253" s="40"/>
      <c r="N253" s="40"/>
      <c r="O253" s="40"/>
      <c r="P253" s="40"/>
    </row>
    <row r="254" spans="1:16" ht="12.75">
      <c r="A254" s="85"/>
      <c r="B254" s="86" t="s">
        <v>231</v>
      </c>
      <c r="C254" s="86"/>
      <c r="D254" s="86"/>
      <c r="E254" s="86"/>
      <c r="F254" s="86"/>
      <c r="G254" s="86"/>
      <c r="H254" s="87"/>
      <c r="I254" s="45"/>
      <c r="J254" s="40"/>
      <c r="K254" s="40"/>
      <c r="L254" s="40"/>
      <c r="M254" s="40"/>
      <c r="N254" s="40"/>
      <c r="O254" s="40"/>
      <c r="P254" s="40"/>
    </row>
    <row r="255" spans="1:16" ht="12.75">
      <c r="A255" s="85"/>
      <c r="B255" s="86" t="s">
        <v>127</v>
      </c>
      <c r="C255" s="86"/>
      <c r="D255" s="690" t="s">
        <v>472</v>
      </c>
      <c r="E255" s="691"/>
      <c r="F255" s="691"/>
      <c r="G255" s="691"/>
      <c r="H255" s="91" t="s">
        <v>14</v>
      </c>
      <c r="I255" s="45"/>
      <c r="J255" s="40"/>
      <c r="K255" s="40"/>
      <c r="L255" s="40"/>
      <c r="M255" s="40"/>
      <c r="N255" s="40"/>
      <c r="O255" s="40"/>
      <c r="P255" s="40"/>
    </row>
    <row r="256" spans="1:16" ht="36">
      <c r="A256" s="85"/>
      <c r="B256" s="92" t="s">
        <v>464</v>
      </c>
      <c r="C256" s="93" t="s">
        <v>463</v>
      </c>
      <c r="D256" s="94" t="s">
        <v>470</v>
      </c>
      <c r="E256" s="95" t="s">
        <v>12</v>
      </c>
      <c r="F256" s="92" t="s">
        <v>128</v>
      </c>
      <c r="G256" s="96" t="s">
        <v>474</v>
      </c>
      <c r="H256" s="97" t="s">
        <v>473</v>
      </c>
      <c r="I256" s="45"/>
      <c r="J256" s="40"/>
      <c r="K256" s="40"/>
      <c r="L256" s="40"/>
      <c r="M256" s="40"/>
      <c r="N256" s="40"/>
      <c r="O256" s="40"/>
      <c r="P256" s="40"/>
    </row>
    <row r="257" spans="1:41" ht="15.75" customHeight="1">
      <c r="A257" s="41" t="s">
        <v>421</v>
      </c>
      <c r="B257" s="197">
        <f>(' Pivot Table for Data Exchange'!$K$7)*100</f>
        <v>0</v>
      </c>
      <c r="C257" s="197">
        <f>(' Pivot Table for Data Exchange'!$K$10)*100</f>
        <v>0</v>
      </c>
      <c r="D257" s="113">
        <f>SUM(E257:G257)</f>
        <v>0</v>
      </c>
      <c r="E257" s="197">
        <f>(' Pivot Table for Data Exchange'!$K$13)*100</f>
        <v>0</v>
      </c>
      <c r="F257" s="197">
        <f>(' Pivot Table for Data Exchange'!$K$16)*100</f>
        <v>0</v>
      </c>
      <c r="G257" s="198">
        <f>(' Pivot Table for Data Exchange'!$K$19)*100</f>
        <v>0</v>
      </c>
      <c r="H257" s="197">
        <f>(' Pivot Table for Data Exchange'!$K$22)*100</f>
        <v>0</v>
      </c>
      <c r="I257" s="40"/>
      <c r="J257" s="112"/>
      <c r="K257" s="112"/>
      <c r="L257" s="112"/>
      <c r="M257" s="112"/>
      <c r="N257" s="112"/>
      <c r="O257" s="112"/>
      <c r="P257" s="112"/>
      <c r="Q257" s="39">
        <f aca="true" t="shared" si="30" ref="Q257:Q269">SUM(B257,C257,D257,H257)</f>
        <v>0</v>
      </c>
      <c r="R257" s="39">
        <f aca="true" t="shared" si="31" ref="R257:R269">SUM(J257,K257,L257,P257)</f>
        <v>0</v>
      </c>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row>
    <row r="258" spans="1:41" ht="15.75" customHeight="1">
      <c r="A258" s="40" t="s">
        <v>422</v>
      </c>
      <c r="B258" s="197">
        <f>(' Pivot Table for Data Exchange'!$K$43)*100</f>
        <v>90.21238843603666</v>
      </c>
      <c r="C258" s="197">
        <f>(' Pivot Table for Data Exchange'!$K$46)*100</f>
        <v>1.4354896807502968</v>
      </c>
      <c r="D258" s="113">
        <f>SUM(E258:G258)</f>
        <v>8.352121883213043</v>
      </c>
      <c r="E258" s="197">
        <f>(' Pivot Table for Data Exchange'!$K$49)*100</f>
        <v>8.254065664314208</v>
      </c>
      <c r="F258" s="200">
        <f>(' Pivot Table for Data Exchange'!$K$52)*100</f>
        <v>0.09805621889883533</v>
      </c>
      <c r="G258" s="199">
        <f>(' Pivot Table for Data Exchange'!$K$55)*100</f>
        <v>0</v>
      </c>
      <c r="H258" s="197">
        <f>(' Pivot Table for Data Exchange'!$K$58)*100</f>
        <v>0</v>
      </c>
      <c r="I258" s="40"/>
      <c r="J258" s="112"/>
      <c r="K258" s="112"/>
      <c r="L258" s="112"/>
      <c r="M258" s="112"/>
      <c r="N258" s="112"/>
      <c r="O258" s="112"/>
      <c r="P258" s="112"/>
      <c r="Q258" s="39">
        <f t="shared" si="30"/>
        <v>100</v>
      </c>
      <c r="R258" s="39">
        <f t="shared" si="31"/>
        <v>0</v>
      </c>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row>
    <row r="259" spans="1:41" ht="15.75" customHeight="1">
      <c r="A259" s="40" t="s">
        <v>423</v>
      </c>
      <c r="B259" s="197">
        <f>(' Pivot Table for Data Exchange'!$K$79)*100</f>
        <v>0</v>
      </c>
      <c r="C259" s="197">
        <f>(' Pivot Table for Data Exchange'!$K$82)*100</f>
        <v>0</v>
      </c>
      <c r="D259" s="113">
        <f>SUM(E259:G259)</f>
        <v>0</v>
      </c>
      <c r="E259" s="197">
        <f>(' Pivot Table for Data Exchange'!$K$85)*100</f>
        <v>0</v>
      </c>
      <c r="F259" s="197">
        <f>(' Pivot Table for Data Exchange'!$K$88)*100</f>
        <v>0</v>
      </c>
      <c r="G259" s="199">
        <f>(' Pivot Table for Data Exchange'!$K$91)*100</f>
        <v>0</v>
      </c>
      <c r="H259" s="197">
        <f>(' Pivot Table for Data Exchange'!$K$94)*100</f>
        <v>0</v>
      </c>
      <c r="I259" s="40"/>
      <c r="J259" s="112"/>
      <c r="K259" s="112"/>
      <c r="L259" s="112"/>
      <c r="M259" s="112"/>
      <c r="N259" s="112"/>
      <c r="O259" s="112"/>
      <c r="P259" s="112"/>
      <c r="Q259" s="39">
        <f t="shared" si="30"/>
        <v>0</v>
      </c>
      <c r="R259" s="39">
        <f t="shared" si="31"/>
        <v>0</v>
      </c>
      <c r="S259" s="47"/>
      <c r="T259" s="59"/>
      <c r="U259" s="47"/>
      <c r="V259" s="47"/>
      <c r="W259" s="47"/>
      <c r="X259" s="47"/>
      <c r="Y259" s="47"/>
      <c r="Z259" s="47"/>
      <c r="AA259" s="47"/>
      <c r="AB259" s="47"/>
      <c r="AC259" s="47"/>
      <c r="AD259" s="47"/>
      <c r="AE259" s="47"/>
      <c r="AF259" s="47"/>
      <c r="AG259" s="47"/>
      <c r="AH259" s="47"/>
      <c r="AI259" s="47"/>
      <c r="AJ259" s="47"/>
      <c r="AK259" s="47"/>
      <c r="AL259" s="47"/>
      <c r="AM259" s="47"/>
      <c r="AN259" s="47"/>
      <c r="AO259" s="47"/>
    </row>
    <row r="260" spans="1:41" ht="15.75" customHeight="1">
      <c r="A260" s="40" t="s">
        <v>424</v>
      </c>
      <c r="B260" s="197">
        <f>(' Pivot Table for Data Exchange'!$K$115)*100</f>
        <v>88.50830616977963</v>
      </c>
      <c r="C260" s="197">
        <f>(' Pivot Table for Data Exchange'!$K$118)*100</f>
        <v>1.8714562411354532</v>
      </c>
      <c r="D260" s="113">
        <f>SUM(E260:G260)</f>
        <v>8.613565627035893</v>
      </c>
      <c r="E260" s="197">
        <f>(' Pivot Table for Data Exchange'!$K$121)*100</f>
        <v>7.863368148824414</v>
      </c>
      <c r="F260" s="200">
        <f>(' Pivot Table for Data Exchange'!$K$124)*100</f>
        <v>0.01252434832190212</v>
      </c>
      <c r="G260" s="199">
        <f>(' Pivot Table for Data Exchange'!$K$127)*100</f>
        <v>0.737673129889577</v>
      </c>
      <c r="H260" s="197">
        <f>(' Pivot Table for Data Exchange'!$K$130)*100</f>
        <v>1.0066719620490274</v>
      </c>
      <c r="I260" s="40"/>
      <c r="J260" s="112"/>
      <c r="K260" s="112"/>
      <c r="L260" s="112"/>
      <c r="M260" s="112"/>
      <c r="N260" s="112"/>
      <c r="O260" s="112"/>
      <c r="P260" s="112"/>
      <c r="Q260" s="39">
        <f t="shared" si="30"/>
        <v>100</v>
      </c>
      <c r="R260" s="39">
        <f t="shared" si="31"/>
        <v>0</v>
      </c>
      <c r="S260" s="47"/>
      <c r="U260" s="47"/>
      <c r="V260" s="47"/>
      <c r="W260" s="47"/>
      <c r="X260" s="47"/>
      <c r="Y260" s="47"/>
      <c r="Z260" s="47"/>
      <c r="AA260" s="47"/>
      <c r="AB260" s="47"/>
      <c r="AC260" s="47"/>
      <c r="AD260" s="47"/>
      <c r="AE260" s="47"/>
      <c r="AF260" s="47"/>
      <c r="AG260" s="47"/>
      <c r="AH260" s="47"/>
      <c r="AI260" s="47"/>
      <c r="AJ260" s="47"/>
      <c r="AK260" s="47"/>
      <c r="AL260" s="47"/>
      <c r="AM260" s="47"/>
      <c r="AN260" s="47"/>
      <c r="AO260" s="47"/>
    </row>
    <row r="261" spans="1:41" ht="15.75" customHeight="1">
      <c r="A261" s="40"/>
      <c r="B261" s="102"/>
      <c r="C261" s="103"/>
      <c r="D261" s="113"/>
      <c r="E261" s="102"/>
      <c r="F261" s="102"/>
      <c r="G261" s="103"/>
      <c r="H261" s="102"/>
      <c r="I261" s="40"/>
      <c r="J261" s="112"/>
      <c r="K261" s="112"/>
      <c r="L261" s="112"/>
      <c r="M261" s="112"/>
      <c r="N261" s="112"/>
      <c r="O261" s="112"/>
      <c r="P261" s="112"/>
      <c r="Q261" s="39">
        <f t="shared" si="30"/>
        <v>0</v>
      </c>
      <c r="R261" s="39">
        <f t="shared" si="31"/>
        <v>0</v>
      </c>
      <c r="S261" s="47"/>
      <c r="U261" s="47"/>
      <c r="V261" s="47"/>
      <c r="W261" s="47"/>
      <c r="X261" s="47"/>
      <c r="Y261" s="47"/>
      <c r="Z261" s="47"/>
      <c r="AA261" s="47"/>
      <c r="AB261" s="47"/>
      <c r="AC261" s="47"/>
      <c r="AD261" s="47"/>
      <c r="AE261" s="47"/>
      <c r="AF261" s="47"/>
      <c r="AG261" s="47"/>
      <c r="AH261" s="47"/>
      <c r="AI261" s="47"/>
      <c r="AJ261" s="47"/>
      <c r="AK261" s="47"/>
      <c r="AL261" s="47"/>
      <c r="AM261" s="47"/>
      <c r="AN261" s="47"/>
      <c r="AO261" s="47"/>
    </row>
    <row r="262" spans="1:41" ht="15.75" customHeight="1">
      <c r="A262" s="40" t="s">
        <v>425</v>
      </c>
      <c r="B262" s="197">
        <f>(' Pivot Table for Data Exchange'!$K$151)*100</f>
        <v>79.49723682436986</v>
      </c>
      <c r="C262" s="197">
        <f>(' Pivot Table for Data Exchange'!$K$154)*100</f>
        <v>14.623264590915216</v>
      </c>
      <c r="D262" s="113">
        <f>SUM(E262:G262)</f>
        <v>5.879498584714922</v>
      </c>
      <c r="E262" s="197">
        <f>(' Pivot Table for Data Exchange'!$K$157)*100</f>
        <v>5.879498584714922</v>
      </c>
      <c r="F262" s="197">
        <f>(' Pivot Table for Data Exchange'!$K$160)*100</f>
        <v>0</v>
      </c>
      <c r="G262" s="199">
        <f>(' Pivot Table for Data Exchange'!$K$163)*100</f>
        <v>0</v>
      </c>
      <c r="H262" s="197">
        <f>(' Pivot Table for Data Exchange'!$K$166)*100</f>
        <v>0</v>
      </c>
      <c r="I262" s="40"/>
      <c r="J262" s="112"/>
      <c r="K262" s="112"/>
      <c r="L262" s="112"/>
      <c r="M262" s="112"/>
      <c r="N262" s="112"/>
      <c r="O262" s="112"/>
      <c r="P262" s="112"/>
      <c r="Q262" s="39">
        <f t="shared" si="30"/>
        <v>100</v>
      </c>
      <c r="R262" s="39">
        <f t="shared" si="31"/>
        <v>0</v>
      </c>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row>
    <row r="263" spans="1:41" ht="15.75" customHeight="1">
      <c r="A263" s="40" t="s">
        <v>426</v>
      </c>
      <c r="B263" s="197">
        <f>(' Pivot Table for Data Exchange'!$K$187)*100</f>
        <v>0</v>
      </c>
      <c r="C263" s="197">
        <f>(' Pivot Table for Data Exchange'!$K$190)*100</f>
        <v>0</v>
      </c>
      <c r="D263" s="113">
        <f>SUM(E263:G263)</f>
        <v>0</v>
      </c>
      <c r="E263" s="197">
        <f>(' Pivot Table for Data Exchange'!$K$193)*100</f>
        <v>0</v>
      </c>
      <c r="F263" s="197">
        <f>(' Pivot Table for Data Exchange'!$K$196)*100</f>
        <v>0</v>
      </c>
      <c r="G263" s="199">
        <f>(' Pivot Table for Data Exchange'!$K$199)*100</f>
        <v>0</v>
      </c>
      <c r="H263" s="197">
        <f>(' Pivot Table for Data Exchange'!$K$202)*100</f>
        <v>0</v>
      </c>
      <c r="I263" s="40"/>
      <c r="J263" s="112"/>
      <c r="K263" s="112"/>
      <c r="L263" s="112"/>
      <c r="M263" s="112"/>
      <c r="N263" s="112"/>
      <c r="O263" s="112"/>
      <c r="P263" s="112"/>
      <c r="Q263" s="39">
        <f t="shared" si="30"/>
        <v>0</v>
      </c>
      <c r="R263" s="39">
        <f t="shared" si="31"/>
        <v>0</v>
      </c>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row>
    <row r="264" spans="1:41" ht="15.75" customHeight="1">
      <c r="A264" s="40" t="s">
        <v>427</v>
      </c>
      <c r="B264" s="197">
        <f>(' Pivot Table for Data Exchange'!$K$223)*100</f>
        <v>100</v>
      </c>
      <c r="C264" s="197">
        <f>(' Pivot Table for Data Exchange'!$K$226)*100</f>
        <v>0</v>
      </c>
      <c r="D264" s="113">
        <f>SUM(E264:G264)</f>
        <v>0</v>
      </c>
      <c r="E264" s="197">
        <f>(' Pivot Table for Data Exchange'!$K$229)*100</f>
        <v>0</v>
      </c>
      <c r="F264" s="197">
        <f>(' Pivot Table for Data Exchange'!$K$232)*100</f>
        <v>0</v>
      </c>
      <c r="G264" s="199">
        <f>(' Pivot Table for Data Exchange'!$K$235)*100</f>
        <v>0</v>
      </c>
      <c r="H264" s="197">
        <f>(' Pivot Table for Data Exchange'!$K$238)*100</f>
        <v>0</v>
      </c>
      <c r="I264" s="40"/>
      <c r="J264" s="112"/>
      <c r="K264" s="112"/>
      <c r="L264" s="112"/>
      <c r="M264" s="112"/>
      <c r="N264" s="112"/>
      <c r="O264" s="112"/>
      <c r="P264" s="112"/>
      <c r="Q264" s="39">
        <f t="shared" si="30"/>
        <v>100</v>
      </c>
      <c r="R264" s="39">
        <f t="shared" si="31"/>
        <v>0</v>
      </c>
      <c r="S264" s="47"/>
      <c r="T264" s="59"/>
      <c r="U264" s="47"/>
      <c r="V264" s="47"/>
      <c r="W264" s="47"/>
      <c r="X264" s="47"/>
      <c r="Y264" s="47"/>
      <c r="Z264" s="47"/>
      <c r="AA264" s="47"/>
      <c r="AB264" s="47"/>
      <c r="AC264" s="47"/>
      <c r="AD264" s="47"/>
      <c r="AE264" s="47"/>
      <c r="AF264" s="47"/>
      <c r="AG264" s="47"/>
      <c r="AH264" s="47"/>
      <c r="AI264" s="47"/>
      <c r="AJ264" s="47"/>
      <c r="AK264" s="47"/>
      <c r="AL264" s="47"/>
      <c r="AM264" s="47"/>
      <c r="AN264" s="47"/>
      <c r="AO264" s="47"/>
    </row>
    <row r="265" spans="1:41" ht="15.75" customHeight="1">
      <c r="A265" s="40" t="s">
        <v>428</v>
      </c>
      <c r="B265" s="197">
        <f>(' Pivot Table for Data Exchange'!$K$259)*100</f>
        <v>0</v>
      </c>
      <c r="C265" s="197">
        <f>(' Pivot Table for Data Exchange'!$K$262)*100</f>
        <v>0</v>
      </c>
      <c r="D265" s="113">
        <f>SUM(E265:G265)</f>
        <v>0</v>
      </c>
      <c r="E265" s="197">
        <f>(' Pivot Table for Data Exchange'!$K$265)*100</f>
        <v>0</v>
      </c>
      <c r="F265" s="197">
        <f>(' Pivot Table for Data Exchange'!$K$268)*100</f>
        <v>0</v>
      </c>
      <c r="G265" s="199">
        <f>(' Pivot Table for Data Exchange'!$K$271)*100</f>
        <v>0</v>
      </c>
      <c r="H265" s="197">
        <f>(' Pivot Table for Data Exchange'!$K$274)*100</f>
        <v>0</v>
      </c>
      <c r="I265" s="40"/>
      <c r="J265" s="112"/>
      <c r="K265" s="112"/>
      <c r="L265" s="112"/>
      <c r="M265" s="112"/>
      <c r="N265" s="112"/>
      <c r="O265" s="112"/>
      <c r="P265" s="112"/>
      <c r="Q265" s="39">
        <f t="shared" si="30"/>
        <v>0</v>
      </c>
      <c r="R265" s="39">
        <f t="shared" si="31"/>
        <v>0</v>
      </c>
      <c r="S265" s="47"/>
      <c r="U265" s="47"/>
      <c r="V265" s="47"/>
      <c r="W265" s="47"/>
      <c r="X265" s="47"/>
      <c r="Y265" s="47"/>
      <c r="Z265" s="47"/>
      <c r="AA265" s="47"/>
      <c r="AB265" s="47"/>
      <c r="AC265" s="47"/>
      <c r="AD265" s="47"/>
      <c r="AE265" s="47"/>
      <c r="AF265" s="47"/>
      <c r="AG265" s="47"/>
      <c r="AH265" s="47"/>
      <c r="AI265" s="47"/>
      <c r="AJ265" s="47"/>
      <c r="AK265" s="47"/>
      <c r="AL265" s="47"/>
      <c r="AM265" s="47"/>
      <c r="AN265" s="47"/>
      <c r="AO265" s="47"/>
    </row>
    <row r="266" spans="1:41" ht="15.75" customHeight="1">
      <c r="A266" s="40"/>
      <c r="B266" s="102"/>
      <c r="C266" s="103"/>
      <c r="D266" s="113"/>
      <c r="E266" s="102"/>
      <c r="F266" s="102"/>
      <c r="G266" s="103"/>
      <c r="H266" s="102"/>
      <c r="I266" s="40"/>
      <c r="J266" s="112"/>
      <c r="K266" s="112"/>
      <c r="L266" s="112"/>
      <c r="M266" s="112"/>
      <c r="N266" s="112"/>
      <c r="O266" s="112"/>
      <c r="P266" s="112"/>
      <c r="Q266" s="39">
        <f t="shared" si="30"/>
        <v>0</v>
      </c>
      <c r="R266" s="39">
        <f t="shared" si="31"/>
        <v>0</v>
      </c>
      <c r="S266" s="47"/>
      <c r="U266" s="47"/>
      <c r="V266" s="47"/>
      <c r="W266" s="47"/>
      <c r="X266" s="47"/>
      <c r="Y266" s="47"/>
      <c r="Z266" s="47"/>
      <c r="AA266" s="47"/>
      <c r="AB266" s="47"/>
      <c r="AC266" s="47"/>
      <c r="AD266" s="47"/>
      <c r="AE266" s="47"/>
      <c r="AF266" s="47"/>
      <c r="AG266" s="47"/>
      <c r="AH266" s="47"/>
      <c r="AI266" s="47"/>
      <c r="AJ266" s="47"/>
      <c r="AK266" s="47"/>
      <c r="AL266" s="47"/>
      <c r="AM266" s="47"/>
      <c r="AN266" s="47"/>
      <c r="AO266" s="47"/>
    </row>
    <row r="267" spans="1:41" ht="15.75" customHeight="1">
      <c r="A267" s="40" t="s">
        <v>122</v>
      </c>
      <c r="B267" s="197">
        <f>(' Pivot Table for Data Exchange'!$K$295)*100</f>
        <v>0</v>
      </c>
      <c r="C267" s="197">
        <f>(' Pivot Table for Data Exchange'!$K$298)*100</f>
        <v>0</v>
      </c>
      <c r="D267" s="113">
        <f>SUM(E267:G267)</f>
        <v>0</v>
      </c>
      <c r="E267" s="197">
        <f>(' Pivot Table for Data Exchange'!$K$301)*100</f>
        <v>0</v>
      </c>
      <c r="F267" s="197">
        <f>(' Pivot Table for Data Exchange'!$K$304)*100</f>
        <v>0</v>
      </c>
      <c r="G267" s="199">
        <f>(' Pivot Table for Data Exchange'!$K$307)*100</f>
        <v>0</v>
      </c>
      <c r="H267" s="197">
        <f>(' Pivot Table for Data Exchange'!$K$310)*100</f>
        <v>0</v>
      </c>
      <c r="I267" s="40"/>
      <c r="J267" s="112"/>
      <c r="K267" s="112"/>
      <c r="L267" s="112"/>
      <c r="M267" s="112"/>
      <c r="N267" s="112"/>
      <c r="O267" s="112"/>
      <c r="P267" s="112"/>
      <c r="Q267" s="39">
        <f t="shared" si="30"/>
        <v>0</v>
      </c>
      <c r="R267" s="39">
        <f t="shared" si="31"/>
        <v>0</v>
      </c>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row>
    <row r="268" spans="1:41" ht="15.75" customHeight="1">
      <c r="A268" s="40" t="s">
        <v>130</v>
      </c>
      <c r="B268" s="197">
        <f>(' Pivot Table for Data Exchange'!$K$331)*100</f>
        <v>0</v>
      </c>
      <c r="C268" s="197">
        <f>(' Pivot Table for Data Exchange'!$K$334)*100</f>
        <v>0</v>
      </c>
      <c r="D268" s="113">
        <f>SUM(E268:G268)</f>
        <v>0</v>
      </c>
      <c r="E268" s="197">
        <f>(' Pivot Table for Data Exchange'!$K$337)*100</f>
        <v>0</v>
      </c>
      <c r="F268" s="197">
        <f>(' Pivot Table for Data Exchange'!$K$340)*100</f>
        <v>0</v>
      </c>
      <c r="G268" s="199">
        <f>(' Pivot Table for Data Exchange'!$K$343)*100</f>
        <v>0</v>
      </c>
      <c r="H268" s="197">
        <f>(' Pivot Table for Data Exchange'!$K$346)*100</f>
        <v>0</v>
      </c>
      <c r="I268" s="40"/>
      <c r="J268" s="112"/>
      <c r="K268" s="112"/>
      <c r="L268" s="112"/>
      <c r="M268" s="112"/>
      <c r="N268" s="112"/>
      <c r="O268" s="112"/>
      <c r="P268" s="112"/>
      <c r="Q268" s="39">
        <f t="shared" si="30"/>
        <v>0</v>
      </c>
      <c r="R268" s="39">
        <f t="shared" si="31"/>
        <v>0</v>
      </c>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row>
    <row r="269" spans="1:41" ht="15.75" customHeight="1">
      <c r="A269" s="40" t="s">
        <v>123</v>
      </c>
      <c r="B269" s="197">
        <f>(' Pivot Table for Data Exchange'!$K$367)*100</f>
        <v>66.90251953978348</v>
      </c>
      <c r="C269" s="197">
        <f>(' Pivot Table for Data Exchange'!$K$370)*100</f>
        <v>7.035535705616777</v>
      </c>
      <c r="D269" s="113">
        <f>SUM(E269:G269)</f>
        <v>26.06194475459974</v>
      </c>
      <c r="E269" s="197">
        <f>(' Pivot Table for Data Exchange'!$K$373)*100</f>
        <v>21.0083013738531</v>
      </c>
      <c r="F269" s="197">
        <f>(' Pivot Table for Data Exchange'!$K$376)*100</f>
        <v>5.053643380746639</v>
      </c>
      <c r="G269" s="199">
        <f>(' Pivot Table for Data Exchange'!$K$379)*100</f>
        <v>0</v>
      </c>
      <c r="H269" s="197">
        <f>(' Pivot Table for Data Exchange'!$K$382)*100</f>
        <v>0</v>
      </c>
      <c r="I269" s="40"/>
      <c r="J269" s="112"/>
      <c r="K269" s="112"/>
      <c r="L269" s="112"/>
      <c r="M269" s="112"/>
      <c r="N269" s="112"/>
      <c r="O269" s="112"/>
      <c r="P269" s="112"/>
      <c r="Q269" s="39">
        <f t="shared" si="30"/>
        <v>100</v>
      </c>
      <c r="R269" s="39">
        <f t="shared" si="31"/>
        <v>0</v>
      </c>
      <c r="S269" s="47"/>
      <c r="T269" s="59"/>
      <c r="U269" s="47"/>
      <c r="V269" s="47"/>
      <c r="W269" s="47"/>
      <c r="X269" s="47"/>
      <c r="Y269" s="47"/>
      <c r="Z269" s="47"/>
      <c r="AA269" s="47"/>
      <c r="AB269" s="47"/>
      <c r="AC269" s="47"/>
      <c r="AD269" s="47"/>
      <c r="AE269" s="47"/>
      <c r="AF269" s="47"/>
      <c r="AG269" s="47"/>
      <c r="AH269" s="47"/>
      <c r="AI269" s="47"/>
      <c r="AJ269" s="47"/>
      <c r="AK269" s="47"/>
      <c r="AL269" s="47"/>
      <c r="AM269" s="47"/>
      <c r="AN269" s="47"/>
      <c r="AO269" s="47"/>
    </row>
    <row r="270" spans="1:41" ht="15.75" customHeight="1">
      <c r="A270" s="40" t="s">
        <v>429</v>
      </c>
      <c r="B270" s="197"/>
      <c r="C270" s="197"/>
      <c r="D270" s="113"/>
      <c r="E270" s="197"/>
      <c r="F270" s="197"/>
      <c r="G270" s="199"/>
      <c r="H270" s="197"/>
      <c r="I270" s="40"/>
      <c r="J270" s="112"/>
      <c r="K270" s="112"/>
      <c r="L270" s="112"/>
      <c r="M270" s="112"/>
      <c r="N270" s="112"/>
      <c r="O270" s="112"/>
      <c r="P270" s="112"/>
      <c r="Q270" s="39">
        <f aca="true" t="shared" si="32" ref="Q270:Q275">SUM(B270,C270,D270,H270)</f>
        <v>0</v>
      </c>
      <c r="R270" s="39">
        <f aca="true" t="shared" si="33" ref="R270:R275">SUM(J270,K270,L270,P270)</f>
        <v>0</v>
      </c>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row>
    <row r="271" spans="1:41" ht="15.75" customHeight="1">
      <c r="A271" s="40"/>
      <c r="B271" s="197"/>
      <c r="C271" s="197"/>
      <c r="D271" s="113"/>
      <c r="E271" s="197"/>
      <c r="F271" s="197"/>
      <c r="G271" s="199"/>
      <c r="H271" s="197"/>
      <c r="I271" s="40"/>
      <c r="J271" s="112"/>
      <c r="K271" s="112"/>
      <c r="L271" s="112"/>
      <c r="M271" s="112"/>
      <c r="N271" s="112"/>
      <c r="O271" s="112"/>
      <c r="P271" s="112"/>
      <c r="Q271" s="39"/>
      <c r="R271" s="39"/>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row>
    <row r="272" spans="1:41" ht="15.75" customHeight="1">
      <c r="A272" s="40" t="s">
        <v>430</v>
      </c>
      <c r="B272" s="197"/>
      <c r="C272" s="197"/>
      <c r="D272" s="113"/>
      <c r="E272" s="197"/>
      <c r="F272" s="197"/>
      <c r="G272" s="199"/>
      <c r="H272" s="197"/>
      <c r="I272" s="40"/>
      <c r="J272" s="112"/>
      <c r="K272" s="112"/>
      <c r="L272" s="112"/>
      <c r="M272" s="112"/>
      <c r="N272" s="112"/>
      <c r="O272" s="112"/>
      <c r="P272" s="112"/>
      <c r="Q272" s="39">
        <f t="shared" si="32"/>
        <v>0</v>
      </c>
      <c r="R272" s="39">
        <f t="shared" si="33"/>
        <v>0</v>
      </c>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row>
    <row r="273" spans="1:41" ht="15.75" customHeight="1">
      <c r="A273" s="40" t="s">
        <v>229</v>
      </c>
      <c r="B273" s="197">
        <f>(' Pivot Table for Data Exchange'!$K$403)*100</f>
        <v>0</v>
      </c>
      <c r="C273" s="197">
        <f>(' Pivot Table for Data Exchange'!$K$406)*100</f>
        <v>0</v>
      </c>
      <c r="D273" s="113">
        <f>SUM(E273:G273)</f>
        <v>0</v>
      </c>
      <c r="E273" s="197">
        <f>(' Pivot Table for Data Exchange'!$K$409)*100</f>
        <v>0</v>
      </c>
      <c r="F273" s="197">
        <f>(' Pivot Table for Data Exchange'!$K$412)*100</f>
        <v>0</v>
      </c>
      <c r="G273" s="199">
        <f>(' Pivot Table for Data Exchange'!$K$415)*100</f>
        <v>0</v>
      </c>
      <c r="H273" s="197">
        <f>(' Pivot Table for Data Exchange'!$K$418)*100</f>
        <v>0</v>
      </c>
      <c r="I273" s="40"/>
      <c r="J273" s="112"/>
      <c r="K273" s="112"/>
      <c r="L273" s="112"/>
      <c r="M273" s="112"/>
      <c r="N273" s="112"/>
      <c r="O273" s="112"/>
      <c r="P273" s="112"/>
      <c r="Q273" s="39">
        <f t="shared" si="32"/>
        <v>0</v>
      </c>
      <c r="R273" s="39">
        <f t="shared" si="33"/>
        <v>0</v>
      </c>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row>
    <row r="274" spans="1:41" ht="15.75" customHeight="1">
      <c r="A274" s="40" t="s">
        <v>431</v>
      </c>
      <c r="B274" s="197">
        <f>(' Pivot Table for Data Exchange'!$K$511)*100</f>
        <v>0</v>
      </c>
      <c r="C274" s="197">
        <f>(' Pivot Table for Data Exchange'!$K$514)*100</f>
        <v>0</v>
      </c>
      <c r="D274" s="113">
        <f>SUM(E274:G274)</f>
        <v>0</v>
      </c>
      <c r="E274" s="197">
        <f>(' Pivot Table for Data Exchange'!$K$517)*100</f>
        <v>0</v>
      </c>
      <c r="F274" s="197">
        <f>(' Pivot Table for Data Exchange'!$K$520)*100</f>
        <v>0</v>
      </c>
      <c r="G274" s="199">
        <f>(' Pivot Table for Data Exchange'!$K$523)*100</f>
        <v>0</v>
      </c>
      <c r="H274" s="197">
        <f>(' Pivot Table for Data Exchange'!$K$526)*100</f>
        <v>0</v>
      </c>
      <c r="I274" s="40"/>
      <c r="J274" s="112"/>
      <c r="K274" s="112"/>
      <c r="L274" s="112"/>
      <c r="M274" s="112"/>
      <c r="N274" s="112"/>
      <c r="O274" s="112"/>
      <c r="P274" s="112"/>
      <c r="Q274" s="39">
        <f t="shared" si="32"/>
        <v>0</v>
      </c>
      <c r="R274" s="39">
        <f t="shared" si="33"/>
        <v>0</v>
      </c>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row>
    <row r="275" spans="1:41" ht="15.75" customHeight="1">
      <c r="A275" s="34" t="s">
        <v>124</v>
      </c>
      <c r="B275" s="201">
        <f>(' Pivot Table for Data Exchange'!$K$439)*100</f>
        <v>70.17674305216968</v>
      </c>
      <c r="C275" s="201">
        <f>(' Pivot Table for Data Exchange'!$K$442)*100</f>
        <v>22.15017064846416</v>
      </c>
      <c r="D275" s="114">
        <f>SUM(E275:G275)</f>
        <v>7.6730862993661635</v>
      </c>
      <c r="E275" s="201">
        <f>(' Pivot Table for Data Exchange'!$K$445)*100</f>
        <v>6.875914188200878</v>
      </c>
      <c r="F275" s="201">
        <f>(' Pivot Table for Data Exchange'!$K$448)*100</f>
        <v>0</v>
      </c>
      <c r="G275" s="202">
        <f>(' Pivot Table for Data Exchange'!$K$451)*100</f>
        <v>0.7971721111652853</v>
      </c>
      <c r="H275" s="201">
        <f>(' Pivot Table for Data Exchange'!$K$454)*100</f>
        <v>0</v>
      </c>
      <c r="I275" s="40"/>
      <c r="J275" s="112"/>
      <c r="K275" s="112"/>
      <c r="L275" s="112"/>
      <c r="M275" s="112"/>
      <c r="N275" s="112"/>
      <c r="O275" s="112"/>
      <c r="P275" s="112"/>
      <c r="Q275" s="39">
        <f t="shared" si="32"/>
        <v>100</v>
      </c>
      <c r="R275" s="39">
        <f t="shared" si="33"/>
        <v>0</v>
      </c>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row>
    <row r="276" spans="1:41" s="64" customFormat="1" ht="18" customHeight="1">
      <c r="A276" s="115" t="s">
        <v>477</v>
      </c>
      <c r="B276" s="68"/>
      <c r="C276" s="68"/>
      <c r="D276" s="69"/>
      <c r="E276" s="68"/>
      <c r="F276" s="69"/>
      <c r="G276" s="69"/>
      <c r="H276" s="68"/>
      <c r="I276" s="115"/>
      <c r="J276" s="68"/>
      <c r="K276" s="68"/>
      <c r="L276" s="69"/>
      <c r="M276" s="68"/>
      <c r="N276" s="69"/>
      <c r="O276" s="69"/>
      <c r="P276" s="68"/>
      <c r="Q276" s="68"/>
      <c r="R276" s="68"/>
      <c r="S276" s="70"/>
      <c r="T276" s="70"/>
      <c r="U276" s="70"/>
      <c r="V276" s="70"/>
      <c r="W276" s="70"/>
      <c r="X276" s="70"/>
      <c r="Y276" s="70"/>
      <c r="Z276" s="70"/>
      <c r="AA276" s="70"/>
      <c r="AB276" s="70"/>
      <c r="AC276" s="70"/>
      <c r="AD276" s="70"/>
      <c r="AE276" s="70"/>
      <c r="AF276" s="70"/>
      <c r="AG276" s="70"/>
      <c r="AH276" s="70"/>
      <c r="AI276" s="70"/>
      <c r="AJ276" s="70"/>
      <c r="AK276" s="70"/>
      <c r="AL276" s="70"/>
      <c r="AM276" s="70"/>
      <c r="AN276" s="70"/>
      <c r="AO276" s="70"/>
    </row>
    <row r="277" spans="1:18" s="64" customFormat="1" ht="13.5" customHeight="1">
      <c r="A277" s="116"/>
      <c r="B277" s="63"/>
      <c r="H277" s="62"/>
      <c r="I277" s="115"/>
      <c r="P277" s="65"/>
      <c r="Q277" s="66"/>
      <c r="R277" s="67"/>
    </row>
    <row r="278" spans="8:18" s="64" customFormat="1" ht="13.5" customHeight="1">
      <c r="H278" s="62"/>
      <c r="I278" s="116"/>
      <c r="Q278" s="66"/>
      <c r="R278" s="67"/>
    </row>
    <row r="279" spans="1:18" s="64" customFormat="1" ht="11.25">
      <c r="A279" s="62"/>
      <c r="B279" s="68"/>
      <c r="C279" s="68"/>
      <c r="D279" s="69"/>
      <c r="E279" s="68"/>
      <c r="F279" s="69"/>
      <c r="G279" s="69"/>
      <c r="H279" s="559" t="s">
        <v>726</v>
      </c>
      <c r="I279" s="71"/>
      <c r="J279" s="62"/>
      <c r="K279" s="62"/>
      <c r="L279" s="62"/>
      <c r="M279" s="62"/>
      <c r="N279" s="62"/>
      <c r="O279" s="62"/>
      <c r="P279" s="62"/>
      <c r="Q279" s="66"/>
      <c r="R279" s="67"/>
    </row>
    <row r="280" spans="1:17" ht="18">
      <c r="A280" s="31" t="s">
        <v>450</v>
      </c>
      <c r="B280" s="32"/>
      <c r="C280" s="32"/>
      <c r="D280" s="32"/>
      <c r="E280" s="32"/>
      <c r="F280" s="32"/>
      <c r="G280" s="32"/>
      <c r="H280" s="46"/>
      <c r="I280" s="45"/>
      <c r="J280" s="40"/>
      <c r="K280" s="40"/>
      <c r="L280" s="40"/>
      <c r="M280" s="40"/>
      <c r="N280" s="40"/>
      <c r="O280" s="40"/>
      <c r="P280" s="40"/>
      <c r="Q280" s="55"/>
    </row>
    <row r="281" spans="1:16" ht="12.75">
      <c r="A281" s="78"/>
      <c r="B281" s="33"/>
      <c r="C281" s="33"/>
      <c r="D281" s="33"/>
      <c r="E281" s="33"/>
      <c r="F281" s="33"/>
      <c r="G281" s="33"/>
      <c r="H281" s="43"/>
      <c r="I281" s="45"/>
      <c r="J281" s="40"/>
      <c r="K281" s="40"/>
      <c r="L281" s="40"/>
      <c r="M281" s="40"/>
      <c r="N281" s="40"/>
      <c r="O281" s="40"/>
      <c r="P281" s="40"/>
    </row>
    <row r="282" spans="1:16" ht="15.75">
      <c r="A282" s="42" t="s">
        <v>465</v>
      </c>
      <c r="B282" s="33"/>
      <c r="C282" s="33"/>
      <c r="D282" s="33"/>
      <c r="E282" s="33"/>
      <c r="F282" s="33"/>
      <c r="G282" s="33"/>
      <c r="H282" s="43"/>
      <c r="I282" s="45"/>
      <c r="J282" s="40"/>
      <c r="K282" s="40"/>
      <c r="L282" s="40"/>
      <c r="M282" s="40"/>
      <c r="N282" s="40"/>
      <c r="O282" s="40"/>
      <c r="P282" s="40"/>
    </row>
    <row r="283" spans="1:16" ht="15.75">
      <c r="A283" s="42" t="s">
        <v>739</v>
      </c>
      <c r="B283" s="33"/>
      <c r="C283" s="33"/>
      <c r="D283" s="33"/>
      <c r="E283" s="33"/>
      <c r="F283" s="33"/>
      <c r="G283" s="33"/>
      <c r="H283" s="43"/>
      <c r="I283" s="45"/>
      <c r="J283" s="40"/>
      <c r="K283" s="40"/>
      <c r="L283" s="40"/>
      <c r="M283" s="40"/>
      <c r="N283" s="40"/>
      <c r="O283" s="40"/>
      <c r="P283" s="40"/>
    </row>
    <row r="284" spans="1:16" ht="12.75">
      <c r="A284" s="34"/>
      <c r="B284" s="35"/>
      <c r="C284" s="35"/>
      <c r="D284" s="35"/>
      <c r="E284" s="35"/>
      <c r="F284" s="35"/>
      <c r="G284" s="35"/>
      <c r="H284" s="35"/>
      <c r="I284" s="45"/>
      <c r="J284" s="40"/>
      <c r="K284" s="40"/>
      <c r="L284" s="40"/>
      <c r="M284" s="40"/>
      <c r="N284" s="40"/>
      <c r="O284" s="40"/>
      <c r="P284" s="40"/>
    </row>
    <row r="285" spans="1:16" ht="12.75">
      <c r="A285" s="85"/>
      <c r="B285" s="86" t="s">
        <v>231</v>
      </c>
      <c r="C285" s="86"/>
      <c r="D285" s="86"/>
      <c r="E285" s="86"/>
      <c r="F285" s="86"/>
      <c r="G285" s="86"/>
      <c r="H285" s="87"/>
      <c r="I285" s="45"/>
      <c r="J285" s="40"/>
      <c r="K285" s="40"/>
      <c r="L285" s="40"/>
      <c r="M285" s="40"/>
      <c r="N285" s="40"/>
      <c r="O285" s="40"/>
      <c r="P285" s="40"/>
    </row>
    <row r="286" spans="1:16" ht="12.75">
      <c r="A286" s="85"/>
      <c r="B286" s="86" t="s">
        <v>127</v>
      </c>
      <c r="C286" s="86"/>
      <c r="D286" s="690" t="s">
        <v>472</v>
      </c>
      <c r="E286" s="691"/>
      <c r="F286" s="691"/>
      <c r="G286" s="691"/>
      <c r="H286" s="91" t="s">
        <v>14</v>
      </c>
      <c r="I286" s="45"/>
      <c r="J286" s="40"/>
      <c r="K286" s="40"/>
      <c r="L286" s="40"/>
      <c r="M286" s="40"/>
      <c r="N286" s="40"/>
      <c r="O286" s="40"/>
      <c r="P286" s="40"/>
    </row>
    <row r="287" spans="1:16" ht="36">
      <c r="A287" s="85"/>
      <c r="B287" s="92" t="s">
        <v>464</v>
      </c>
      <c r="C287" s="93" t="s">
        <v>463</v>
      </c>
      <c r="D287" s="94" t="s">
        <v>470</v>
      </c>
      <c r="E287" s="95" t="s">
        <v>12</v>
      </c>
      <c r="F287" s="92" t="s">
        <v>128</v>
      </c>
      <c r="G287" s="96" t="s">
        <v>474</v>
      </c>
      <c r="H287" s="97" t="s">
        <v>473</v>
      </c>
      <c r="I287" s="45"/>
      <c r="J287" s="40"/>
      <c r="K287" s="40"/>
      <c r="L287" s="40"/>
      <c r="M287" s="40"/>
      <c r="N287" s="40"/>
      <c r="O287" s="40"/>
      <c r="P287" s="40"/>
    </row>
    <row r="288" spans="1:41" ht="15.75" customHeight="1">
      <c r="A288" s="41" t="s">
        <v>421</v>
      </c>
      <c r="B288" s="197">
        <f>(' Pivot Table for Data Exchange'!$L$7)*100</f>
        <v>87.39034413351597</v>
      </c>
      <c r="C288" s="197">
        <f>(' Pivot Table for Data Exchange'!$L$10)*100</f>
        <v>2.677587990271449</v>
      </c>
      <c r="D288" s="113">
        <f>SUM(E288:G288)</f>
        <v>9.932067876212574</v>
      </c>
      <c r="E288" s="197">
        <f>(' Pivot Table for Data Exchange'!$L$13)*100</f>
        <v>4.056358502697717</v>
      </c>
      <c r="F288" s="197">
        <f>(' Pivot Table for Data Exchange'!$L$16)*100</f>
        <v>1.1042464566268764</v>
      </c>
      <c r="G288" s="198">
        <f>(' Pivot Table for Data Exchange'!$L$19)*100</f>
        <v>4.771462916887982</v>
      </c>
      <c r="H288" s="197">
        <f>(' Pivot Table for Data Exchange'!$L$22)*100</f>
        <v>0</v>
      </c>
      <c r="I288" s="40"/>
      <c r="J288" s="112"/>
      <c r="K288" s="112"/>
      <c r="L288" s="112"/>
      <c r="M288" s="112"/>
      <c r="N288" s="112"/>
      <c r="O288" s="112"/>
      <c r="P288" s="112"/>
      <c r="Q288" s="39">
        <f aca="true" t="shared" si="34" ref="Q288:Q299">SUM(B288,C288,D288,H288)</f>
        <v>99.99999999999999</v>
      </c>
      <c r="R288" s="39">
        <f aca="true" t="shared" si="35" ref="R288:R299">SUM(J288,K288,L288,P288)</f>
        <v>0</v>
      </c>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row>
    <row r="289" spans="1:41" ht="15.75" customHeight="1">
      <c r="A289" s="40" t="s">
        <v>422</v>
      </c>
      <c r="B289" s="197">
        <f>(' Pivot Table for Data Exchange'!$L$43)*100</f>
        <v>0</v>
      </c>
      <c r="C289" s="197">
        <f>(' Pivot Table for Data Exchange'!$L$46)*100</f>
        <v>0</v>
      </c>
      <c r="D289" s="113">
        <f>SUM(E289:G289)</f>
        <v>0</v>
      </c>
      <c r="E289" s="197">
        <f>(' Pivot Table for Data Exchange'!$L$49)*100</f>
        <v>0</v>
      </c>
      <c r="F289" s="197">
        <f>(' Pivot Table for Data Exchange'!$L$52)*100</f>
        <v>0</v>
      </c>
      <c r="G289" s="199">
        <f>(' Pivot Table for Data Exchange'!$L$55)*100</f>
        <v>0</v>
      </c>
      <c r="H289" s="197">
        <f>(' Pivot Table for Data Exchange'!$L$58)*100</f>
        <v>0</v>
      </c>
      <c r="I289" s="40"/>
      <c r="J289" s="112"/>
      <c r="K289" s="112"/>
      <c r="L289" s="112"/>
      <c r="M289" s="112"/>
      <c r="N289" s="112"/>
      <c r="O289" s="112"/>
      <c r="P289" s="112"/>
      <c r="Q289" s="39">
        <f t="shared" si="34"/>
        <v>0</v>
      </c>
      <c r="R289" s="39">
        <f t="shared" si="35"/>
        <v>0</v>
      </c>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row>
    <row r="290" spans="1:41" ht="15.75" customHeight="1">
      <c r="A290" s="40" t="s">
        <v>423</v>
      </c>
      <c r="B290" s="197">
        <f>(' Pivot Table for Data Exchange'!$L$79)*100</f>
        <v>0</v>
      </c>
      <c r="C290" s="197">
        <f>(' Pivot Table for Data Exchange'!$L$82)*100</f>
        <v>0</v>
      </c>
      <c r="D290" s="113">
        <f>SUM(E290:G290)</f>
        <v>0</v>
      </c>
      <c r="E290" s="197">
        <f>(' Pivot Table for Data Exchange'!$L$85)*100</f>
        <v>0</v>
      </c>
      <c r="F290" s="197">
        <f>(' Pivot Table for Data Exchange'!$L$88)*100</f>
        <v>0</v>
      </c>
      <c r="G290" s="199">
        <f>(' Pivot Table for Data Exchange'!$L$91)*100</f>
        <v>0</v>
      </c>
      <c r="H290" s="197">
        <f>(' Pivot Table for Data Exchange'!$L$94)*100</f>
        <v>0</v>
      </c>
      <c r="I290" s="40"/>
      <c r="J290" s="112"/>
      <c r="K290" s="112"/>
      <c r="L290" s="112"/>
      <c r="M290" s="112"/>
      <c r="N290" s="112"/>
      <c r="O290" s="112"/>
      <c r="P290" s="112"/>
      <c r="Q290" s="39">
        <f t="shared" si="34"/>
        <v>0</v>
      </c>
      <c r="R290" s="39">
        <f t="shared" si="35"/>
        <v>0</v>
      </c>
      <c r="S290" s="47"/>
      <c r="T290" s="59"/>
      <c r="U290" s="47"/>
      <c r="V290" s="47"/>
      <c r="W290" s="47"/>
      <c r="X290" s="47"/>
      <c r="Y290" s="47"/>
      <c r="Z290" s="47"/>
      <c r="AA290" s="47"/>
      <c r="AB290" s="47"/>
      <c r="AC290" s="47"/>
      <c r="AD290" s="47"/>
      <c r="AE290" s="47"/>
      <c r="AF290" s="47"/>
      <c r="AG290" s="47"/>
      <c r="AH290" s="47"/>
      <c r="AI290" s="47"/>
      <c r="AJ290" s="47"/>
      <c r="AK290" s="47"/>
      <c r="AL290" s="47"/>
      <c r="AM290" s="47"/>
      <c r="AN290" s="47"/>
      <c r="AO290" s="47"/>
    </row>
    <row r="291" spans="1:41" ht="15.75" customHeight="1">
      <c r="A291" s="40" t="s">
        <v>424</v>
      </c>
      <c r="B291" s="197">
        <f>(' Pivot Table for Data Exchange'!$L$115)*100</f>
        <v>86.82924268321493</v>
      </c>
      <c r="C291" s="197">
        <f>(' Pivot Table for Data Exchange'!$L$118)*100</f>
        <v>3.355267131293554</v>
      </c>
      <c r="D291" s="113">
        <f>SUM(E291:G291)</f>
        <v>9.657351720646801</v>
      </c>
      <c r="E291" s="197">
        <f>(' Pivot Table for Data Exchange'!$L$121)*100</f>
        <v>7.429605441329029</v>
      </c>
      <c r="F291" s="197">
        <f>(' Pivot Table for Data Exchange'!$L$124)*100</f>
        <v>0.2763048184000613</v>
      </c>
      <c r="G291" s="199">
        <f>(' Pivot Table for Data Exchange'!$L$127)*100</f>
        <v>1.9514414609177109</v>
      </c>
      <c r="H291" s="197">
        <f>(' Pivot Table for Data Exchange'!$L$130)*100</f>
        <v>0.15818114729136126</v>
      </c>
      <c r="I291" s="40"/>
      <c r="J291" s="112"/>
      <c r="K291" s="112"/>
      <c r="L291" s="112"/>
      <c r="M291" s="112"/>
      <c r="N291" s="112"/>
      <c r="O291" s="112"/>
      <c r="P291" s="112"/>
      <c r="Q291" s="39">
        <f t="shared" si="34"/>
        <v>100.00004268244665</v>
      </c>
      <c r="R291" s="39">
        <f t="shared" si="35"/>
        <v>0</v>
      </c>
      <c r="S291" s="47"/>
      <c r="U291" s="47"/>
      <c r="V291" s="47"/>
      <c r="W291" s="47"/>
      <c r="X291" s="47"/>
      <c r="Y291" s="47"/>
      <c r="Z291" s="47"/>
      <c r="AA291" s="47"/>
      <c r="AB291" s="47"/>
      <c r="AC291" s="47"/>
      <c r="AD291" s="47"/>
      <c r="AE291" s="47"/>
      <c r="AF291" s="47"/>
      <c r="AG291" s="47"/>
      <c r="AH291" s="47"/>
      <c r="AI291" s="47"/>
      <c r="AJ291" s="47"/>
      <c r="AK291" s="47"/>
      <c r="AL291" s="47"/>
      <c r="AM291" s="47"/>
      <c r="AN291" s="47"/>
      <c r="AO291" s="47"/>
    </row>
    <row r="292" spans="1:41" ht="15.75" customHeight="1">
      <c r="A292" s="40"/>
      <c r="B292" s="102"/>
      <c r="C292" s="103"/>
      <c r="D292" s="113"/>
      <c r="E292" s="102"/>
      <c r="F292" s="102"/>
      <c r="G292" s="103"/>
      <c r="H292" s="102"/>
      <c r="I292" s="40"/>
      <c r="J292" s="112"/>
      <c r="K292" s="112"/>
      <c r="L292" s="112"/>
      <c r="M292" s="112"/>
      <c r="N292" s="112"/>
      <c r="O292" s="112"/>
      <c r="P292" s="112"/>
      <c r="Q292" s="39">
        <f t="shared" si="34"/>
        <v>0</v>
      </c>
      <c r="R292" s="39">
        <f t="shared" si="35"/>
        <v>0</v>
      </c>
      <c r="S292" s="47"/>
      <c r="U292" s="47"/>
      <c r="V292" s="47"/>
      <c r="W292" s="47"/>
      <c r="X292" s="47"/>
      <c r="Y292" s="47"/>
      <c r="Z292" s="47"/>
      <c r="AA292" s="47"/>
      <c r="AB292" s="47"/>
      <c r="AC292" s="47"/>
      <c r="AD292" s="47"/>
      <c r="AE292" s="47"/>
      <c r="AF292" s="47"/>
      <c r="AG292" s="47"/>
      <c r="AH292" s="47"/>
      <c r="AI292" s="47"/>
      <c r="AJ292" s="47"/>
      <c r="AK292" s="47"/>
      <c r="AL292" s="47"/>
      <c r="AM292" s="47"/>
      <c r="AN292" s="47"/>
      <c r="AO292" s="47"/>
    </row>
    <row r="293" spans="1:41" ht="15.75" customHeight="1">
      <c r="A293" s="40" t="s">
        <v>425</v>
      </c>
      <c r="B293" s="197">
        <f>(' Pivot Table for Data Exchange'!$L$151)*100</f>
        <v>91.96809518046156</v>
      </c>
      <c r="C293" s="197">
        <f>(' Pivot Table for Data Exchange'!$L$154)*100</f>
        <v>1.814601122038751</v>
      </c>
      <c r="D293" s="113">
        <f>SUM(E293:G293)</f>
        <v>6.217303697499695</v>
      </c>
      <c r="E293" s="197">
        <f>(' Pivot Table for Data Exchange'!$L$157)*100</f>
        <v>5.040295925520739</v>
      </c>
      <c r="F293" s="200">
        <f>(' Pivot Table for Data Exchange'!$L$160)*100</f>
        <v>0.035685793893902695</v>
      </c>
      <c r="G293" s="199">
        <f>(' Pivot Table for Data Exchange'!$L$163)*100</f>
        <v>1.141321978085053</v>
      </c>
      <c r="H293" s="197">
        <f>(' Pivot Table for Data Exchange'!$L$166)*100</f>
        <v>0</v>
      </c>
      <c r="I293" s="40"/>
      <c r="J293" s="112"/>
      <c r="K293" s="112"/>
      <c r="L293" s="112"/>
      <c r="M293" s="112"/>
      <c r="N293" s="112"/>
      <c r="O293" s="112"/>
      <c r="P293" s="112"/>
      <c r="Q293" s="39">
        <f t="shared" si="34"/>
        <v>100</v>
      </c>
      <c r="R293" s="39">
        <f t="shared" si="35"/>
        <v>0</v>
      </c>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row>
    <row r="294" spans="1:41" ht="15.75" customHeight="1">
      <c r="A294" s="40" t="s">
        <v>426</v>
      </c>
      <c r="B294" s="197">
        <f>(' Pivot Table for Data Exchange'!$L$187)*100</f>
        <v>66.40015633405056</v>
      </c>
      <c r="C294" s="197">
        <f>(' Pivot Table for Data Exchange'!$L$190)*100</f>
        <v>7.313659897794514</v>
      </c>
      <c r="D294" s="113">
        <f>SUM(E294:G294)</f>
        <v>26.286183768154924</v>
      </c>
      <c r="E294" s="197">
        <f>(' Pivot Table for Data Exchange'!$L$193)*100</f>
        <v>25.679338690156</v>
      </c>
      <c r="F294" s="197">
        <f>(' Pivot Table for Data Exchange'!$L$196)*100</f>
        <v>0.4940071947283486</v>
      </c>
      <c r="G294" s="199">
        <f>(' Pivot Table for Data Exchange'!$L$199)*100</f>
        <v>0.11283788327057559</v>
      </c>
      <c r="H294" s="197">
        <f>(' Pivot Table for Data Exchange'!$L$202)*100</f>
        <v>0</v>
      </c>
      <c r="I294" s="40"/>
      <c r="J294" s="112"/>
      <c r="K294" s="112"/>
      <c r="L294" s="112"/>
      <c r="M294" s="112"/>
      <c r="N294" s="112"/>
      <c r="O294" s="112"/>
      <c r="P294" s="112"/>
      <c r="Q294" s="39">
        <f t="shared" si="34"/>
        <v>100</v>
      </c>
      <c r="R294" s="39">
        <f t="shared" si="35"/>
        <v>0</v>
      </c>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row>
    <row r="295" spans="1:41" ht="15.75" customHeight="1">
      <c r="A295" s="40" t="s">
        <v>427</v>
      </c>
      <c r="B295" s="197">
        <f>(' Pivot Table for Data Exchange'!$L$223)*100</f>
        <v>96.83620538923319</v>
      </c>
      <c r="C295" s="197">
        <f>(' Pivot Table for Data Exchange'!$L$226)*100</f>
        <v>0</v>
      </c>
      <c r="D295" s="113">
        <f>SUM(E295:G295)</f>
        <v>3.1637946107668102</v>
      </c>
      <c r="E295" s="197">
        <f>(' Pivot Table for Data Exchange'!$L$229)*100</f>
        <v>2.911720707943971</v>
      </c>
      <c r="F295" s="197">
        <f>(' Pivot Table for Data Exchange'!$L$232)*100</f>
        <v>0.1369650107823519</v>
      </c>
      <c r="G295" s="199">
        <f>(' Pivot Table for Data Exchange'!$L$235)*100</f>
        <v>0.11510889204048726</v>
      </c>
      <c r="H295" s="197">
        <f>(' Pivot Table for Data Exchange'!$L$238)*100</f>
        <v>0</v>
      </c>
      <c r="I295" s="40"/>
      <c r="J295" s="112"/>
      <c r="K295" s="112"/>
      <c r="L295" s="112"/>
      <c r="M295" s="112"/>
      <c r="N295" s="112"/>
      <c r="O295" s="112"/>
      <c r="P295" s="112"/>
      <c r="Q295" s="39">
        <f t="shared" si="34"/>
        <v>100</v>
      </c>
      <c r="R295" s="39">
        <f t="shared" si="35"/>
        <v>0</v>
      </c>
      <c r="S295" s="47"/>
      <c r="T295" s="59"/>
      <c r="U295" s="47"/>
      <c r="V295" s="47"/>
      <c r="W295" s="47"/>
      <c r="X295" s="47"/>
      <c r="Y295" s="47"/>
      <c r="Z295" s="47"/>
      <c r="AA295" s="47"/>
      <c r="AB295" s="47"/>
      <c r="AC295" s="47"/>
      <c r="AD295" s="47"/>
      <c r="AE295" s="47"/>
      <c r="AF295" s="47"/>
      <c r="AG295" s="47"/>
      <c r="AH295" s="47"/>
      <c r="AI295" s="47"/>
      <c r="AJ295" s="47"/>
      <c r="AK295" s="47"/>
      <c r="AL295" s="47"/>
      <c r="AM295" s="47"/>
      <c r="AN295" s="47"/>
      <c r="AO295" s="47"/>
    </row>
    <row r="296" spans="1:41" ht="15.75" customHeight="1">
      <c r="A296" s="40" t="s">
        <v>428</v>
      </c>
      <c r="B296" s="197">
        <f>(' Pivot Table for Data Exchange'!$L$259)*100</f>
        <v>86.81758508256434</v>
      </c>
      <c r="C296" s="197">
        <f>(' Pivot Table for Data Exchange'!$L$262)*100</f>
        <v>5.719400591006956</v>
      </c>
      <c r="D296" s="113">
        <f>SUM(E296:G296)</f>
        <v>7.463014326428705</v>
      </c>
      <c r="E296" s="197">
        <f>(' Pivot Table for Data Exchange'!$L$265)*100</f>
        <v>7.017897294639405</v>
      </c>
      <c r="F296" s="200">
        <f>(' Pivot Table for Data Exchange'!$L$268)*100</f>
        <v>0.043537830651205645</v>
      </c>
      <c r="G296" s="199">
        <f>(' Pivot Table for Data Exchange'!$L$271)*100</f>
        <v>0.4015792011380942</v>
      </c>
      <c r="H296" s="197">
        <f>(' Pivot Table for Data Exchange'!$L$274)*100</f>
        <v>0</v>
      </c>
      <c r="I296" s="40"/>
      <c r="J296" s="112"/>
      <c r="K296" s="112"/>
      <c r="L296" s="112"/>
      <c r="M296" s="112"/>
      <c r="N296" s="112"/>
      <c r="O296" s="112"/>
      <c r="P296" s="112"/>
      <c r="Q296" s="39">
        <f t="shared" si="34"/>
        <v>100</v>
      </c>
      <c r="R296" s="39">
        <f t="shared" si="35"/>
        <v>0</v>
      </c>
      <c r="S296" s="47"/>
      <c r="U296" s="47"/>
      <c r="V296" s="47"/>
      <c r="W296" s="47"/>
      <c r="X296" s="47"/>
      <c r="Y296" s="47"/>
      <c r="Z296" s="47"/>
      <c r="AA296" s="47"/>
      <c r="AB296" s="47"/>
      <c r="AC296" s="47"/>
      <c r="AD296" s="47"/>
      <c r="AE296" s="47"/>
      <c r="AF296" s="47"/>
      <c r="AG296" s="47"/>
      <c r="AH296" s="47"/>
      <c r="AI296" s="47"/>
      <c r="AJ296" s="47"/>
      <c r="AK296" s="47"/>
      <c r="AL296" s="47"/>
      <c r="AM296" s="47"/>
      <c r="AN296" s="47"/>
      <c r="AO296" s="47"/>
    </row>
    <row r="297" spans="1:41" ht="9.75" customHeight="1">
      <c r="A297" s="40"/>
      <c r="B297" s="102"/>
      <c r="C297" s="103"/>
      <c r="D297" s="113"/>
      <c r="E297" s="102"/>
      <c r="F297" s="102"/>
      <c r="G297" s="103"/>
      <c r="H297" s="102"/>
      <c r="I297" s="40"/>
      <c r="J297" s="112"/>
      <c r="K297" s="112"/>
      <c r="L297" s="112"/>
      <c r="M297" s="112"/>
      <c r="N297" s="112"/>
      <c r="O297" s="112"/>
      <c r="P297" s="112"/>
      <c r="Q297" s="39">
        <f t="shared" si="34"/>
        <v>0</v>
      </c>
      <c r="R297" s="39">
        <f t="shared" si="35"/>
        <v>0</v>
      </c>
      <c r="S297" s="47"/>
      <c r="U297" s="47"/>
      <c r="V297" s="47"/>
      <c r="W297" s="47"/>
      <c r="X297" s="47"/>
      <c r="Y297" s="47"/>
      <c r="Z297" s="47"/>
      <c r="AA297" s="47"/>
      <c r="AB297" s="47"/>
      <c r="AC297" s="47"/>
      <c r="AD297" s="47"/>
      <c r="AE297" s="47"/>
      <c r="AF297" s="47"/>
      <c r="AG297" s="47"/>
      <c r="AH297" s="47"/>
      <c r="AI297" s="47"/>
      <c r="AJ297" s="47"/>
      <c r="AK297" s="47"/>
      <c r="AL297" s="47"/>
      <c r="AM297" s="47"/>
      <c r="AN297" s="47"/>
      <c r="AO297" s="47"/>
    </row>
    <row r="298" spans="1:41" ht="15.75" customHeight="1">
      <c r="A298" s="40" t="s">
        <v>478</v>
      </c>
      <c r="B298" s="197">
        <f>(' Pivot Table for Data Exchange'!$L$295)*100</f>
        <v>91.59010151275467</v>
      </c>
      <c r="C298" s="197">
        <f>(' Pivot Table for Data Exchange'!$L$298)*100</f>
        <v>0</v>
      </c>
      <c r="D298" s="113">
        <f>SUM(E298:G298)</f>
        <v>8.409898487245323</v>
      </c>
      <c r="E298" s="197">
        <f>(' Pivot Table for Data Exchange'!$L$301)*100</f>
        <v>8.409898487245323</v>
      </c>
      <c r="F298" s="197">
        <f>(' Pivot Table for Data Exchange'!$L$304)*100</f>
        <v>0</v>
      </c>
      <c r="G298" s="199">
        <f>(' Pivot Table for Data Exchange'!$L$307)*100</f>
        <v>0</v>
      </c>
      <c r="H298" s="197">
        <f>(' Pivot Table for Data Exchange'!$L$310)*100</f>
        <v>0</v>
      </c>
      <c r="I298" s="40"/>
      <c r="J298" s="112"/>
      <c r="K298" s="112"/>
      <c r="L298" s="112"/>
      <c r="M298" s="112"/>
      <c r="N298" s="112"/>
      <c r="O298" s="112"/>
      <c r="P298" s="112"/>
      <c r="Q298" s="39">
        <f t="shared" si="34"/>
        <v>100</v>
      </c>
      <c r="R298" s="39">
        <f t="shared" si="35"/>
        <v>0</v>
      </c>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row>
    <row r="299" spans="1:41" ht="15.75" customHeight="1">
      <c r="A299" s="40" t="s">
        <v>130</v>
      </c>
      <c r="B299" s="197">
        <f>(' Pivot Table for Data Exchange'!$L$331)*100</f>
        <v>75.25003893849708</v>
      </c>
      <c r="C299" s="197">
        <f>(' Pivot Table for Data Exchange'!$L$334)*100</f>
        <v>13.926970033321743</v>
      </c>
      <c r="D299" s="113">
        <f>SUM(E299:G299)</f>
        <v>10.822991028181173</v>
      </c>
      <c r="E299" s="197">
        <f>(' Pivot Table for Data Exchange'!$L$337)*100</f>
        <v>8.617315426087867</v>
      </c>
      <c r="F299" s="197">
        <f>(' Pivot Table for Data Exchange'!$L$340)*100</f>
        <v>0.1621970078525874</v>
      </c>
      <c r="G299" s="199">
        <f>(' Pivot Table for Data Exchange'!$L$343)*100</f>
        <v>2.043478594240719</v>
      </c>
      <c r="H299" s="197">
        <f>(' Pivot Table for Data Exchange'!$L$346)*100</f>
        <v>0</v>
      </c>
      <c r="I299" s="40"/>
      <c r="J299" s="112"/>
      <c r="K299" s="112"/>
      <c r="L299" s="112"/>
      <c r="M299" s="112"/>
      <c r="N299" s="112"/>
      <c r="O299" s="112"/>
      <c r="P299" s="112"/>
      <c r="Q299" s="39">
        <f t="shared" si="34"/>
        <v>100</v>
      </c>
      <c r="R299" s="39">
        <f t="shared" si="35"/>
        <v>0</v>
      </c>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row>
    <row r="300" spans="1:41" ht="15.75" customHeight="1">
      <c r="A300" s="40" t="s">
        <v>123</v>
      </c>
      <c r="B300" s="197">
        <f>(' Pivot Table for Data Exchange'!$L$367)*100</f>
        <v>79.0007573215067</v>
      </c>
      <c r="C300" s="197">
        <f>(' Pivot Table for Data Exchange'!$L$370)*100</f>
        <v>5.499102986939279</v>
      </c>
      <c r="D300" s="113">
        <f>SUM(E300:G300)</f>
        <v>14.218667360145911</v>
      </c>
      <c r="E300" s="197">
        <f>(' Pivot Table for Data Exchange'!$L$373)*100</f>
        <v>12.235750143645088</v>
      </c>
      <c r="F300" s="197">
        <f>(' Pivot Table for Data Exchange'!$L$376)*100</f>
        <v>0.2233307737857817</v>
      </c>
      <c r="G300" s="199">
        <f>(' Pivot Table for Data Exchange'!$L$379)*100</f>
        <v>1.7595864427150416</v>
      </c>
      <c r="H300" s="197">
        <f>(' Pivot Table for Data Exchange'!$L$382)*100</f>
        <v>1.2814723314081085</v>
      </c>
      <c r="I300" s="40"/>
      <c r="J300" s="112"/>
      <c r="K300" s="112"/>
      <c r="L300" s="112"/>
      <c r="M300" s="112"/>
      <c r="N300" s="112"/>
      <c r="O300" s="112"/>
      <c r="P300" s="112"/>
      <c r="Q300" s="39">
        <f aca="true" t="shared" si="36" ref="Q300:Q306">SUM(B300,C300,D300,H300)</f>
        <v>100</v>
      </c>
      <c r="R300" s="39">
        <f aca="true" t="shared" si="37" ref="R300:R306">SUM(J300,K300,L300,P300)</f>
        <v>0</v>
      </c>
      <c r="S300" s="47"/>
      <c r="T300" s="59"/>
      <c r="U300" s="47"/>
      <c r="V300" s="47"/>
      <c r="W300" s="47"/>
      <c r="X300" s="47"/>
      <c r="Y300" s="47"/>
      <c r="Z300" s="47"/>
      <c r="AA300" s="47"/>
      <c r="AB300" s="47"/>
      <c r="AC300" s="47"/>
      <c r="AD300" s="47"/>
      <c r="AE300" s="47"/>
      <c r="AF300" s="47"/>
      <c r="AG300" s="47"/>
      <c r="AH300" s="47"/>
      <c r="AI300" s="47"/>
      <c r="AJ300" s="47"/>
      <c r="AK300" s="47"/>
      <c r="AL300" s="47"/>
      <c r="AM300" s="47"/>
      <c r="AN300" s="47"/>
      <c r="AO300" s="47"/>
    </row>
    <row r="301" spans="1:41" ht="15.75" customHeight="1">
      <c r="A301" s="40" t="s">
        <v>429</v>
      </c>
      <c r="B301" s="197"/>
      <c r="C301" s="197"/>
      <c r="D301" s="113"/>
      <c r="E301" s="197"/>
      <c r="F301" s="197"/>
      <c r="G301" s="199"/>
      <c r="H301" s="197"/>
      <c r="I301" s="40"/>
      <c r="J301" s="112"/>
      <c r="K301" s="112"/>
      <c r="L301" s="112"/>
      <c r="M301" s="112"/>
      <c r="N301" s="112"/>
      <c r="O301" s="112"/>
      <c r="P301" s="112"/>
      <c r="Q301" s="39">
        <f t="shared" si="36"/>
        <v>0</v>
      </c>
      <c r="R301" s="39">
        <f t="shared" si="37"/>
        <v>0</v>
      </c>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row>
    <row r="302" spans="1:41" ht="11.25" customHeight="1">
      <c r="A302" s="40"/>
      <c r="B302" s="197"/>
      <c r="C302" s="197"/>
      <c r="D302" s="113"/>
      <c r="E302" s="197"/>
      <c r="F302" s="197"/>
      <c r="G302" s="199"/>
      <c r="H302" s="197"/>
      <c r="I302" s="40"/>
      <c r="J302" s="112"/>
      <c r="K302" s="112"/>
      <c r="L302" s="112"/>
      <c r="M302" s="112"/>
      <c r="N302" s="112"/>
      <c r="O302" s="112"/>
      <c r="P302" s="112"/>
      <c r="Q302" s="39"/>
      <c r="R302" s="39"/>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row>
    <row r="303" spans="1:41" ht="15.75" customHeight="1">
      <c r="A303" s="40" t="s">
        <v>430</v>
      </c>
      <c r="B303" s="197"/>
      <c r="C303" s="197"/>
      <c r="D303" s="113"/>
      <c r="E303" s="197"/>
      <c r="F303" s="197"/>
      <c r="G303" s="199"/>
      <c r="H303" s="197"/>
      <c r="I303" s="40"/>
      <c r="J303" s="112"/>
      <c r="K303" s="112"/>
      <c r="L303" s="112"/>
      <c r="M303" s="112"/>
      <c r="N303" s="112"/>
      <c r="O303" s="112"/>
      <c r="P303" s="112"/>
      <c r="Q303" s="39">
        <f t="shared" si="36"/>
        <v>0</v>
      </c>
      <c r="R303" s="39">
        <f t="shared" si="37"/>
        <v>0</v>
      </c>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row>
    <row r="304" spans="1:41" ht="15.75" customHeight="1">
      <c r="A304" s="40" t="s">
        <v>229</v>
      </c>
      <c r="B304" s="197">
        <f>(' Pivot Table for Data Exchange'!$L$403)*100</f>
        <v>81.78603941340496</v>
      </c>
      <c r="C304" s="197">
        <f>(' Pivot Table for Data Exchange'!$L$406)*100</f>
        <v>7.864970242820629</v>
      </c>
      <c r="D304" s="113">
        <f>SUM(E304:G304)</f>
        <v>10.348990343774403</v>
      </c>
      <c r="E304" s="197">
        <f>(' Pivot Table for Data Exchange'!$L$409)*100</f>
        <v>9.013375233809972</v>
      </c>
      <c r="F304" s="197">
        <f>(' Pivot Table for Data Exchange'!$L$412)*100</f>
        <v>0.06890978729762505</v>
      </c>
      <c r="G304" s="199">
        <f>(' Pivot Table for Data Exchange'!$L$415)*100</f>
        <v>1.266705322666805</v>
      </c>
      <c r="H304" s="197">
        <f>(' Pivot Table for Data Exchange'!$L$418)*100</f>
        <v>0</v>
      </c>
      <c r="I304" s="40"/>
      <c r="J304" s="112"/>
      <c r="K304" s="112"/>
      <c r="L304" s="112"/>
      <c r="M304" s="112"/>
      <c r="N304" s="112"/>
      <c r="O304" s="112"/>
      <c r="P304" s="112"/>
      <c r="Q304" s="39">
        <f t="shared" si="36"/>
        <v>100</v>
      </c>
      <c r="R304" s="39">
        <f t="shared" si="37"/>
        <v>0</v>
      </c>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row>
    <row r="305" spans="1:41" ht="15.75" customHeight="1">
      <c r="A305" s="40" t="s">
        <v>431</v>
      </c>
      <c r="B305" s="197">
        <f>(' Pivot Table for Data Exchange'!$L$511)*100</f>
        <v>0</v>
      </c>
      <c r="C305" s="197">
        <f>(' Pivot Table for Data Exchange'!$L$514)*100</f>
        <v>0</v>
      </c>
      <c r="D305" s="113">
        <f>SUM(E305:G305)</f>
        <v>0</v>
      </c>
      <c r="E305" s="197">
        <f>(' Pivot Table for Data Exchange'!$L$517)*100</f>
        <v>0</v>
      </c>
      <c r="F305" s="197">
        <f>(' Pivot Table for Data Exchange'!$L$520)*100</f>
        <v>0</v>
      </c>
      <c r="G305" s="199">
        <f>(' Pivot Table for Data Exchange'!$L$523)*100</f>
        <v>0</v>
      </c>
      <c r="H305" s="197">
        <f>(' Pivot Table for Data Exchange'!$L$526)*100</f>
        <v>0</v>
      </c>
      <c r="I305" s="40"/>
      <c r="J305" s="112"/>
      <c r="K305" s="112"/>
      <c r="L305" s="112"/>
      <c r="M305" s="112"/>
      <c r="N305" s="112"/>
      <c r="O305" s="112"/>
      <c r="P305" s="112"/>
      <c r="Q305" s="39">
        <f t="shared" si="36"/>
        <v>0</v>
      </c>
      <c r="R305" s="39">
        <f t="shared" si="37"/>
        <v>0</v>
      </c>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row>
    <row r="306" spans="1:41" ht="15.75" customHeight="1">
      <c r="A306" s="34" t="s">
        <v>124</v>
      </c>
      <c r="B306" s="201">
        <f>(' Pivot Table for Data Exchange'!$L$439)*100</f>
        <v>0</v>
      </c>
      <c r="C306" s="201">
        <f>(' Pivot Table for Data Exchange'!$L$442)*100</f>
        <v>0</v>
      </c>
      <c r="D306" s="114">
        <f>SUM(E306:G306)</f>
        <v>0</v>
      </c>
      <c r="E306" s="201">
        <f>(' Pivot Table for Data Exchange'!$L$445)*100</f>
        <v>0</v>
      </c>
      <c r="F306" s="201">
        <f>(' Pivot Table for Data Exchange'!$L$448)*100</f>
        <v>0</v>
      </c>
      <c r="G306" s="202">
        <f>(' Pivot Table for Data Exchange'!$L$451)*100</f>
        <v>0</v>
      </c>
      <c r="H306" s="201">
        <f>(' Pivot Table for Data Exchange'!$L$454)*100</f>
        <v>0</v>
      </c>
      <c r="I306" s="40"/>
      <c r="J306" s="112"/>
      <c r="K306" s="112"/>
      <c r="L306" s="112"/>
      <c r="M306" s="112"/>
      <c r="N306" s="112"/>
      <c r="O306" s="112"/>
      <c r="P306" s="112"/>
      <c r="Q306" s="39">
        <f t="shared" si="36"/>
        <v>0</v>
      </c>
      <c r="R306" s="39">
        <f t="shared" si="37"/>
        <v>0</v>
      </c>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row>
    <row r="307" spans="1:41" s="64" customFormat="1" ht="18" customHeight="1">
      <c r="A307" s="115" t="s">
        <v>477</v>
      </c>
      <c r="B307" s="68"/>
      <c r="C307" s="68"/>
      <c r="D307" s="69"/>
      <c r="E307" s="68"/>
      <c r="F307" s="69"/>
      <c r="G307" s="69"/>
      <c r="H307" s="68"/>
      <c r="I307" s="115"/>
      <c r="J307" s="68"/>
      <c r="K307" s="68"/>
      <c r="L307" s="69"/>
      <c r="M307" s="68"/>
      <c r="N307" s="69"/>
      <c r="O307" s="69"/>
      <c r="P307" s="68"/>
      <c r="Q307" s="68"/>
      <c r="R307" s="68"/>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row>
    <row r="308" spans="1:18" s="64" customFormat="1" ht="30" customHeight="1">
      <c r="A308" s="687" t="s">
        <v>749</v>
      </c>
      <c r="B308" s="688"/>
      <c r="C308" s="688"/>
      <c r="D308" s="688"/>
      <c r="E308" s="688"/>
      <c r="F308" s="688"/>
      <c r="G308" s="688"/>
      <c r="H308" s="688"/>
      <c r="I308" s="115"/>
      <c r="P308" s="65"/>
      <c r="Q308" s="66"/>
      <c r="R308" s="67"/>
    </row>
    <row r="309" spans="1:18" s="64" customFormat="1" ht="13.5" customHeight="1">
      <c r="A309" s="116"/>
      <c r="H309" s="62"/>
      <c r="I309" s="116"/>
      <c r="Q309" s="66"/>
      <c r="R309" s="67"/>
    </row>
    <row r="310" spans="1:18" s="64" customFormat="1" ht="11.25">
      <c r="A310" s="62"/>
      <c r="H310" s="559" t="s">
        <v>766</v>
      </c>
      <c r="I310" s="71"/>
      <c r="J310" s="62"/>
      <c r="K310" s="62"/>
      <c r="L310" s="62"/>
      <c r="M310" s="62"/>
      <c r="N310" s="62"/>
      <c r="O310" s="62"/>
      <c r="P310" s="62"/>
      <c r="Q310" s="66"/>
      <c r="R310" s="67"/>
    </row>
    <row r="311" spans="1:17" ht="18">
      <c r="A311" s="31" t="s">
        <v>451</v>
      </c>
      <c r="B311" s="32"/>
      <c r="C311" s="32"/>
      <c r="D311" s="32"/>
      <c r="E311" s="32"/>
      <c r="F311" s="32"/>
      <c r="G311" s="32"/>
      <c r="H311" s="46"/>
      <c r="I311" s="45"/>
      <c r="J311" s="40"/>
      <c r="K311" s="40"/>
      <c r="L311" s="40"/>
      <c r="M311" s="40"/>
      <c r="N311" s="40"/>
      <c r="O311" s="40"/>
      <c r="P311" s="40"/>
      <c r="Q311" s="55"/>
    </row>
    <row r="312" spans="1:16" ht="12.75">
      <c r="A312" s="78"/>
      <c r="B312" s="33"/>
      <c r="C312" s="33"/>
      <c r="D312" s="33"/>
      <c r="E312" s="33"/>
      <c r="F312" s="33"/>
      <c r="G312" s="33"/>
      <c r="H312" s="43"/>
      <c r="I312" s="45"/>
      <c r="J312" s="40"/>
      <c r="K312" s="40"/>
      <c r="L312" s="40"/>
      <c r="M312" s="40"/>
      <c r="N312" s="40"/>
      <c r="O312" s="40"/>
      <c r="P312" s="40"/>
    </row>
    <row r="313" spans="1:16" ht="15.75">
      <c r="A313" s="42" t="s">
        <v>465</v>
      </c>
      <c r="B313" s="33"/>
      <c r="C313" s="33"/>
      <c r="D313" s="33"/>
      <c r="E313" s="33"/>
      <c r="F313" s="33"/>
      <c r="G313" s="33"/>
      <c r="H313" s="43"/>
      <c r="I313" s="45"/>
      <c r="J313" s="40"/>
      <c r="K313" s="40"/>
      <c r="L313" s="40"/>
      <c r="M313" s="40"/>
      <c r="N313" s="40"/>
      <c r="O313" s="40"/>
      <c r="P313" s="40"/>
    </row>
    <row r="314" spans="1:16" ht="15.75">
      <c r="A314" s="42" t="s">
        <v>740</v>
      </c>
      <c r="B314" s="33"/>
      <c r="C314" s="33"/>
      <c r="D314" s="33"/>
      <c r="E314" s="33"/>
      <c r="F314" s="33"/>
      <c r="G314" s="33"/>
      <c r="H314" s="43"/>
      <c r="I314" s="45"/>
      <c r="J314" s="40"/>
      <c r="K314" s="40"/>
      <c r="L314" s="40"/>
      <c r="M314" s="40"/>
      <c r="N314" s="40"/>
      <c r="O314" s="40"/>
      <c r="P314" s="40"/>
    </row>
    <row r="315" spans="1:16" ht="12.75">
      <c r="A315" s="34"/>
      <c r="B315" s="35"/>
      <c r="C315" s="35"/>
      <c r="D315" s="35"/>
      <c r="E315" s="35"/>
      <c r="F315" s="35"/>
      <c r="G315" s="35"/>
      <c r="H315" s="35"/>
      <c r="I315" s="45"/>
      <c r="J315" s="40"/>
      <c r="K315" s="40"/>
      <c r="L315" s="40"/>
      <c r="M315" s="40"/>
      <c r="N315" s="40"/>
      <c r="O315" s="40"/>
      <c r="P315" s="40"/>
    </row>
    <row r="316" spans="1:16" ht="12.75">
      <c r="A316" s="85"/>
      <c r="B316" s="86" t="s">
        <v>231</v>
      </c>
      <c r="C316" s="86"/>
      <c r="D316" s="86"/>
      <c r="E316" s="86"/>
      <c r="F316" s="86"/>
      <c r="G316" s="86"/>
      <c r="H316" s="87"/>
      <c r="I316" s="45"/>
      <c r="J316" s="40"/>
      <c r="K316" s="40"/>
      <c r="L316" s="40"/>
      <c r="M316" s="40"/>
      <c r="N316" s="40"/>
      <c r="O316" s="40"/>
      <c r="P316" s="40"/>
    </row>
    <row r="317" spans="1:16" ht="12.75">
      <c r="A317" s="85"/>
      <c r="B317" s="86" t="s">
        <v>127</v>
      </c>
      <c r="C317" s="86"/>
      <c r="D317" s="690" t="s">
        <v>472</v>
      </c>
      <c r="E317" s="691"/>
      <c r="F317" s="691"/>
      <c r="G317" s="691"/>
      <c r="H317" s="91" t="s">
        <v>14</v>
      </c>
      <c r="I317" s="45"/>
      <c r="J317" s="40"/>
      <c r="K317" s="40"/>
      <c r="L317" s="40"/>
      <c r="M317" s="40"/>
      <c r="N317" s="40"/>
      <c r="O317" s="40"/>
      <c r="P317" s="40"/>
    </row>
    <row r="318" spans="1:16" ht="36">
      <c r="A318" s="85"/>
      <c r="B318" s="92" t="s">
        <v>464</v>
      </c>
      <c r="C318" s="93" t="s">
        <v>463</v>
      </c>
      <c r="D318" s="94" t="s">
        <v>470</v>
      </c>
      <c r="E318" s="95" t="s">
        <v>12</v>
      </c>
      <c r="F318" s="92" t="s">
        <v>128</v>
      </c>
      <c r="G318" s="96" t="s">
        <v>474</v>
      </c>
      <c r="H318" s="97" t="s">
        <v>473</v>
      </c>
      <c r="I318" s="45"/>
      <c r="J318" s="40"/>
      <c r="K318" s="40"/>
      <c r="L318" s="40"/>
      <c r="M318" s="40"/>
      <c r="N318" s="40"/>
      <c r="O318" s="40"/>
      <c r="P318" s="40"/>
    </row>
    <row r="319" spans="1:41" ht="15.75" customHeight="1">
      <c r="A319" s="41" t="s">
        <v>421</v>
      </c>
      <c r="B319" s="197">
        <f>(' Pivot Table for Data Exchange'!$M$7)*100</f>
        <v>92.32729779716927</v>
      </c>
      <c r="C319" s="197">
        <f>(' Pivot Table for Data Exchange'!$M$10)*100</f>
        <v>1.4632155196153298</v>
      </c>
      <c r="D319" s="113">
        <f>SUM(E319:G319)</f>
        <v>6.209486683215402</v>
      </c>
      <c r="E319" s="197">
        <f>(' Pivot Table for Data Exchange'!$M$13)*100</f>
        <v>4.840212256090058</v>
      </c>
      <c r="F319" s="197">
        <f>(' Pivot Table for Data Exchange'!$M$16)*100</f>
        <v>0.15585237381914485</v>
      </c>
      <c r="G319" s="198">
        <f>(' Pivot Table for Data Exchange'!$M$19)*100</f>
        <v>1.2134220533061992</v>
      </c>
      <c r="H319" s="197">
        <f>(' Pivot Table for Data Exchange'!$M$22)*100</f>
        <v>0</v>
      </c>
      <c r="I319" s="40"/>
      <c r="J319" s="112"/>
      <c r="K319" s="112"/>
      <c r="L319" s="112"/>
      <c r="M319" s="112"/>
      <c r="N319" s="112"/>
      <c r="O319" s="112"/>
      <c r="P319" s="112"/>
      <c r="Q319" s="39">
        <f aca="true" t="shared" si="38" ref="Q319:Q330">SUM(B319,C319,D319,H319)</f>
        <v>100</v>
      </c>
      <c r="R319" s="39">
        <f aca="true" t="shared" si="39" ref="R319:R330">SUM(J319,K319,L319,P319)</f>
        <v>0</v>
      </c>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row>
    <row r="320" spans="1:41" ht="15.75" customHeight="1">
      <c r="A320" s="40" t="s">
        <v>422</v>
      </c>
      <c r="B320" s="197">
        <f>(' Pivot Table for Data Exchange'!$M$43)*100</f>
        <v>73.14936907582103</v>
      </c>
      <c r="C320" s="197">
        <f>(' Pivot Table for Data Exchange'!$M$46)*100</f>
        <v>14.451537851215402</v>
      </c>
      <c r="D320" s="113">
        <f>SUM(E320:G320)</f>
        <v>12.399093072963577</v>
      </c>
      <c r="E320" s="197">
        <f>(' Pivot Table for Data Exchange'!$M$49)*100</f>
        <v>12.330198242052388</v>
      </c>
      <c r="F320" s="197">
        <f>(' Pivot Table for Data Exchange'!$M$52)*100</f>
        <v>0.05618881701363496</v>
      </c>
      <c r="G320" s="203">
        <f>(' Pivot Table for Data Exchange'!$M$55)*100</f>
        <v>0.012706013897555645</v>
      </c>
      <c r="H320" s="197">
        <f>(' Pivot Table for Data Exchange'!$M$58)*100</f>
        <v>0</v>
      </c>
      <c r="I320" s="40"/>
      <c r="J320" s="112"/>
      <c r="K320" s="112"/>
      <c r="L320" s="112"/>
      <c r="M320" s="112"/>
      <c r="N320" s="112"/>
      <c r="O320" s="112"/>
      <c r="P320" s="112"/>
      <c r="Q320" s="39">
        <f t="shared" si="38"/>
        <v>100.00000000000001</v>
      </c>
      <c r="R320" s="39">
        <f t="shared" si="39"/>
        <v>0</v>
      </c>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row>
    <row r="321" spans="1:41" ht="15.75" customHeight="1">
      <c r="A321" s="40" t="s">
        <v>423</v>
      </c>
      <c r="B321" s="197">
        <f>(' Pivot Table for Data Exchange'!$M$79)*100</f>
        <v>91.25708863635352</v>
      </c>
      <c r="C321" s="197">
        <f>(' Pivot Table for Data Exchange'!$M$82)*100</f>
        <v>0</v>
      </c>
      <c r="D321" s="113">
        <f>SUM(E321:G321)</f>
        <v>8.742911363646488</v>
      </c>
      <c r="E321" s="197">
        <f>(' Pivot Table for Data Exchange'!$M$85)*100</f>
        <v>3.755362416974416</v>
      </c>
      <c r="F321" s="197">
        <f>(' Pivot Table for Data Exchange'!$M$88)*100</f>
        <v>0.2499120184961622</v>
      </c>
      <c r="G321" s="199">
        <f>(' Pivot Table for Data Exchange'!$M$91)*100</f>
        <v>4.73763692817591</v>
      </c>
      <c r="H321" s="197">
        <f>(' Pivot Table for Data Exchange'!$M$94)*100</f>
        <v>0</v>
      </c>
      <c r="I321" s="40"/>
      <c r="J321" s="112"/>
      <c r="K321" s="112"/>
      <c r="L321" s="112"/>
      <c r="M321" s="112"/>
      <c r="N321" s="112"/>
      <c r="O321" s="112"/>
      <c r="P321" s="112"/>
      <c r="Q321" s="39">
        <f t="shared" si="38"/>
        <v>100</v>
      </c>
      <c r="R321" s="39">
        <f t="shared" si="39"/>
        <v>0</v>
      </c>
      <c r="S321" s="47"/>
      <c r="T321" s="59"/>
      <c r="U321" s="47"/>
      <c r="V321" s="47"/>
      <c r="W321" s="47"/>
      <c r="X321" s="47"/>
      <c r="Y321" s="47"/>
      <c r="Z321" s="47"/>
      <c r="AA321" s="47"/>
      <c r="AB321" s="47"/>
      <c r="AC321" s="47"/>
      <c r="AD321" s="47"/>
      <c r="AE321" s="47"/>
      <c r="AF321" s="47"/>
      <c r="AG321" s="47"/>
      <c r="AH321" s="47"/>
      <c r="AI321" s="47"/>
      <c r="AJ321" s="47"/>
      <c r="AK321" s="47"/>
      <c r="AL321" s="47"/>
      <c r="AM321" s="47"/>
      <c r="AN321" s="47"/>
      <c r="AO321" s="47"/>
    </row>
    <row r="322" spans="1:41" ht="15.75" customHeight="1">
      <c r="A322" s="40" t="s">
        <v>424</v>
      </c>
      <c r="B322" s="197">
        <f>(' Pivot Table for Data Exchange'!$M$115)*100</f>
        <v>81.23138273698646</v>
      </c>
      <c r="C322" s="197">
        <f>(' Pivot Table for Data Exchange'!$M$118)*100</f>
        <v>5.996412599392742</v>
      </c>
      <c r="D322" s="113">
        <f>SUM(E322:G322)</f>
        <v>11.54882972273006</v>
      </c>
      <c r="E322" s="197">
        <f>(' Pivot Table for Data Exchange'!$M$121)*100</f>
        <v>7.094953362641561</v>
      </c>
      <c r="F322" s="197">
        <f>(' Pivot Table for Data Exchange'!$M$124)*100</f>
        <v>0.4932388198625558</v>
      </c>
      <c r="G322" s="199">
        <f>(' Pivot Table for Data Exchange'!$M$127)*100</f>
        <v>3.960637540225944</v>
      </c>
      <c r="H322" s="197">
        <f>(' Pivot Table for Data Exchange'!$M$130)*100</f>
        <v>1.2233749408907293</v>
      </c>
      <c r="I322" s="40"/>
      <c r="J322" s="112"/>
      <c r="K322" s="112"/>
      <c r="L322" s="112"/>
      <c r="M322" s="112"/>
      <c r="N322" s="112"/>
      <c r="O322" s="112"/>
      <c r="P322" s="112"/>
      <c r="Q322" s="39">
        <f t="shared" si="38"/>
        <v>100</v>
      </c>
      <c r="R322" s="39">
        <f t="shared" si="39"/>
        <v>0</v>
      </c>
      <c r="S322" s="47"/>
      <c r="U322" s="47"/>
      <c r="V322" s="47"/>
      <c r="W322" s="47"/>
      <c r="X322" s="47"/>
      <c r="Y322" s="47"/>
      <c r="Z322" s="47"/>
      <c r="AA322" s="47"/>
      <c r="AB322" s="47"/>
      <c r="AC322" s="47"/>
      <c r="AD322" s="47"/>
      <c r="AE322" s="47"/>
      <c r="AF322" s="47"/>
      <c r="AG322" s="47"/>
      <c r="AH322" s="47"/>
      <c r="AI322" s="47"/>
      <c r="AJ322" s="47"/>
      <c r="AK322" s="47"/>
      <c r="AL322" s="47"/>
      <c r="AM322" s="47"/>
      <c r="AN322" s="47"/>
      <c r="AO322" s="47"/>
    </row>
    <row r="323" spans="1:41" ht="15.75" customHeight="1">
      <c r="A323" s="40"/>
      <c r="B323" s="102"/>
      <c r="C323" s="103"/>
      <c r="D323" s="113"/>
      <c r="E323" s="102"/>
      <c r="F323" s="102"/>
      <c r="G323" s="103"/>
      <c r="H323" s="102"/>
      <c r="I323" s="40"/>
      <c r="J323" s="112"/>
      <c r="K323" s="112"/>
      <c r="L323" s="112"/>
      <c r="M323" s="112"/>
      <c r="N323" s="112"/>
      <c r="O323" s="112"/>
      <c r="P323" s="112"/>
      <c r="Q323" s="39">
        <f t="shared" si="38"/>
        <v>0</v>
      </c>
      <c r="R323" s="39">
        <f t="shared" si="39"/>
        <v>0</v>
      </c>
      <c r="S323" s="47"/>
      <c r="U323" s="47"/>
      <c r="V323" s="47"/>
      <c r="W323" s="47"/>
      <c r="X323" s="47"/>
      <c r="Y323" s="47"/>
      <c r="Z323" s="47"/>
      <c r="AA323" s="47"/>
      <c r="AB323" s="47"/>
      <c r="AC323" s="47"/>
      <c r="AD323" s="47"/>
      <c r="AE323" s="47"/>
      <c r="AF323" s="47"/>
      <c r="AG323" s="47"/>
      <c r="AH323" s="47"/>
      <c r="AI323" s="47"/>
      <c r="AJ323" s="47"/>
      <c r="AK323" s="47"/>
      <c r="AL323" s="47"/>
      <c r="AM323" s="47"/>
      <c r="AN323" s="47"/>
      <c r="AO323" s="47"/>
    </row>
    <row r="324" spans="1:41" ht="15.75" customHeight="1">
      <c r="A324" s="40" t="s">
        <v>425</v>
      </c>
      <c r="B324" s="197">
        <f>(' Pivot Table for Data Exchange'!$M$151)*100</f>
        <v>72.86225408469372</v>
      </c>
      <c r="C324" s="197">
        <f>(' Pivot Table for Data Exchange'!$M$154)*100</f>
        <v>21.393440862601437</v>
      </c>
      <c r="D324" s="113">
        <f>SUM(E324:G324)</f>
        <v>5.744305052704865</v>
      </c>
      <c r="E324" s="197">
        <f>(' Pivot Table for Data Exchange'!$M$157)*100</f>
        <v>5.092276401004344</v>
      </c>
      <c r="F324" s="197">
        <f>(' Pivot Table for Data Exchange'!$M$160)*100</f>
        <v>0.178224296006143</v>
      </c>
      <c r="G324" s="199">
        <f>(' Pivot Table for Data Exchange'!$M$163)*100</f>
        <v>0.4738043556943773</v>
      </c>
      <c r="H324" s="197">
        <f>(' Pivot Table for Data Exchange'!$M$166)*100</f>
        <v>0</v>
      </c>
      <c r="I324" s="40"/>
      <c r="J324" s="112"/>
      <c r="K324" s="112"/>
      <c r="L324" s="112"/>
      <c r="M324" s="112"/>
      <c r="N324" s="112"/>
      <c r="O324" s="112"/>
      <c r="P324" s="112"/>
      <c r="Q324" s="39">
        <f t="shared" si="38"/>
        <v>100.00000000000001</v>
      </c>
      <c r="R324" s="39">
        <f t="shared" si="39"/>
        <v>0</v>
      </c>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row>
    <row r="325" spans="1:41" ht="15.75" customHeight="1">
      <c r="A325" s="40" t="s">
        <v>426</v>
      </c>
      <c r="B325" s="197">
        <f>(' Pivot Table for Data Exchange'!$M$187)*100</f>
        <v>74.74023214597881</v>
      </c>
      <c r="C325" s="197">
        <f>(' Pivot Table for Data Exchange'!$M$190)*100</f>
        <v>11.8337030936216</v>
      </c>
      <c r="D325" s="113">
        <f>SUM(E325:G325)</f>
        <v>13.426064760399598</v>
      </c>
      <c r="E325" s="197">
        <f>(' Pivot Table for Data Exchange'!$M$193)*100</f>
        <v>10.84465946285508</v>
      </c>
      <c r="F325" s="197">
        <f>(' Pivot Table for Data Exchange'!$M$196)*100</f>
        <v>1.7069139252056185</v>
      </c>
      <c r="G325" s="199">
        <f>(' Pivot Table for Data Exchange'!$M$199)*100</f>
        <v>0.8744913723388984</v>
      </c>
      <c r="H325" s="197">
        <f>(' Pivot Table for Data Exchange'!$M$202)*100</f>
        <v>0</v>
      </c>
      <c r="I325" s="40"/>
      <c r="J325" s="112"/>
      <c r="K325" s="112"/>
      <c r="L325" s="112"/>
      <c r="M325" s="112"/>
      <c r="N325" s="112"/>
      <c r="O325" s="112"/>
      <c r="P325" s="112"/>
      <c r="Q325" s="39">
        <f t="shared" si="38"/>
        <v>100</v>
      </c>
      <c r="R325" s="39">
        <f t="shared" si="39"/>
        <v>0</v>
      </c>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row>
    <row r="326" spans="1:41" ht="15.75" customHeight="1">
      <c r="A326" s="40" t="s">
        <v>427</v>
      </c>
      <c r="B326" s="197">
        <f>(' Pivot Table for Data Exchange'!$M$223)*100</f>
        <v>94.39501662869563</v>
      </c>
      <c r="C326" s="197">
        <f>(' Pivot Table for Data Exchange'!$M$226)*100</f>
        <v>0</v>
      </c>
      <c r="D326" s="113">
        <f>SUM(E326:G326)</f>
        <v>5.604983371304371</v>
      </c>
      <c r="E326" s="197">
        <f>(' Pivot Table for Data Exchange'!$M$229)*100</f>
        <v>5.422329588603452</v>
      </c>
      <c r="F326" s="197">
        <f>(' Pivot Table for Data Exchange'!$M$232)*100</f>
        <v>0</v>
      </c>
      <c r="G326" s="203">
        <f>(' Pivot Table for Data Exchange'!$M$235)*100</f>
        <v>0.18265378270091917</v>
      </c>
      <c r="H326" s="197">
        <f>(' Pivot Table for Data Exchange'!$M$238)*100</f>
        <v>0</v>
      </c>
      <c r="I326" s="40"/>
      <c r="J326" s="112"/>
      <c r="K326" s="112"/>
      <c r="L326" s="112"/>
      <c r="M326" s="112"/>
      <c r="N326" s="112"/>
      <c r="O326" s="112"/>
      <c r="P326" s="112"/>
      <c r="Q326" s="39">
        <f t="shared" si="38"/>
        <v>100</v>
      </c>
      <c r="R326" s="39">
        <f t="shared" si="39"/>
        <v>0</v>
      </c>
      <c r="S326" s="47"/>
      <c r="T326" s="59"/>
      <c r="U326" s="47"/>
      <c r="V326" s="47"/>
      <c r="W326" s="47"/>
      <c r="X326" s="47"/>
      <c r="Y326" s="47"/>
      <c r="Z326" s="47"/>
      <c r="AA326" s="47"/>
      <c r="AB326" s="47"/>
      <c r="AC326" s="47"/>
      <c r="AD326" s="47"/>
      <c r="AE326" s="47"/>
      <c r="AF326" s="47"/>
      <c r="AG326" s="47"/>
      <c r="AH326" s="47"/>
      <c r="AI326" s="47"/>
      <c r="AJ326" s="47"/>
      <c r="AK326" s="47"/>
      <c r="AL326" s="47"/>
      <c r="AM326" s="47"/>
      <c r="AN326" s="47"/>
      <c r="AO326" s="47"/>
    </row>
    <row r="327" spans="1:41" ht="15.75" customHeight="1">
      <c r="A327" s="40" t="s">
        <v>428</v>
      </c>
      <c r="B327" s="197">
        <f>(' Pivot Table for Data Exchange'!$M$259)*100</f>
        <v>87.84010300262365</v>
      </c>
      <c r="C327" s="197">
        <f>(' Pivot Table for Data Exchange'!$M$262)*100</f>
        <v>2.3028096672543277</v>
      </c>
      <c r="D327" s="113">
        <f>SUM(E327:G327)</f>
        <v>9.685127087468938</v>
      </c>
      <c r="E327" s="197">
        <f>(' Pivot Table for Data Exchange'!$M$265)*100</f>
        <v>8.241077501839332</v>
      </c>
      <c r="F327" s="197">
        <f>(' Pivot Table for Data Exchange'!$M$268)*100</f>
        <v>0.5708871829754154</v>
      </c>
      <c r="G327" s="199">
        <f>(' Pivot Table for Data Exchange'!$M$271)*100</f>
        <v>0.8731624026541916</v>
      </c>
      <c r="H327" s="197">
        <f>(' Pivot Table for Data Exchange'!$M$274)*100</f>
        <v>0.17196024265308107</v>
      </c>
      <c r="I327" s="40"/>
      <c r="J327" s="112"/>
      <c r="K327" s="112"/>
      <c r="L327" s="112"/>
      <c r="M327" s="112"/>
      <c r="N327" s="112"/>
      <c r="O327" s="112"/>
      <c r="P327" s="112"/>
      <c r="Q327" s="39">
        <f t="shared" si="38"/>
        <v>100</v>
      </c>
      <c r="R327" s="39">
        <f t="shared" si="39"/>
        <v>0</v>
      </c>
      <c r="S327" s="47"/>
      <c r="U327" s="47"/>
      <c r="V327" s="47"/>
      <c r="W327" s="47"/>
      <c r="X327" s="47"/>
      <c r="Y327" s="47"/>
      <c r="Z327" s="47"/>
      <c r="AA327" s="47"/>
      <c r="AB327" s="47"/>
      <c r="AC327" s="47"/>
      <c r="AD327" s="47"/>
      <c r="AE327" s="47"/>
      <c r="AF327" s="47"/>
      <c r="AG327" s="47"/>
      <c r="AH327" s="47"/>
      <c r="AI327" s="47"/>
      <c r="AJ327" s="47"/>
      <c r="AK327" s="47"/>
      <c r="AL327" s="47"/>
      <c r="AM327" s="47"/>
      <c r="AN327" s="47"/>
      <c r="AO327" s="47"/>
    </row>
    <row r="328" spans="1:41" ht="12" customHeight="1">
      <c r="A328" s="40"/>
      <c r="B328" s="102"/>
      <c r="C328" s="103"/>
      <c r="D328" s="113"/>
      <c r="E328" s="102"/>
      <c r="F328" s="102"/>
      <c r="G328" s="103"/>
      <c r="H328" s="102"/>
      <c r="I328" s="40"/>
      <c r="J328" s="112"/>
      <c r="K328" s="112"/>
      <c r="L328" s="112"/>
      <c r="M328" s="112"/>
      <c r="N328" s="112"/>
      <c r="O328" s="112"/>
      <c r="P328" s="112"/>
      <c r="Q328" s="39">
        <f t="shared" si="38"/>
        <v>0</v>
      </c>
      <c r="R328" s="39">
        <f t="shared" si="39"/>
        <v>0</v>
      </c>
      <c r="S328" s="47"/>
      <c r="U328" s="47"/>
      <c r="V328" s="47"/>
      <c r="W328" s="47"/>
      <c r="X328" s="47"/>
      <c r="Y328" s="47"/>
      <c r="Z328" s="47"/>
      <c r="AA328" s="47"/>
      <c r="AB328" s="47"/>
      <c r="AC328" s="47"/>
      <c r="AD328" s="47"/>
      <c r="AE328" s="47"/>
      <c r="AF328" s="47"/>
      <c r="AG328" s="47"/>
      <c r="AH328" s="47"/>
      <c r="AI328" s="47"/>
      <c r="AJ328" s="47"/>
      <c r="AK328" s="47"/>
      <c r="AL328" s="47"/>
      <c r="AM328" s="47"/>
      <c r="AN328" s="47"/>
      <c r="AO328" s="47"/>
    </row>
    <row r="329" spans="1:41" ht="15.75" customHeight="1">
      <c r="A329" s="40" t="s">
        <v>478</v>
      </c>
      <c r="B329" s="197">
        <f>(' Pivot Table for Data Exchange'!$M$295)*100</f>
        <v>90.04236878842754</v>
      </c>
      <c r="C329" s="197">
        <f>(' Pivot Table for Data Exchange'!$M$298)*100</f>
        <v>0</v>
      </c>
      <c r="D329" s="113">
        <f>SUM(E329:G329)</f>
        <v>9.957631211572465</v>
      </c>
      <c r="E329" s="197">
        <f>(' Pivot Table for Data Exchange'!$M$301)*100</f>
        <v>9.957631211572465</v>
      </c>
      <c r="F329" s="197">
        <f>(' Pivot Table for Data Exchange'!$M$304)*100</f>
        <v>0</v>
      </c>
      <c r="G329" s="199">
        <f>(' Pivot Table for Data Exchange'!$M$307)*100</f>
        <v>0</v>
      </c>
      <c r="H329" s="197">
        <f>(' Pivot Table for Data Exchange'!$M$310)*100</f>
        <v>0</v>
      </c>
      <c r="I329" s="40"/>
      <c r="J329" s="112"/>
      <c r="K329" s="112"/>
      <c r="L329" s="112"/>
      <c r="M329" s="112"/>
      <c r="N329" s="112"/>
      <c r="O329" s="112"/>
      <c r="P329" s="112"/>
      <c r="Q329" s="39">
        <f t="shared" si="38"/>
        <v>100</v>
      </c>
      <c r="R329" s="39">
        <f t="shared" si="39"/>
        <v>0</v>
      </c>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row>
    <row r="330" spans="1:41" ht="15.75" customHeight="1">
      <c r="A330" s="40" t="s">
        <v>130</v>
      </c>
      <c r="B330" s="197">
        <f>(' Pivot Table for Data Exchange'!$M$331)*100</f>
        <v>72.8984034498166</v>
      </c>
      <c r="C330" s="197">
        <f>(' Pivot Table for Data Exchange'!$M$334)*100</f>
        <v>18.79948041384957</v>
      </c>
      <c r="D330" s="113">
        <f>SUM(E330:G330)</f>
        <v>8.302116136333842</v>
      </c>
      <c r="E330" s="197">
        <f>(' Pivot Table for Data Exchange'!$M$337)*100</f>
        <v>6.378742719238869</v>
      </c>
      <c r="F330" s="197">
        <f>(' Pivot Table for Data Exchange'!$M$340)*100</f>
        <v>0.4440361302336532</v>
      </c>
      <c r="G330" s="199">
        <f>(' Pivot Table for Data Exchange'!$M$343)*100</f>
        <v>1.47933728686132</v>
      </c>
      <c r="H330" s="197">
        <f>(' Pivot Table for Data Exchange'!$M$346)*100</f>
        <v>0</v>
      </c>
      <c r="I330" s="40"/>
      <c r="J330" s="112"/>
      <c r="K330" s="112"/>
      <c r="L330" s="112"/>
      <c r="M330" s="112"/>
      <c r="N330" s="112"/>
      <c r="O330" s="112"/>
      <c r="P330" s="112"/>
      <c r="Q330" s="39">
        <f t="shared" si="38"/>
        <v>100</v>
      </c>
      <c r="R330" s="39">
        <f t="shared" si="39"/>
        <v>0</v>
      </c>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row>
    <row r="331" spans="1:41" ht="15.75" customHeight="1">
      <c r="A331" s="40" t="s">
        <v>123</v>
      </c>
      <c r="B331" s="197">
        <f>(' Pivot Table for Data Exchange'!$M$367)*100</f>
        <v>81.46003311404591</v>
      </c>
      <c r="C331" s="197">
        <f>(' Pivot Table for Data Exchange'!$M$370)*100</f>
        <v>5.43470632727802</v>
      </c>
      <c r="D331" s="113">
        <f>SUM(E331:G331)</f>
        <v>13.105260558676063</v>
      </c>
      <c r="E331" s="197">
        <f>(' Pivot Table for Data Exchange'!$M$373)*100</f>
        <v>9.388897697352176</v>
      </c>
      <c r="F331" s="197">
        <f>(' Pivot Table for Data Exchange'!$M$376)*100</f>
        <v>2.7606301545755345</v>
      </c>
      <c r="G331" s="199">
        <f>(' Pivot Table for Data Exchange'!$M$379)*100</f>
        <v>0.9557327067483514</v>
      </c>
      <c r="H331" s="197">
        <f>(' Pivot Table for Data Exchange'!$M$382)*100</f>
        <v>0</v>
      </c>
      <c r="I331" s="40"/>
      <c r="J331" s="112"/>
      <c r="K331" s="112"/>
      <c r="L331" s="112"/>
      <c r="M331" s="112"/>
      <c r="N331" s="112"/>
      <c r="O331" s="112"/>
      <c r="P331" s="112"/>
      <c r="Q331" s="39">
        <f aca="true" t="shared" si="40" ref="Q331:Q337">SUM(B331,C331,D331,H331)</f>
        <v>100</v>
      </c>
      <c r="R331" s="39">
        <f aca="true" t="shared" si="41" ref="R331:R337">SUM(J331,K331,L331,P331)</f>
        <v>0</v>
      </c>
      <c r="S331" s="47"/>
      <c r="T331" s="59"/>
      <c r="U331" s="47"/>
      <c r="V331" s="47"/>
      <c r="W331" s="47"/>
      <c r="X331" s="47"/>
      <c r="Y331" s="47"/>
      <c r="Z331" s="47"/>
      <c r="AA331" s="47"/>
      <c r="AB331" s="47"/>
      <c r="AC331" s="47"/>
      <c r="AD331" s="47"/>
      <c r="AE331" s="47"/>
      <c r="AF331" s="47"/>
      <c r="AG331" s="47"/>
      <c r="AH331" s="47"/>
      <c r="AI331" s="47"/>
      <c r="AJ331" s="47"/>
      <c r="AK331" s="47"/>
      <c r="AL331" s="47"/>
      <c r="AM331" s="47"/>
      <c r="AN331" s="47"/>
      <c r="AO331" s="47"/>
    </row>
    <row r="332" spans="1:41" ht="15.75" customHeight="1">
      <c r="A332" s="40" t="s">
        <v>429</v>
      </c>
      <c r="B332" s="197"/>
      <c r="C332" s="197"/>
      <c r="D332" s="113"/>
      <c r="E332" s="197"/>
      <c r="F332" s="197"/>
      <c r="G332" s="199"/>
      <c r="H332" s="197"/>
      <c r="I332" s="40"/>
      <c r="J332" s="112"/>
      <c r="K332" s="112"/>
      <c r="L332" s="112"/>
      <c r="M332" s="112"/>
      <c r="N332" s="112"/>
      <c r="O332" s="112"/>
      <c r="P332" s="112"/>
      <c r="Q332" s="39">
        <f t="shared" si="40"/>
        <v>0</v>
      </c>
      <c r="R332" s="39">
        <f t="shared" si="41"/>
        <v>0</v>
      </c>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row>
    <row r="333" spans="1:41" ht="12.75" customHeight="1">
      <c r="A333" s="40"/>
      <c r="B333" s="197"/>
      <c r="C333" s="197"/>
      <c r="D333" s="113"/>
      <c r="E333" s="197"/>
      <c r="F333" s="197"/>
      <c r="G333" s="199"/>
      <c r="H333" s="197"/>
      <c r="I333" s="40"/>
      <c r="J333" s="112"/>
      <c r="K333" s="112"/>
      <c r="L333" s="112"/>
      <c r="M333" s="112"/>
      <c r="N333" s="112"/>
      <c r="O333" s="112"/>
      <c r="P333" s="112"/>
      <c r="Q333" s="39"/>
      <c r="R333" s="39"/>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row>
    <row r="334" spans="1:41" ht="15.75" customHeight="1">
      <c r="A334" s="40" t="s">
        <v>430</v>
      </c>
      <c r="B334" s="197"/>
      <c r="C334" s="197"/>
      <c r="D334" s="113"/>
      <c r="E334" s="197"/>
      <c r="F334" s="197"/>
      <c r="G334" s="199"/>
      <c r="H334" s="197"/>
      <c r="I334" s="40"/>
      <c r="J334" s="112"/>
      <c r="K334" s="112"/>
      <c r="L334" s="112"/>
      <c r="M334" s="112"/>
      <c r="N334" s="112"/>
      <c r="O334" s="112"/>
      <c r="P334" s="112"/>
      <c r="Q334" s="39">
        <f t="shared" si="40"/>
        <v>0</v>
      </c>
      <c r="R334" s="39">
        <f t="shared" si="41"/>
        <v>0</v>
      </c>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row>
    <row r="335" spans="1:41" ht="15.75" customHeight="1">
      <c r="A335" s="40" t="s">
        <v>229</v>
      </c>
      <c r="B335" s="197">
        <f>(' Pivot Table for Data Exchange'!$M$403)*100</f>
        <v>70.03269636473405</v>
      </c>
      <c r="C335" s="197">
        <f>(' Pivot Table for Data Exchange'!$M$406)*100</f>
        <v>19.362353052904346</v>
      </c>
      <c r="D335" s="113">
        <f>SUM(E335:G335)</f>
        <v>10.604950582361601</v>
      </c>
      <c r="E335" s="197">
        <f>(' Pivot Table for Data Exchange'!$M$409)*100</f>
        <v>8.522185365324217</v>
      </c>
      <c r="F335" s="197">
        <f>(' Pivot Table for Data Exchange'!$M$412)*100</f>
        <v>1.393869092438457</v>
      </c>
      <c r="G335" s="199">
        <f>(' Pivot Table for Data Exchange'!$M$415)*100</f>
        <v>0.6888961245989269</v>
      </c>
      <c r="H335" s="197">
        <f>(' Pivot Table for Data Exchange'!$M$418)*100</f>
        <v>0</v>
      </c>
      <c r="I335" s="40"/>
      <c r="J335" s="112"/>
      <c r="K335" s="112"/>
      <c r="L335" s="112"/>
      <c r="M335" s="112"/>
      <c r="N335" s="112"/>
      <c r="O335" s="112"/>
      <c r="P335" s="112"/>
      <c r="Q335" s="39">
        <f t="shared" si="40"/>
        <v>100</v>
      </c>
      <c r="R335" s="39">
        <f t="shared" si="41"/>
        <v>0</v>
      </c>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row>
    <row r="336" spans="1:41" ht="15.75" customHeight="1">
      <c r="A336" s="40" t="s">
        <v>431</v>
      </c>
      <c r="B336" s="197">
        <f>(' Pivot Table for Data Exchange'!$M$511)*100</f>
        <v>0</v>
      </c>
      <c r="C336" s="197">
        <f>(' Pivot Table for Data Exchange'!$M$514)*100</f>
        <v>0</v>
      </c>
      <c r="D336" s="113">
        <f>SUM(E336:G336)</f>
        <v>0</v>
      </c>
      <c r="E336" s="197">
        <f>(' Pivot Table for Data Exchange'!$M$517)*100</f>
        <v>0</v>
      </c>
      <c r="F336" s="197">
        <f>(' Pivot Table for Data Exchange'!$M$520)*100</f>
        <v>0</v>
      </c>
      <c r="G336" s="199">
        <f>(' Pivot Table for Data Exchange'!$M$523)*100</f>
        <v>0</v>
      </c>
      <c r="H336" s="197">
        <f>(' Pivot Table for Data Exchange'!$M$526)*100</f>
        <v>0</v>
      </c>
      <c r="I336" s="40"/>
      <c r="J336" s="112"/>
      <c r="K336" s="112"/>
      <c r="L336" s="112"/>
      <c r="M336" s="112"/>
      <c r="N336" s="112"/>
      <c r="O336" s="112"/>
      <c r="P336" s="112"/>
      <c r="Q336" s="39">
        <f t="shared" si="40"/>
        <v>0</v>
      </c>
      <c r="R336" s="39">
        <f t="shared" si="41"/>
        <v>0</v>
      </c>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row>
    <row r="337" spans="1:41" ht="15.75" customHeight="1">
      <c r="A337" s="34" t="s">
        <v>124</v>
      </c>
      <c r="B337" s="201">
        <f>(' Pivot Table for Data Exchange'!$M$439)*100</f>
        <v>57.6370975084216</v>
      </c>
      <c r="C337" s="201">
        <f>(' Pivot Table for Data Exchange'!$M$442)*100</f>
        <v>38.560286485994354</v>
      </c>
      <c r="D337" s="114">
        <f>SUM(E337:G337)</f>
        <v>3.802616005584049</v>
      </c>
      <c r="E337" s="201">
        <f>(' Pivot Table for Data Exchange'!$M$445)*100</f>
        <v>3.7980637916906925</v>
      </c>
      <c r="F337" s="201">
        <f>(' Pivot Table for Data Exchange'!$M$448)*100</f>
        <v>0</v>
      </c>
      <c r="G337" s="560">
        <f>(' Pivot Table for Data Exchange'!$M$451)*100</f>
        <v>0.004552213893356803</v>
      </c>
      <c r="H337" s="201">
        <f>(' Pivot Table for Data Exchange'!$M$454)*100</f>
        <v>0</v>
      </c>
      <c r="I337" s="40"/>
      <c r="J337" s="112"/>
      <c r="K337" s="112"/>
      <c r="L337" s="112"/>
      <c r="M337" s="112"/>
      <c r="N337" s="112"/>
      <c r="O337" s="112"/>
      <c r="P337" s="112"/>
      <c r="Q337" s="39">
        <f t="shared" si="40"/>
        <v>100</v>
      </c>
      <c r="R337" s="39">
        <f t="shared" si="41"/>
        <v>0</v>
      </c>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row>
    <row r="338" spans="1:41" s="64" customFormat="1" ht="18" customHeight="1">
      <c r="A338" s="115" t="s">
        <v>477</v>
      </c>
      <c r="B338" s="68"/>
      <c r="C338" s="68"/>
      <c r="D338" s="69"/>
      <c r="E338" s="68"/>
      <c r="F338" s="69"/>
      <c r="G338" s="69"/>
      <c r="H338" s="68"/>
      <c r="I338" s="115"/>
      <c r="J338" s="68"/>
      <c r="K338" s="68"/>
      <c r="L338" s="69"/>
      <c r="M338" s="68"/>
      <c r="N338" s="69"/>
      <c r="O338" s="69"/>
      <c r="P338" s="68"/>
      <c r="Q338" s="68"/>
      <c r="R338" s="68"/>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row>
    <row r="339" spans="1:18" s="64" customFormat="1" ht="26.25" customHeight="1">
      <c r="A339" s="687" t="s">
        <v>749</v>
      </c>
      <c r="B339" s="688"/>
      <c r="C339" s="688"/>
      <c r="D339" s="688"/>
      <c r="E339" s="688"/>
      <c r="F339" s="688"/>
      <c r="G339" s="688"/>
      <c r="H339" s="688"/>
      <c r="I339" s="115"/>
      <c r="P339" s="65"/>
      <c r="Q339" s="66"/>
      <c r="R339" s="67"/>
    </row>
    <row r="340" spans="1:18" s="64" customFormat="1" ht="13.5" customHeight="1">
      <c r="A340" s="116"/>
      <c r="H340" s="62"/>
      <c r="I340" s="116"/>
      <c r="Q340" s="66"/>
      <c r="R340" s="67"/>
    </row>
    <row r="341" spans="8:18" s="64" customFormat="1" ht="11.25">
      <c r="H341" s="559" t="s">
        <v>766</v>
      </c>
      <c r="I341" s="62"/>
      <c r="J341" s="62"/>
      <c r="K341" s="62"/>
      <c r="L341" s="62"/>
      <c r="M341" s="62"/>
      <c r="N341" s="62"/>
      <c r="O341" s="62"/>
      <c r="P341" s="62"/>
      <c r="Q341" s="62"/>
      <c r="R341" s="62"/>
    </row>
    <row r="342" spans="1:17" ht="18">
      <c r="A342" s="31" t="s">
        <v>452</v>
      </c>
      <c r="B342" s="32"/>
      <c r="C342" s="32"/>
      <c r="D342" s="32"/>
      <c r="E342" s="32"/>
      <c r="F342" s="32"/>
      <c r="G342" s="32"/>
      <c r="H342" s="46"/>
      <c r="I342" s="45"/>
      <c r="J342" s="40"/>
      <c r="K342" s="40"/>
      <c r="L342" s="46"/>
      <c r="M342" s="40"/>
      <c r="N342" s="40"/>
      <c r="O342" s="40"/>
      <c r="P342" s="40"/>
      <c r="Q342" s="55"/>
    </row>
    <row r="343" spans="1:16" ht="12.75">
      <c r="A343" s="78"/>
      <c r="B343" s="33"/>
      <c r="C343" s="33"/>
      <c r="D343" s="33"/>
      <c r="E343" s="33"/>
      <c r="F343" s="33"/>
      <c r="G343" s="33"/>
      <c r="H343" s="43"/>
      <c r="I343" s="45"/>
      <c r="J343" s="40"/>
      <c r="K343" s="40"/>
      <c r="L343" s="40"/>
      <c r="M343" s="40"/>
      <c r="N343" s="40"/>
      <c r="O343" s="40"/>
      <c r="P343" s="40"/>
    </row>
    <row r="344" spans="1:16" ht="15.75">
      <c r="A344" s="42" t="s">
        <v>465</v>
      </c>
      <c r="B344" s="33"/>
      <c r="C344" s="33"/>
      <c r="D344" s="33"/>
      <c r="E344" s="33"/>
      <c r="F344" s="33"/>
      <c r="G344" s="33"/>
      <c r="H344" s="43"/>
      <c r="I344" s="45"/>
      <c r="J344" s="40"/>
      <c r="K344" s="40"/>
      <c r="L344" s="43"/>
      <c r="M344" s="40"/>
      <c r="N344" s="40"/>
      <c r="O344" s="40"/>
      <c r="P344" s="40"/>
    </row>
    <row r="345" spans="1:16" ht="15.75">
      <c r="A345" s="42" t="s">
        <v>741</v>
      </c>
      <c r="B345" s="33"/>
      <c r="C345" s="33"/>
      <c r="D345" s="33"/>
      <c r="E345" s="33"/>
      <c r="F345" s="33"/>
      <c r="G345" s="33"/>
      <c r="H345" s="43"/>
      <c r="I345" s="45"/>
      <c r="J345" s="40"/>
      <c r="K345" s="40"/>
      <c r="L345" s="40"/>
      <c r="M345" s="40"/>
      <c r="N345" s="40"/>
      <c r="O345" s="40"/>
      <c r="P345" s="40"/>
    </row>
    <row r="346" spans="1:16" ht="12.75">
      <c r="A346" s="34"/>
      <c r="B346" s="35"/>
      <c r="C346" s="35"/>
      <c r="D346" s="35"/>
      <c r="E346" s="35"/>
      <c r="F346" s="35"/>
      <c r="G346" s="35"/>
      <c r="H346" s="35"/>
      <c r="I346" s="45"/>
      <c r="J346" s="40"/>
      <c r="K346" s="40"/>
      <c r="L346" s="40"/>
      <c r="M346" s="40"/>
      <c r="N346" s="40"/>
      <c r="O346" s="40"/>
      <c r="P346" s="40"/>
    </row>
    <row r="347" spans="1:16" ht="12.75">
      <c r="A347" s="85"/>
      <c r="B347" s="86" t="s">
        <v>231</v>
      </c>
      <c r="C347" s="86"/>
      <c r="D347" s="86"/>
      <c r="E347" s="86"/>
      <c r="F347" s="86"/>
      <c r="G347" s="86"/>
      <c r="H347" s="87"/>
      <c r="I347" s="45"/>
      <c r="J347" s="40"/>
      <c r="K347" s="40"/>
      <c r="L347" s="40"/>
      <c r="M347" s="40"/>
      <c r="N347" s="40"/>
      <c r="O347" s="40"/>
      <c r="P347" s="40"/>
    </row>
    <row r="348" spans="1:16" ht="12.75">
      <c r="A348" s="85"/>
      <c r="B348" s="86" t="s">
        <v>127</v>
      </c>
      <c r="C348" s="86"/>
      <c r="D348" s="690" t="s">
        <v>472</v>
      </c>
      <c r="E348" s="691"/>
      <c r="F348" s="691"/>
      <c r="G348" s="691"/>
      <c r="H348" s="91" t="s">
        <v>14</v>
      </c>
      <c r="I348" s="45"/>
      <c r="J348" s="40"/>
      <c r="K348" s="40"/>
      <c r="L348" s="40"/>
      <c r="M348" s="40"/>
      <c r="N348" s="40"/>
      <c r="O348" s="40"/>
      <c r="P348" s="40"/>
    </row>
    <row r="349" spans="1:16" ht="36">
      <c r="A349" s="85"/>
      <c r="B349" s="92" t="s">
        <v>464</v>
      </c>
      <c r="C349" s="93" t="s">
        <v>463</v>
      </c>
      <c r="D349" s="94" t="s">
        <v>470</v>
      </c>
      <c r="E349" s="95" t="s">
        <v>12</v>
      </c>
      <c r="F349" s="92" t="s">
        <v>128</v>
      </c>
      <c r="G349" s="96" t="s">
        <v>474</v>
      </c>
      <c r="H349" s="97" t="s">
        <v>473</v>
      </c>
      <c r="I349" s="45"/>
      <c r="J349" s="40"/>
      <c r="K349" s="40"/>
      <c r="L349" s="40"/>
      <c r="M349" s="40"/>
      <c r="N349" s="40"/>
      <c r="O349" s="40"/>
      <c r="P349" s="40"/>
    </row>
    <row r="350" spans="1:41" ht="15.75" customHeight="1">
      <c r="A350" s="41" t="s">
        <v>421</v>
      </c>
      <c r="B350" s="197">
        <f>(' Pivot Table for Data Exchange'!$N$7)*100</f>
        <v>83.35186447162344</v>
      </c>
      <c r="C350" s="197">
        <f>(' Pivot Table for Data Exchange'!$N$10)*100</f>
        <v>0.0681467666152577</v>
      </c>
      <c r="D350" s="113">
        <f>SUM(E350:G350)</f>
        <v>16.579988761761296</v>
      </c>
      <c r="E350" s="197">
        <f>(' Pivot Table for Data Exchange'!$N$13)*100</f>
        <v>16.36518696523718</v>
      </c>
      <c r="F350" s="197">
        <f>(' Pivot Table for Data Exchange'!$N$16)*100</f>
        <v>0</v>
      </c>
      <c r="G350" s="198">
        <f>(' Pivot Table for Data Exchange'!$N$19)*100</f>
        <v>0.21480179652411638</v>
      </c>
      <c r="H350" s="197">
        <f>(' Pivot Table for Data Exchange'!$N$22)*100</f>
        <v>0</v>
      </c>
      <c r="I350" s="40"/>
      <c r="J350" s="112"/>
      <c r="K350" s="112"/>
      <c r="L350" s="112"/>
      <c r="M350" s="112"/>
      <c r="N350" s="112"/>
      <c r="O350" s="112"/>
      <c r="P350" s="112"/>
      <c r="Q350" s="39">
        <f aca="true" t="shared" si="42" ref="Q350:Q360">SUM(B350,C350,D350,H350)</f>
        <v>100</v>
      </c>
      <c r="R350" s="39">
        <f aca="true" t="shared" si="43" ref="R350:R360">SUM(J350,K350,L350,P350)</f>
        <v>0</v>
      </c>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row>
    <row r="351" spans="1:41" ht="15.75" customHeight="1">
      <c r="A351" s="40" t="s">
        <v>422</v>
      </c>
      <c r="B351" s="197">
        <f>(' Pivot Table for Data Exchange'!$N$43)*100</f>
        <v>79.89706706929334</v>
      </c>
      <c r="C351" s="197">
        <f>(' Pivot Table for Data Exchange'!$N$46)*100</f>
        <v>9.441731378255026</v>
      </c>
      <c r="D351" s="113">
        <f>SUM(E351:G351)</f>
        <v>10.661201552451626</v>
      </c>
      <c r="E351" s="197">
        <f>(' Pivot Table for Data Exchange'!$N$49)*100</f>
        <v>7.206558137058047</v>
      </c>
      <c r="F351" s="197">
        <f>(' Pivot Table for Data Exchange'!$N$52)*100</f>
        <v>1.5474396764786036</v>
      </c>
      <c r="G351" s="199">
        <f>(' Pivot Table for Data Exchange'!$N$55)*100</f>
        <v>1.9072037389149754</v>
      </c>
      <c r="H351" s="197">
        <f>(' Pivot Table for Data Exchange'!$N$58)*100</f>
        <v>0</v>
      </c>
      <c r="I351" s="40"/>
      <c r="J351" s="112"/>
      <c r="K351" s="112"/>
      <c r="L351" s="112"/>
      <c r="M351" s="112"/>
      <c r="N351" s="112"/>
      <c r="O351" s="112"/>
      <c r="P351" s="112"/>
      <c r="Q351" s="39">
        <f t="shared" si="42"/>
        <v>100</v>
      </c>
      <c r="R351" s="39">
        <f t="shared" si="43"/>
        <v>0</v>
      </c>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row>
    <row r="352" spans="1:41" ht="15.75" customHeight="1">
      <c r="A352" s="40" t="s">
        <v>423</v>
      </c>
      <c r="B352" s="197">
        <f>(' Pivot Table for Data Exchange'!$N$79)*100</f>
        <v>87.92746113989637</v>
      </c>
      <c r="C352" s="197">
        <f>(' Pivot Table for Data Exchange'!$N$82)*100</f>
        <v>0</v>
      </c>
      <c r="D352" s="113">
        <f>SUM(E352:G352)</f>
        <v>12.072538860103627</v>
      </c>
      <c r="E352" s="197">
        <f>(' Pivot Table for Data Exchange'!$N$85)*100</f>
        <v>8.447588680749304</v>
      </c>
      <c r="F352" s="197">
        <f>(' Pivot Table for Data Exchange'!$N$88)*100</f>
        <v>0.296931048226385</v>
      </c>
      <c r="G352" s="199">
        <f>(' Pivot Table for Data Exchange'!$N$91)*100</f>
        <v>3.328019131127939</v>
      </c>
      <c r="H352" s="197">
        <f>(' Pivot Table for Data Exchange'!$N$94)*100</f>
        <v>0</v>
      </c>
      <c r="I352" s="40"/>
      <c r="J352" s="112"/>
      <c r="K352" s="112"/>
      <c r="L352" s="112"/>
      <c r="M352" s="112"/>
      <c r="N352" s="112"/>
      <c r="O352" s="112"/>
      <c r="P352" s="112"/>
      <c r="Q352" s="39">
        <f t="shared" si="42"/>
        <v>100</v>
      </c>
      <c r="R352" s="39">
        <f t="shared" si="43"/>
        <v>0</v>
      </c>
      <c r="S352" s="47"/>
      <c r="T352" s="59"/>
      <c r="U352" s="47"/>
      <c r="V352" s="47"/>
      <c r="W352" s="47"/>
      <c r="X352" s="47"/>
      <c r="Y352" s="47"/>
      <c r="Z352" s="47"/>
      <c r="AA352" s="47"/>
      <c r="AB352" s="47"/>
      <c r="AC352" s="47"/>
      <c r="AD352" s="47"/>
      <c r="AE352" s="47"/>
      <c r="AF352" s="47"/>
      <c r="AG352" s="47"/>
      <c r="AH352" s="47"/>
      <c r="AI352" s="47"/>
      <c r="AJ352" s="47"/>
      <c r="AK352" s="47"/>
      <c r="AL352" s="47"/>
      <c r="AM352" s="47"/>
      <c r="AN352" s="47"/>
      <c r="AO352" s="47"/>
    </row>
    <row r="353" spans="1:41" ht="15.75" customHeight="1">
      <c r="A353" s="40" t="s">
        <v>424</v>
      </c>
      <c r="B353" s="197">
        <f>(' Pivot Table for Data Exchange'!$N$115)*100</f>
        <v>77.66227513459097</v>
      </c>
      <c r="C353" s="197">
        <f>(' Pivot Table for Data Exchange'!$N$118)*100</f>
        <v>13.154899986869173</v>
      </c>
      <c r="D353" s="113">
        <f>SUM(E353:G353)</f>
        <v>8.821727141419005</v>
      </c>
      <c r="E353" s="197">
        <f>(' Pivot Table for Data Exchange'!$N$121)*100</f>
        <v>3.300214470171139</v>
      </c>
      <c r="F353" s="197">
        <f>(' Pivot Table for Data Exchange'!$N$124)*100</f>
        <v>2.6852540814986647</v>
      </c>
      <c r="G353" s="199">
        <f>(' Pivot Table for Data Exchange'!$N$127)*100</f>
        <v>2.836258589749201</v>
      </c>
      <c r="H353" s="197">
        <f>(' Pivot Table for Data Exchange'!$N$130)*100</f>
        <v>0.36109773712084736</v>
      </c>
      <c r="I353" s="40"/>
      <c r="J353" s="112"/>
      <c r="K353" s="112"/>
      <c r="L353" s="112"/>
      <c r="M353" s="112"/>
      <c r="N353" s="112"/>
      <c r="O353" s="112"/>
      <c r="P353" s="112"/>
      <c r="Q353" s="39">
        <f t="shared" si="42"/>
        <v>99.99999999999999</v>
      </c>
      <c r="R353" s="39">
        <f t="shared" si="43"/>
        <v>0</v>
      </c>
      <c r="S353" s="47"/>
      <c r="U353" s="47"/>
      <c r="V353" s="47"/>
      <c r="W353" s="47"/>
      <c r="X353" s="47"/>
      <c r="Y353" s="47"/>
      <c r="Z353" s="47"/>
      <c r="AA353" s="47"/>
      <c r="AB353" s="47"/>
      <c r="AC353" s="47"/>
      <c r="AD353" s="47"/>
      <c r="AE353" s="47"/>
      <c r="AF353" s="47"/>
      <c r="AG353" s="47"/>
      <c r="AH353" s="47"/>
      <c r="AI353" s="47"/>
      <c r="AJ353" s="47"/>
      <c r="AK353" s="47"/>
      <c r="AL353" s="47"/>
      <c r="AM353" s="47"/>
      <c r="AN353" s="47"/>
      <c r="AO353" s="47"/>
    </row>
    <row r="354" spans="1:41" ht="15.75" customHeight="1">
      <c r="A354" s="40"/>
      <c r="B354" s="102"/>
      <c r="C354" s="103"/>
      <c r="D354" s="113"/>
      <c r="E354" s="102"/>
      <c r="F354" s="102"/>
      <c r="G354" s="103"/>
      <c r="H354" s="102"/>
      <c r="I354" s="40"/>
      <c r="J354" s="112"/>
      <c r="K354" s="112"/>
      <c r="L354" s="112"/>
      <c r="M354" s="112"/>
      <c r="N354" s="112"/>
      <c r="O354" s="112"/>
      <c r="P354" s="112"/>
      <c r="Q354" s="39">
        <f t="shared" si="42"/>
        <v>0</v>
      </c>
      <c r="R354" s="39">
        <f t="shared" si="43"/>
        <v>0</v>
      </c>
      <c r="S354" s="47"/>
      <c r="U354" s="47"/>
      <c r="V354" s="47"/>
      <c r="W354" s="47"/>
      <c r="X354" s="47"/>
      <c r="Y354" s="47"/>
      <c r="Z354" s="47"/>
      <c r="AA354" s="47"/>
      <c r="AB354" s="47"/>
      <c r="AC354" s="47"/>
      <c r="AD354" s="47"/>
      <c r="AE354" s="47"/>
      <c r="AF354" s="47"/>
      <c r="AG354" s="47"/>
      <c r="AH354" s="47"/>
      <c r="AI354" s="47"/>
      <c r="AJ354" s="47"/>
      <c r="AK354" s="47"/>
      <c r="AL354" s="47"/>
      <c r="AM354" s="47"/>
      <c r="AN354" s="47"/>
      <c r="AO354" s="47"/>
    </row>
    <row r="355" spans="1:41" ht="15.75" customHeight="1">
      <c r="A355" s="40" t="s">
        <v>425</v>
      </c>
      <c r="B355" s="197">
        <f>(' Pivot Table for Data Exchange'!$N$151)*100</f>
        <v>78.91796588680441</v>
      </c>
      <c r="C355" s="197">
        <f>(' Pivot Table for Data Exchange'!$N$154)*100</f>
        <v>17.517383466391966</v>
      </c>
      <c r="D355" s="113">
        <f>SUM(E355:G355)</f>
        <v>3.564650646803621</v>
      </c>
      <c r="E355" s="197">
        <f>(' Pivot Table for Data Exchange'!$N$157)*100</f>
        <v>3.0246241011113533</v>
      </c>
      <c r="F355" s="197">
        <f>(' Pivot Table for Data Exchange'!$N$160)*100</f>
        <v>0.540026545692268</v>
      </c>
      <c r="G355" s="199">
        <f>(' Pivot Table for Data Exchange'!$N$163)*100</f>
        <v>0</v>
      </c>
      <c r="H355" s="197">
        <f>(' Pivot Table for Data Exchange'!$N$166)*100</f>
        <v>0</v>
      </c>
      <c r="I355" s="40"/>
      <c r="J355" s="112"/>
      <c r="K355" s="112"/>
      <c r="L355" s="112"/>
      <c r="M355" s="112"/>
      <c r="N355" s="112"/>
      <c r="O355" s="112"/>
      <c r="P355" s="112"/>
      <c r="Q355" s="39">
        <f t="shared" si="42"/>
        <v>100</v>
      </c>
      <c r="R355" s="39">
        <f t="shared" si="43"/>
        <v>0</v>
      </c>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row>
    <row r="356" spans="1:41" ht="15.75" customHeight="1">
      <c r="A356" s="40" t="s">
        <v>426</v>
      </c>
      <c r="B356" s="197">
        <f>(' Pivot Table for Data Exchange'!$N$187)*100</f>
        <v>60.70090225130438</v>
      </c>
      <c r="C356" s="197">
        <f>(' Pivot Table for Data Exchange'!$N$190)*100</f>
        <v>11.87916174223862</v>
      </c>
      <c r="D356" s="113">
        <f>SUM(E356:G356)</f>
        <v>27.419936006457007</v>
      </c>
      <c r="E356" s="197">
        <f>(' Pivot Table for Data Exchange'!$N$193)*100</f>
        <v>26.612089590960192</v>
      </c>
      <c r="F356" s="197">
        <f>(' Pivot Table for Data Exchange'!$N$196)*100</f>
        <v>0.708396990573924</v>
      </c>
      <c r="G356" s="199">
        <f>(' Pivot Table for Data Exchange'!$N$199)*100</f>
        <v>0.09944942492289066</v>
      </c>
      <c r="H356" s="197">
        <f>(' Pivot Table for Data Exchange'!$N$202)*100</f>
        <v>0</v>
      </c>
      <c r="I356" s="40"/>
      <c r="J356" s="112"/>
      <c r="K356" s="112"/>
      <c r="L356" s="112"/>
      <c r="M356" s="112"/>
      <c r="N356" s="112"/>
      <c r="O356" s="112"/>
      <c r="P356" s="112"/>
      <c r="Q356" s="39">
        <f t="shared" si="42"/>
        <v>100</v>
      </c>
      <c r="R356" s="39">
        <f t="shared" si="43"/>
        <v>0</v>
      </c>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row>
    <row r="357" spans="1:41" ht="15.75" customHeight="1">
      <c r="A357" s="40" t="s">
        <v>427</v>
      </c>
      <c r="B357" s="197">
        <f>(' Pivot Table for Data Exchange'!$N$223)*100</f>
        <v>100</v>
      </c>
      <c r="C357" s="197">
        <f>(' Pivot Table for Data Exchange'!$N$226)*100</f>
        <v>0</v>
      </c>
      <c r="D357" s="113">
        <f>SUM(E357:G357)</f>
        <v>0</v>
      </c>
      <c r="E357" s="197">
        <f>(' Pivot Table for Data Exchange'!$N$229)*100</f>
        <v>0</v>
      </c>
      <c r="F357" s="197">
        <f>(' Pivot Table for Data Exchange'!$N$232)*100</f>
        <v>0</v>
      </c>
      <c r="G357" s="199">
        <f>(' Pivot Table for Data Exchange'!$N$235)*100</f>
        <v>0</v>
      </c>
      <c r="H357" s="197">
        <f>(' Pivot Table for Data Exchange'!$N$238)*100</f>
        <v>0</v>
      </c>
      <c r="I357" s="40"/>
      <c r="J357" s="112"/>
      <c r="K357" s="112"/>
      <c r="L357" s="112"/>
      <c r="M357" s="112"/>
      <c r="N357" s="112"/>
      <c r="O357" s="112"/>
      <c r="P357" s="112"/>
      <c r="Q357" s="39">
        <f t="shared" si="42"/>
        <v>100</v>
      </c>
      <c r="R357" s="39">
        <f t="shared" si="43"/>
        <v>0</v>
      </c>
      <c r="S357" s="47"/>
      <c r="T357" s="59"/>
      <c r="U357" s="47"/>
      <c r="V357" s="47"/>
      <c r="W357" s="47"/>
      <c r="X357" s="47"/>
      <c r="Y357" s="47"/>
      <c r="Z357" s="47"/>
      <c r="AA357" s="47"/>
      <c r="AB357" s="47"/>
      <c r="AC357" s="47"/>
      <c r="AD357" s="47"/>
      <c r="AE357" s="47"/>
      <c r="AF357" s="47"/>
      <c r="AG357" s="47"/>
      <c r="AH357" s="47"/>
      <c r="AI357" s="47"/>
      <c r="AJ357" s="47"/>
      <c r="AK357" s="47"/>
      <c r="AL357" s="47"/>
      <c r="AM357" s="47"/>
      <c r="AN357" s="47"/>
      <c r="AO357" s="47"/>
    </row>
    <row r="358" spans="1:41" ht="15.75" customHeight="1">
      <c r="A358" s="40" t="s">
        <v>428</v>
      </c>
      <c r="B358" s="197">
        <f>(' Pivot Table for Data Exchange'!$N$259)*100</f>
        <v>82.98099748784254</v>
      </c>
      <c r="C358" s="197">
        <f>(' Pivot Table for Data Exchange'!$N$262)*100</f>
        <v>9.124720551291803</v>
      </c>
      <c r="D358" s="113">
        <f>SUM(E358:G358)</f>
        <v>7.748219594828182</v>
      </c>
      <c r="E358" s="197">
        <f>(' Pivot Table for Data Exchange'!$N$265)*100</f>
        <v>5.520984581345503</v>
      </c>
      <c r="F358" s="197">
        <f>(' Pivot Table for Data Exchange'!$N$268)*100</f>
        <v>1.513632487496831</v>
      </c>
      <c r="G358" s="199">
        <f>(' Pivot Table for Data Exchange'!$N$271)*100</f>
        <v>0.713602525985849</v>
      </c>
      <c r="H358" s="197">
        <f>(' Pivot Table for Data Exchange'!$N$274)*100</f>
        <v>0.14606236603747494</v>
      </c>
      <c r="I358" s="40"/>
      <c r="J358" s="112"/>
      <c r="K358" s="112"/>
      <c r="L358" s="112"/>
      <c r="M358" s="112"/>
      <c r="N358" s="112"/>
      <c r="O358" s="112"/>
      <c r="P358" s="112"/>
      <c r="Q358" s="39">
        <f t="shared" si="42"/>
        <v>100</v>
      </c>
      <c r="R358" s="39">
        <f t="shared" si="43"/>
        <v>0</v>
      </c>
      <c r="S358" s="47"/>
      <c r="U358" s="47"/>
      <c r="V358" s="47"/>
      <c r="W358" s="47"/>
      <c r="X358" s="47"/>
      <c r="Y358" s="47"/>
      <c r="Z358" s="47"/>
      <c r="AA358" s="47"/>
      <c r="AB358" s="47"/>
      <c r="AC358" s="47"/>
      <c r="AD358" s="47"/>
      <c r="AE358" s="47"/>
      <c r="AF358" s="47"/>
      <c r="AG358" s="47"/>
      <c r="AH358" s="47"/>
      <c r="AI358" s="47"/>
      <c r="AJ358" s="47"/>
      <c r="AK358" s="47"/>
      <c r="AL358" s="47"/>
      <c r="AM358" s="47"/>
      <c r="AN358" s="47"/>
      <c r="AO358" s="47"/>
    </row>
    <row r="359" spans="1:41" ht="12.75" customHeight="1">
      <c r="A359" s="40"/>
      <c r="B359" s="102"/>
      <c r="C359" s="103"/>
      <c r="D359" s="113"/>
      <c r="E359" s="102"/>
      <c r="F359" s="102"/>
      <c r="G359" s="103"/>
      <c r="H359" s="102"/>
      <c r="I359" s="40"/>
      <c r="J359" s="112"/>
      <c r="K359" s="112"/>
      <c r="L359" s="112"/>
      <c r="M359" s="112"/>
      <c r="N359" s="112"/>
      <c r="O359" s="112"/>
      <c r="P359" s="112"/>
      <c r="Q359" s="39">
        <f t="shared" si="42"/>
        <v>0</v>
      </c>
      <c r="R359" s="39">
        <f t="shared" si="43"/>
        <v>0</v>
      </c>
      <c r="S359" s="47"/>
      <c r="U359" s="47"/>
      <c r="V359" s="47"/>
      <c r="W359" s="47"/>
      <c r="X359" s="47"/>
      <c r="Y359" s="47"/>
      <c r="Z359" s="47"/>
      <c r="AA359" s="47"/>
      <c r="AB359" s="47"/>
      <c r="AC359" s="47"/>
      <c r="AD359" s="47"/>
      <c r="AE359" s="47"/>
      <c r="AF359" s="47"/>
      <c r="AG359" s="47"/>
      <c r="AH359" s="47"/>
      <c r="AI359" s="47"/>
      <c r="AJ359" s="47"/>
      <c r="AK359" s="47"/>
      <c r="AL359" s="47"/>
      <c r="AM359" s="47"/>
      <c r="AN359" s="47"/>
      <c r="AO359" s="47"/>
    </row>
    <row r="360" spans="1:41" ht="15.75" customHeight="1">
      <c r="A360" s="40" t="s">
        <v>478</v>
      </c>
      <c r="B360" s="197">
        <f>(' Pivot Table for Data Exchange'!$N$295)*100</f>
        <v>88.38004579587837</v>
      </c>
      <c r="C360" s="197">
        <f>(' Pivot Table for Data Exchange'!$N$298)*100</f>
        <v>0</v>
      </c>
      <c r="D360" s="113">
        <f>SUM(E360:G360)</f>
        <v>11.61995420412163</v>
      </c>
      <c r="E360" s="197">
        <f>(' Pivot Table for Data Exchange'!$N$301)*100</f>
        <v>11.61995420412163</v>
      </c>
      <c r="F360" s="197">
        <f>(' Pivot Table for Data Exchange'!$N$304)*100</f>
        <v>0</v>
      </c>
      <c r="G360" s="199">
        <f>(' Pivot Table for Data Exchange'!$N$307)*100</f>
        <v>0</v>
      </c>
      <c r="H360" s="197">
        <f>(' Pivot Table for Data Exchange'!$N$310)*100</f>
        <v>0</v>
      </c>
      <c r="I360" s="40"/>
      <c r="J360" s="112"/>
      <c r="K360" s="112"/>
      <c r="L360" s="112"/>
      <c r="M360" s="112"/>
      <c r="N360" s="112"/>
      <c r="O360" s="112"/>
      <c r="P360" s="112"/>
      <c r="Q360" s="39">
        <f t="shared" si="42"/>
        <v>100</v>
      </c>
      <c r="R360" s="39">
        <f t="shared" si="43"/>
        <v>0</v>
      </c>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row>
    <row r="361" spans="1:41" ht="15.75" customHeight="1">
      <c r="A361" s="40" t="s">
        <v>130</v>
      </c>
      <c r="B361" s="197">
        <f>(' Pivot Table for Data Exchange'!$N$331)*100</f>
        <v>70.35396895713357</v>
      </c>
      <c r="C361" s="197">
        <f>(' Pivot Table for Data Exchange'!$N$334)*100</f>
        <v>20.34991337696722</v>
      </c>
      <c r="D361" s="113">
        <f>SUM(E361:G361)</f>
        <v>9.296117665899228</v>
      </c>
      <c r="E361" s="197">
        <f>(' Pivot Table for Data Exchange'!$N$337)*100</f>
        <v>5.456055189166818</v>
      </c>
      <c r="F361" s="197">
        <f>(' Pivot Table for Data Exchange'!$N$340)*100</f>
        <v>0.6065172133380753</v>
      </c>
      <c r="G361" s="199">
        <f>(' Pivot Table for Data Exchange'!$N$343)*100</f>
        <v>3.233545263394334</v>
      </c>
      <c r="H361" s="197">
        <f>(' Pivot Table for Data Exchange'!$N$346)*100</f>
        <v>0</v>
      </c>
      <c r="I361" s="40"/>
      <c r="J361" s="112"/>
      <c r="K361" s="112"/>
      <c r="L361" s="112"/>
      <c r="M361" s="112"/>
      <c r="N361" s="112"/>
      <c r="O361" s="112"/>
      <c r="P361" s="112"/>
      <c r="Q361" s="39">
        <f aca="true" t="shared" si="44" ref="Q361:Q368">SUM(B361,C361,D361,H361)</f>
        <v>100.00000000000003</v>
      </c>
      <c r="R361" s="39">
        <f aca="true" t="shared" si="45" ref="R361:R368">SUM(J361,K361,L361,P361)</f>
        <v>0</v>
      </c>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row>
    <row r="362" spans="1:41" ht="15.75" customHeight="1">
      <c r="A362" s="40" t="s">
        <v>123</v>
      </c>
      <c r="B362" s="197">
        <f>(' Pivot Table for Data Exchange'!$N$367)*100</f>
        <v>79.39284304870975</v>
      </c>
      <c r="C362" s="197">
        <f>(' Pivot Table for Data Exchange'!$N$370)*100</f>
        <v>6.409791213651761</v>
      </c>
      <c r="D362" s="113">
        <f>SUM(E362:G362)</f>
        <v>14.196041455333283</v>
      </c>
      <c r="E362" s="197">
        <f>(' Pivot Table for Data Exchange'!$N$373)*100</f>
        <v>9.219388552374042</v>
      </c>
      <c r="F362" s="197">
        <f>(' Pivot Table for Data Exchange'!$N$376)*100</f>
        <v>4.1150748351930675</v>
      </c>
      <c r="G362" s="199">
        <f>(' Pivot Table for Data Exchange'!$N$379)*100</f>
        <v>0.8615780677661741</v>
      </c>
      <c r="H362" s="205">
        <f>(' Pivot Table for Data Exchange'!$N$382)*100</f>
        <v>0.0013242823052046944</v>
      </c>
      <c r="I362" s="40"/>
      <c r="J362" s="112"/>
      <c r="K362" s="112"/>
      <c r="L362" s="112"/>
      <c r="M362" s="112"/>
      <c r="N362" s="112"/>
      <c r="O362" s="112"/>
      <c r="P362" s="112"/>
      <c r="Q362" s="39">
        <f t="shared" si="44"/>
        <v>100</v>
      </c>
      <c r="R362" s="39">
        <f t="shared" si="45"/>
        <v>0</v>
      </c>
      <c r="S362" s="47"/>
      <c r="T362" s="59"/>
      <c r="U362" s="47"/>
      <c r="V362" s="47"/>
      <c r="W362" s="47"/>
      <c r="X362" s="47"/>
      <c r="Y362" s="47"/>
      <c r="Z362" s="47"/>
      <c r="AA362" s="47"/>
      <c r="AB362" s="47"/>
      <c r="AC362" s="47"/>
      <c r="AD362" s="47"/>
      <c r="AE362" s="47"/>
      <c r="AF362" s="47"/>
      <c r="AG362" s="47"/>
      <c r="AH362" s="47"/>
      <c r="AI362" s="47"/>
      <c r="AJ362" s="47"/>
      <c r="AK362" s="47"/>
      <c r="AL362" s="47"/>
      <c r="AM362" s="47"/>
      <c r="AN362" s="47"/>
      <c r="AO362" s="47"/>
    </row>
    <row r="363" spans="1:41" ht="15.75" customHeight="1">
      <c r="A363" s="40" t="s">
        <v>429</v>
      </c>
      <c r="B363" s="197"/>
      <c r="C363" s="197"/>
      <c r="D363" s="113"/>
      <c r="E363" s="197"/>
      <c r="F363" s="197"/>
      <c r="G363" s="199"/>
      <c r="H363" s="205"/>
      <c r="I363" s="40"/>
      <c r="J363" s="112"/>
      <c r="K363" s="112"/>
      <c r="L363" s="112"/>
      <c r="M363" s="112"/>
      <c r="N363" s="112"/>
      <c r="O363" s="112"/>
      <c r="P363" s="112"/>
      <c r="Q363" s="39">
        <f t="shared" si="44"/>
        <v>0</v>
      </c>
      <c r="R363" s="39">
        <f t="shared" si="45"/>
        <v>0</v>
      </c>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row>
    <row r="364" spans="1:41" ht="12" customHeight="1">
      <c r="A364" s="40"/>
      <c r="B364" s="197"/>
      <c r="C364" s="197"/>
      <c r="D364" s="113"/>
      <c r="E364" s="197"/>
      <c r="F364" s="197"/>
      <c r="G364" s="199"/>
      <c r="H364" s="205"/>
      <c r="I364" s="40"/>
      <c r="J364" s="112"/>
      <c r="K364" s="112"/>
      <c r="L364" s="112"/>
      <c r="M364" s="112"/>
      <c r="N364" s="112"/>
      <c r="O364" s="112"/>
      <c r="P364" s="112"/>
      <c r="Q364" s="39"/>
      <c r="R364" s="39"/>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row>
    <row r="365" spans="1:41" ht="15.75" customHeight="1">
      <c r="A365" s="40" t="s">
        <v>430</v>
      </c>
      <c r="B365" s="197"/>
      <c r="C365" s="197"/>
      <c r="D365" s="113"/>
      <c r="E365" s="197"/>
      <c r="F365" s="197"/>
      <c r="G365" s="199"/>
      <c r="H365" s="205"/>
      <c r="I365" s="40"/>
      <c r="J365" s="112"/>
      <c r="K365" s="112"/>
      <c r="L365" s="112"/>
      <c r="M365" s="112"/>
      <c r="N365" s="112"/>
      <c r="O365" s="112"/>
      <c r="P365" s="112"/>
      <c r="Q365" s="39">
        <f t="shared" si="44"/>
        <v>0</v>
      </c>
      <c r="R365" s="39">
        <f t="shared" si="45"/>
        <v>0</v>
      </c>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row>
    <row r="366" spans="1:41" ht="15.75" customHeight="1">
      <c r="A366" s="40" t="s">
        <v>229</v>
      </c>
      <c r="B366" s="197">
        <f>(' Pivot Table for Data Exchange'!$N$403)*100</f>
        <v>58.78012510708456</v>
      </c>
      <c r="C366" s="197">
        <f>(' Pivot Table for Data Exchange'!$N$406)*100</f>
        <v>29.980239869397256</v>
      </c>
      <c r="D366" s="113">
        <f>SUM(E366:G366)</f>
        <v>11.239635023518192</v>
      </c>
      <c r="E366" s="197">
        <f>(' Pivot Table for Data Exchange'!$N$409)*100</f>
        <v>7.498141173808332</v>
      </c>
      <c r="F366" s="197">
        <f>(' Pivot Table for Data Exchange'!$N$412)*100</f>
        <v>2.698530719123281</v>
      </c>
      <c r="G366" s="199">
        <f>(' Pivot Table for Data Exchange'!$N$415)*100</f>
        <v>1.0429631305865807</v>
      </c>
      <c r="H366" s="205">
        <f>(' Pivot Table for Data Exchange'!$N$418)*100</f>
        <v>0</v>
      </c>
      <c r="I366" s="40"/>
      <c r="J366" s="112"/>
      <c r="K366" s="112"/>
      <c r="L366" s="112"/>
      <c r="M366" s="112"/>
      <c r="N366" s="112"/>
      <c r="O366" s="112"/>
      <c r="P366" s="112"/>
      <c r="Q366" s="39">
        <f t="shared" si="44"/>
        <v>100</v>
      </c>
      <c r="R366" s="39">
        <f t="shared" si="45"/>
        <v>0</v>
      </c>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row>
    <row r="367" spans="1:41" ht="15.75" customHeight="1">
      <c r="A367" s="40" t="s">
        <v>431</v>
      </c>
      <c r="B367" s="197">
        <f>(' Pivot Table for Data Exchange'!$N$511)*100</f>
        <v>0</v>
      </c>
      <c r="C367" s="197">
        <f>(' Pivot Table for Data Exchange'!$N$514)*100</f>
        <v>0</v>
      </c>
      <c r="D367" s="113">
        <f>SUM(E367:G367)</f>
        <v>0</v>
      </c>
      <c r="E367" s="197">
        <f>(' Pivot Table for Data Exchange'!$N$517)*100</f>
        <v>0</v>
      </c>
      <c r="F367" s="197">
        <f>(' Pivot Table for Data Exchange'!$N$520)*100</f>
        <v>0</v>
      </c>
      <c r="G367" s="199">
        <f>(' Pivot Table for Data Exchange'!$N$523)*100</f>
        <v>0</v>
      </c>
      <c r="H367" s="205">
        <f>(' Pivot Table for Data Exchange'!$N$526)*100</f>
        <v>0</v>
      </c>
      <c r="I367" s="40"/>
      <c r="J367" s="112"/>
      <c r="K367" s="112"/>
      <c r="L367" s="112"/>
      <c r="M367" s="112"/>
      <c r="N367" s="112"/>
      <c r="O367" s="112"/>
      <c r="P367" s="112"/>
      <c r="Q367" s="39">
        <f t="shared" si="44"/>
        <v>0</v>
      </c>
      <c r="R367" s="39">
        <f t="shared" si="45"/>
        <v>0</v>
      </c>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row>
    <row r="368" spans="1:41" ht="15.75" customHeight="1">
      <c r="A368" s="34" t="s">
        <v>476</v>
      </c>
      <c r="B368" s="201">
        <f>(' Pivot Table for Data Exchange'!$N$439)*100</f>
        <v>73.02284824517399</v>
      </c>
      <c r="C368" s="201">
        <f>(' Pivot Table for Data Exchange'!$N$442)*100</f>
        <v>18.832048784619293</v>
      </c>
      <c r="D368" s="114">
        <f>SUM(E368:G368)</f>
        <v>8.072134522545296</v>
      </c>
      <c r="E368" s="201">
        <f>(' Pivot Table for Data Exchange'!$N$445)*100</f>
        <v>4.9791192968968865</v>
      </c>
      <c r="F368" s="201">
        <f>(' Pivot Table for Data Exchange'!$N$448)*100</f>
        <v>2.905707826517516</v>
      </c>
      <c r="G368" s="202">
        <f>(' Pivot Table for Data Exchange'!$N$451)*100</f>
        <v>0.18730739913089367</v>
      </c>
      <c r="H368" s="201">
        <f>(' Pivot Table for Data Exchange'!$N$454)*100</f>
        <v>0.07296844766142639</v>
      </c>
      <c r="I368" s="40"/>
      <c r="J368" s="112"/>
      <c r="K368" s="112"/>
      <c r="L368" s="112"/>
      <c r="M368" s="112"/>
      <c r="N368" s="112"/>
      <c r="O368" s="112"/>
      <c r="P368" s="112"/>
      <c r="Q368" s="39">
        <f t="shared" si="44"/>
        <v>100</v>
      </c>
      <c r="R368" s="39">
        <f t="shared" si="45"/>
        <v>0</v>
      </c>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row>
    <row r="369" spans="1:41" s="64" customFormat="1" ht="18" customHeight="1">
      <c r="A369" s="115" t="s">
        <v>477</v>
      </c>
      <c r="B369" s="68"/>
      <c r="C369" s="68"/>
      <c r="D369" s="69"/>
      <c r="E369" s="68"/>
      <c r="F369" s="69"/>
      <c r="G369" s="69"/>
      <c r="H369" s="68"/>
      <c r="I369" s="115"/>
      <c r="J369" s="68"/>
      <c r="K369" s="68"/>
      <c r="L369" s="69"/>
      <c r="M369" s="68"/>
      <c r="N369" s="69"/>
      <c r="O369" s="69"/>
      <c r="P369" s="68"/>
      <c r="Q369" s="68"/>
      <c r="R369" s="68"/>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row>
    <row r="370" spans="1:18" s="64" customFormat="1" ht="28.5" customHeight="1">
      <c r="A370" s="687" t="s">
        <v>749</v>
      </c>
      <c r="B370" s="688"/>
      <c r="C370" s="688"/>
      <c r="D370" s="688"/>
      <c r="E370" s="688"/>
      <c r="F370" s="688"/>
      <c r="G370" s="688"/>
      <c r="H370" s="688"/>
      <c r="I370" s="115"/>
      <c r="P370" s="65"/>
      <c r="Q370" s="66"/>
      <c r="R370" s="67"/>
    </row>
    <row r="371" spans="1:18" s="64" customFormat="1" ht="13.5" customHeight="1">
      <c r="A371" s="116"/>
      <c r="H371" s="62"/>
      <c r="I371" s="116"/>
      <c r="Q371" s="66"/>
      <c r="R371" s="67"/>
    </row>
    <row r="372" spans="1:41" s="64" customFormat="1" ht="11.25">
      <c r="A372" s="62"/>
      <c r="B372" s="68"/>
      <c r="C372" s="68"/>
      <c r="D372" s="69"/>
      <c r="E372" s="68"/>
      <c r="F372" s="69"/>
      <c r="G372" s="69"/>
      <c r="H372" s="559" t="s">
        <v>766</v>
      </c>
      <c r="I372" s="71"/>
      <c r="J372" s="62"/>
      <c r="K372" s="62"/>
      <c r="L372" s="62"/>
      <c r="M372" s="62"/>
      <c r="N372" s="62"/>
      <c r="O372" s="62"/>
      <c r="P372" s="62"/>
      <c r="Q372" s="68"/>
      <c r="R372" s="68"/>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row>
    <row r="373" spans="1:16" ht="18">
      <c r="A373" s="31" t="s">
        <v>453</v>
      </c>
      <c r="B373" s="32"/>
      <c r="C373" s="32"/>
      <c r="D373" s="32"/>
      <c r="E373" s="32"/>
      <c r="F373" s="32"/>
      <c r="G373" s="32"/>
      <c r="H373" s="46"/>
      <c r="I373" s="45"/>
      <c r="J373" s="40"/>
      <c r="K373" s="40"/>
      <c r="L373" s="40"/>
      <c r="M373" s="40"/>
      <c r="N373" s="40"/>
      <c r="O373" s="40"/>
      <c r="P373" s="40"/>
    </row>
    <row r="374" spans="1:16" ht="12.75">
      <c r="A374" s="78"/>
      <c r="B374" s="33"/>
      <c r="C374" s="33"/>
      <c r="D374" s="33"/>
      <c r="E374" s="33"/>
      <c r="F374" s="33"/>
      <c r="G374" s="33"/>
      <c r="H374" s="43"/>
      <c r="I374" s="45"/>
      <c r="J374" s="40"/>
      <c r="K374" s="40"/>
      <c r="L374" s="40"/>
      <c r="M374" s="40"/>
      <c r="N374" s="40"/>
      <c r="O374" s="40"/>
      <c r="P374" s="40"/>
    </row>
    <row r="375" spans="1:16" ht="15.75">
      <c r="A375" s="42" t="s">
        <v>465</v>
      </c>
      <c r="B375" s="33"/>
      <c r="C375" s="33"/>
      <c r="D375" s="33"/>
      <c r="E375" s="33"/>
      <c r="F375" s="33"/>
      <c r="G375" s="33"/>
      <c r="H375" s="43"/>
      <c r="I375" s="45"/>
      <c r="J375" s="40"/>
      <c r="K375" s="40"/>
      <c r="L375" s="40"/>
      <c r="M375" s="40"/>
      <c r="N375" s="40"/>
      <c r="O375" s="40"/>
      <c r="P375" s="40"/>
    </row>
    <row r="376" spans="1:16" ht="15.75">
      <c r="A376" s="42" t="s">
        <v>742</v>
      </c>
      <c r="B376" s="33"/>
      <c r="C376" s="33"/>
      <c r="D376" s="33"/>
      <c r="E376" s="33"/>
      <c r="F376" s="33"/>
      <c r="G376" s="33"/>
      <c r="H376" s="43"/>
      <c r="I376" s="45"/>
      <c r="J376" s="40"/>
      <c r="K376" s="40"/>
      <c r="L376" s="40"/>
      <c r="M376" s="40"/>
      <c r="N376" s="40"/>
      <c r="O376" s="40"/>
      <c r="P376" s="40"/>
    </row>
    <row r="377" spans="1:16" ht="12.75">
      <c r="A377" s="34"/>
      <c r="B377" s="35"/>
      <c r="C377" s="35"/>
      <c r="D377" s="35"/>
      <c r="E377" s="35"/>
      <c r="F377" s="35"/>
      <c r="G377" s="35"/>
      <c r="H377" s="35"/>
      <c r="I377" s="45"/>
      <c r="J377" s="40"/>
      <c r="K377" s="40"/>
      <c r="L377" s="40"/>
      <c r="M377" s="40"/>
      <c r="N377" s="40"/>
      <c r="O377" s="40"/>
      <c r="P377" s="40"/>
    </row>
    <row r="378" spans="1:16" ht="12.75">
      <c r="A378" s="85"/>
      <c r="B378" s="86" t="s">
        <v>231</v>
      </c>
      <c r="C378" s="86"/>
      <c r="D378" s="86"/>
      <c r="E378" s="86"/>
      <c r="F378" s="86"/>
      <c r="G378" s="86"/>
      <c r="H378" s="87"/>
      <c r="I378" s="45"/>
      <c r="J378" s="40"/>
      <c r="K378" s="40"/>
      <c r="L378" s="40"/>
      <c r="M378" s="40"/>
      <c r="N378" s="40"/>
      <c r="O378" s="40"/>
      <c r="P378" s="40"/>
    </row>
    <row r="379" spans="1:16" ht="12.75">
      <c r="A379" s="85"/>
      <c r="B379" s="86" t="s">
        <v>127</v>
      </c>
      <c r="C379" s="86"/>
      <c r="D379" s="690" t="s">
        <v>472</v>
      </c>
      <c r="E379" s="691"/>
      <c r="F379" s="691"/>
      <c r="G379" s="691"/>
      <c r="H379" s="91" t="s">
        <v>14</v>
      </c>
      <c r="I379" s="45"/>
      <c r="J379" s="40"/>
      <c r="K379" s="40"/>
      <c r="L379" s="40"/>
      <c r="M379" s="40"/>
      <c r="N379" s="40"/>
      <c r="O379" s="40"/>
      <c r="P379" s="40"/>
    </row>
    <row r="380" spans="1:16" ht="36">
      <c r="A380" s="85"/>
      <c r="B380" s="92" t="s">
        <v>464</v>
      </c>
      <c r="C380" s="93" t="s">
        <v>463</v>
      </c>
      <c r="D380" s="94" t="s">
        <v>470</v>
      </c>
      <c r="E380" s="95" t="s">
        <v>12</v>
      </c>
      <c r="F380" s="92" t="s">
        <v>128</v>
      </c>
      <c r="G380" s="96" t="s">
        <v>474</v>
      </c>
      <c r="H380" s="97" t="s">
        <v>473</v>
      </c>
      <c r="I380" s="45"/>
      <c r="J380" s="40"/>
      <c r="K380" s="40"/>
      <c r="L380" s="40"/>
      <c r="M380" s="40"/>
      <c r="N380" s="40"/>
      <c r="O380" s="40"/>
      <c r="P380" s="40"/>
    </row>
    <row r="381" spans="1:41" ht="15.75" customHeight="1">
      <c r="A381" s="41" t="s">
        <v>421</v>
      </c>
      <c r="B381" s="197">
        <f>(' Pivot Table for Data Exchange'!$S$7)*100</f>
        <v>0</v>
      </c>
      <c r="C381" s="197">
        <f>(' Pivot Table for Data Exchange'!$S$10)*100</f>
        <v>0</v>
      </c>
      <c r="D381" s="113">
        <f>SUM(E381:G381)</f>
        <v>0</v>
      </c>
      <c r="E381" s="197">
        <f>(' Pivot Table for Data Exchange'!$S$13)*100</f>
        <v>0</v>
      </c>
      <c r="F381" s="197">
        <f>(' Pivot Table for Data Exchange'!$S$16)*100</f>
        <v>0</v>
      </c>
      <c r="G381" s="198">
        <f>(' Pivot Table for Data Exchange'!$S$19)*100</f>
        <v>0</v>
      </c>
      <c r="H381" s="197">
        <f>(' Pivot Table for Data Exchange'!$S$22)*100</f>
        <v>0</v>
      </c>
      <c r="I381" s="40"/>
      <c r="J381" s="112"/>
      <c r="K381" s="112"/>
      <c r="L381" s="112"/>
      <c r="M381" s="112"/>
      <c r="N381" s="112"/>
      <c r="O381" s="112"/>
      <c r="P381" s="112"/>
      <c r="Q381" s="39">
        <f aca="true" t="shared" si="46" ref="Q381:Q388">SUM(B381,C381,D381,H381)</f>
        <v>0</v>
      </c>
      <c r="R381" s="39">
        <f aca="true" t="shared" si="47" ref="R381:R388">SUM(J381,K381,L381,P381)</f>
        <v>0</v>
      </c>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row>
    <row r="382" spans="1:41" ht="15.75" customHeight="1">
      <c r="A382" s="40" t="s">
        <v>422</v>
      </c>
      <c r="B382" s="197">
        <f>(' Pivot Table for Data Exchange'!$S$43)*100</f>
        <v>0</v>
      </c>
      <c r="C382" s="197">
        <f>(' Pivot Table for Data Exchange'!$S$46)*100</f>
        <v>0</v>
      </c>
      <c r="D382" s="113">
        <f>SUM(E382:G382)</f>
        <v>0</v>
      </c>
      <c r="E382" s="197">
        <f>(' Pivot Table for Data Exchange'!$S$49)*100</f>
        <v>0</v>
      </c>
      <c r="F382" s="197">
        <f>(' Pivot Table for Data Exchange'!$S$52)*100</f>
        <v>0</v>
      </c>
      <c r="G382" s="199">
        <f>(' Pivot Table for Data Exchange'!$S$55)*100</f>
        <v>0</v>
      </c>
      <c r="H382" s="197">
        <f>(' Pivot Table for Data Exchange'!$S$58)*100</f>
        <v>0</v>
      </c>
      <c r="I382" s="40"/>
      <c r="J382" s="112"/>
      <c r="K382" s="112"/>
      <c r="L382" s="112"/>
      <c r="M382" s="112"/>
      <c r="N382" s="112"/>
      <c r="O382" s="112"/>
      <c r="P382" s="112"/>
      <c r="Q382" s="39">
        <f t="shared" si="46"/>
        <v>0</v>
      </c>
      <c r="R382" s="39">
        <f t="shared" si="47"/>
        <v>0</v>
      </c>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row>
    <row r="383" spans="1:41" ht="15.75" customHeight="1">
      <c r="A383" s="40" t="s">
        <v>423</v>
      </c>
      <c r="B383" s="197">
        <f>(' Pivot Table for Data Exchange'!$S$79)*100</f>
        <v>0</v>
      </c>
      <c r="C383" s="197">
        <f>(' Pivot Table for Data Exchange'!$S$82)*100</f>
        <v>0</v>
      </c>
      <c r="D383" s="113">
        <f>SUM(E383:G383)</f>
        <v>0</v>
      </c>
      <c r="E383" s="197">
        <f>(' Pivot Table for Data Exchange'!$S$85)*100</f>
        <v>0</v>
      </c>
      <c r="F383" s="197">
        <f>(' Pivot Table for Data Exchange'!$S$88)*100</f>
        <v>0</v>
      </c>
      <c r="G383" s="199">
        <f>(' Pivot Table for Data Exchange'!$S$91)*100</f>
        <v>0</v>
      </c>
      <c r="H383" s="197">
        <f>(' Pivot Table for Data Exchange'!$S$94)*100</f>
        <v>0</v>
      </c>
      <c r="I383" s="40"/>
      <c r="J383" s="112"/>
      <c r="K383" s="112"/>
      <c r="L383" s="112"/>
      <c r="M383" s="112"/>
      <c r="N383" s="112"/>
      <c r="O383" s="112"/>
      <c r="P383" s="112"/>
      <c r="Q383" s="39">
        <f t="shared" si="46"/>
        <v>0</v>
      </c>
      <c r="R383" s="39">
        <f t="shared" si="47"/>
        <v>0</v>
      </c>
      <c r="S383" s="47"/>
      <c r="T383" s="59"/>
      <c r="U383" s="47"/>
      <c r="V383" s="47"/>
      <c r="W383" s="47"/>
      <c r="X383" s="47"/>
      <c r="Y383" s="47"/>
      <c r="Z383" s="47"/>
      <c r="AA383" s="47"/>
      <c r="AB383" s="47"/>
      <c r="AC383" s="47"/>
      <c r="AD383" s="47"/>
      <c r="AE383" s="47"/>
      <c r="AF383" s="47"/>
      <c r="AG383" s="47"/>
      <c r="AH383" s="47"/>
      <c r="AI383" s="47"/>
      <c r="AJ383" s="47"/>
      <c r="AK383" s="47"/>
      <c r="AL383" s="47"/>
      <c r="AM383" s="47"/>
      <c r="AN383" s="47"/>
      <c r="AO383" s="47"/>
    </row>
    <row r="384" spans="1:41" ht="15.75" customHeight="1">
      <c r="A384" s="40" t="s">
        <v>424</v>
      </c>
      <c r="B384" s="197">
        <f>(' Pivot Table for Data Exchange'!$S$115)*100</f>
        <v>0</v>
      </c>
      <c r="C384" s="197">
        <f>(' Pivot Table for Data Exchange'!$S$118)*100</f>
        <v>0</v>
      </c>
      <c r="D384" s="113">
        <f>SUM(E384:G384)</f>
        <v>0</v>
      </c>
      <c r="E384" s="197">
        <f>(' Pivot Table for Data Exchange'!$S$121)*100</f>
        <v>0</v>
      </c>
      <c r="F384" s="197">
        <f>(' Pivot Table for Data Exchange'!$S$124)*100</f>
        <v>0</v>
      </c>
      <c r="G384" s="199">
        <f>(' Pivot Table for Data Exchange'!$S$127)*100</f>
        <v>0</v>
      </c>
      <c r="H384" s="197">
        <f>(' Pivot Table for Data Exchange'!$S$130)*100</f>
        <v>0</v>
      </c>
      <c r="I384" s="40"/>
      <c r="J384" s="112"/>
      <c r="K384" s="112"/>
      <c r="L384" s="112"/>
      <c r="M384" s="112"/>
      <c r="N384" s="112"/>
      <c r="O384" s="112"/>
      <c r="P384" s="112"/>
      <c r="Q384" s="39">
        <f t="shared" si="46"/>
        <v>0</v>
      </c>
      <c r="R384" s="39">
        <f t="shared" si="47"/>
        <v>0</v>
      </c>
      <c r="S384" s="47"/>
      <c r="U384" s="47"/>
      <c r="V384" s="47"/>
      <c r="W384" s="47"/>
      <c r="X384" s="47"/>
      <c r="Y384" s="47"/>
      <c r="Z384" s="47"/>
      <c r="AA384" s="47"/>
      <c r="AB384" s="47"/>
      <c r="AC384" s="47"/>
      <c r="AD384" s="47"/>
      <c r="AE384" s="47"/>
      <c r="AF384" s="47"/>
      <c r="AG384" s="47"/>
      <c r="AH384" s="47"/>
      <c r="AI384" s="47"/>
      <c r="AJ384" s="47"/>
      <c r="AK384" s="47"/>
      <c r="AL384" s="47"/>
      <c r="AM384" s="47"/>
      <c r="AN384" s="47"/>
      <c r="AO384" s="47"/>
    </row>
    <row r="385" spans="1:41" ht="15.75" customHeight="1">
      <c r="A385" s="40"/>
      <c r="B385" s="102"/>
      <c r="C385" s="103"/>
      <c r="D385" s="113"/>
      <c r="E385" s="102"/>
      <c r="F385" s="102"/>
      <c r="G385" s="103"/>
      <c r="H385" s="102"/>
      <c r="I385" s="40"/>
      <c r="J385" s="112"/>
      <c r="K385" s="112"/>
      <c r="L385" s="112"/>
      <c r="M385" s="112"/>
      <c r="N385" s="112"/>
      <c r="O385" s="112"/>
      <c r="P385" s="112"/>
      <c r="Q385" s="39">
        <f t="shared" si="46"/>
        <v>0</v>
      </c>
      <c r="R385" s="39">
        <f t="shared" si="47"/>
        <v>0</v>
      </c>
      <c r="S385" s="47"/>
      <c r="U385" s="47"/>
      <c r="V385" s="47"/>
      <c r="W385" s="47"/>
      <c r="X385" s="47"/>
      <c r="Y385" s="47"/>
      <c r="Z385" s="47"/>
      <c r="AA385" s="47"/>
      <c r="AB385" s="47"/>
      <c r="AC385" s="47"/>
      <c r="AD385" s="47"/>
      <c r="AE385" s="47"/>
      <c r="AF385" s="47"/>
      <c r="AG385" s="47"/>
      <c r="AH385" s="47"/>
      <c r="AI385" s="47"/>
      <c r="AJ385" s="47"/>
      <c r="AK385" s="47"/>
      <c r="AL385" s="47"/>
      <c r="AM385" s="47"/>
      <c r="AN385" s="47"/>
      <c r="AO385" s="47"/>
    </row>
    <row r="386" spans="1:41" ht="15.75" customHeight="1">
      <c r="A386" s="40" t="s">
        <v>425</v>
      </c>
      <c r="B386" s="197">
        <f>(' Pivot Table for Data Exchange'!$S$151)*100</f>
        <v>85.32627292622767</v>
      </c>
      <c r="C386" s="197">
        <f>(' Pivot Table for Data Exchange'!$S$154)*100</f>
        <v>0</v>
      </c>
      <c r="D386" s="113">
        <f>SUM(E386:G386)</f>
        <v>14.673727073772321</v>
      </c>
      <c r="E386" s="197">
        <f>(' Pivot Table for Data Exchange'!$S$157)*100</f>
        <v>14.579151800374001</v>
      </c>
      <c r="F386" s="200">
        <f>(' Pivot Table for Data Exchange'!$S$160)*100</f>
        <v>0.09429286548173535</v>
      </c>
      <c r="G386" s="449">
        <f>(' Pivot Table for Data Exchange'!$S$163)*100</f>
        <v>0.0002824079165842323</v>
      </c>
      <c r="H386" s="197">
        <f>(' Pivot Table for Data Exchange'!$S$166)*100</f>
        <v>0</v>
      </c>
      <c r="I386" s="40"/>
      <c r="J386" s="112"/>
      <c r="K386" s="112"/>
      <c r="L386" s="112"/>
      <c r="M386" s="112"/>
      <c r="N386" s="112"/>
      <c r="O386" s="112"/>
      <c r="P386" s="112"/>
      <c r="Q386" s="39">
        <f t="shared" si="46"/>
        <v>100</v>
      </c>
      <c r="R386" s="39">
        <f t="shared" si="47"/>
        <v>0</v>
      </c>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row>
    <row r="387" spans="1:41" ht="15.75" customHeight="1">
      <c r="A387" s="40" t="s">
        <v>426</v>
      </c>
      <c r="B387" s="197">
        <f>(' Pivot Table for Data Exchange'!$S$187)*100</f>
        <v>93.94227379328316</v>
      </c>
      <c r="C387" s="197">
        <f>(' Pivot Table for Data Exchange'!$S$190)*100</f>
        <v>0.24065359677493525</v>
      </c>
      <c r="D387" s="113">
        <f>SUM(E387:G387)</f>
        <v>5.8170726099419054</v>
      </c>
      <c r="E387" s="197">
        <f>(' Pivot Table for Data Exchange'!$S$193)*100</f>
        <v>5.7864161007986015</v>
      </c>
      <c r="F387" s="200">
        <f>(' Pivot Table for Data Exchange'!$S$196)*100</f>
        <v>0.03065650914330385</v>
      </c>
      <c r="G387" s="199">
        <f>(' Pivot Table for Data Exchange'!$S$199)*100</f>
        <v>0</v>
      </c>
      <c r="H387" s="197">
        <f>(' Pivot Table for Data Exchange'!$S$202)*100</f>
        <v>0</v>
      </c>
      <c r="I387" s="40"/>
      <c r="J387" s="112"/>
      <c r="K387" s="112"/>
      <c r="L387" s="112"/>
      <c r="M387" s="112"/>
      <c r="N387" s="112"/>
      <c r="O387" s="112"/>
      <c r="P387" s="112"/>
      <c r="Q387" s="39">
        <f t="shared" si="46"/>
        <v>100</v>
      </c>
      <c r="R387" s="39">
        <f t="shared" si="47"/>
        <v>0</v>
      </c>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row>
    <row r="388" spans="1:41" ht="15.75" customHeight="1">
      <c r="A388" s="40" t="s">
        <v>427</v>
      </c>
      <c r="B388" s="197">
        <f>(' Pivot Table for Data Exchange'!$S$223)*100</f>
        <v>100</v>
      </c>
      <c r="C388" s="197">
        <f>(' Pivot Table for Data Exchange'!$S$226)*100</f>
        <v>0</v>
      </c>
      <c r="D388" s="113">
        <f>SUM(E388:G388)</f>
        <v>0</v>
      </c>
      <c r="E388" s="197">
        <f>(' Pivot Table for Data Exchange'!$S$229)*100</f>
        <v>0</v>
      </c>
      <c r="F388" s="197">
        <f>(' Pivot Table for Data Exchange'!$S$232)*100</f>
        <v>0</v>
      </c>
      <c r="G388" s="199">
        <f>(' Pivot Table for Data Exchange'!$S$235)*100</f>
        <v>0</v>
      </c>
      <c r="H388" s="197">
        <f>(' Pivot Table for Data Exchange'!$S$238)*100</f>
        <v>0</v>
      </c>
      <c r="I388" s="40"/>
      <c r="J388" s="112"/>
      <c r="K388" s="112"/>
      <c r="L388" s="112"/>
      <c r="M388" s="112"/>
      <c r="N388" s="112"/>
      <c r="O388" s="112"/>
      <c r="P388" s="112"/>
      <c r="Q388" s="39">
        <f t="shared" si="46"/>
        <v>100</v>
      </c>
      <c r="R388" s="39">
        <f t="shared" si="47"/>
        <v>0</v>
      </c>
      <c r="S388" s="47"/>
      <c r="T388" s="59"/>
      <c r="U388" s="47"/>
      <c r="V388" s="47"/>
      <c r="W388" s="47"/>
      <c r="X388" s="47"/>
      <c r="Y388" s="47"/>
      <c r="Z388" s="47"/>
      <c r="AA388" s="47"/>
      <c r="AB388" s="47"/>
      <c r="AC388" s="47"/>
      <c r="AD388" s="47"/>
      <c r="AE388" s="47"/>
      <c r="AF388" s="47"/>
      <c r="AG388" s="47"/>
      <c r="AH388" s="47"/>
      <c r="AI388" s="47"/>
      <c r="AJ388" s="47"/>
      <c r="AK388" s="47"/>
      <c r="AL388" s="47"/>
      <c r="AM388" s="47"/>
      <c r="AN388" s="47"/>
      <c r="AO388" s="47"/>
    </row>
    <row r="389" spans="1:41" ht="15.75" customHeight="1">
      <c r="A389" s="40" t="s">
        <v>428</v>
      </c>
      <c r="B389" s="197">
        <f>(' Pivot Table for Data Exchange'!$S$259)*100</f>
        <v>0</v>
      </c>
      <c r="C389" s="197">
        <f>(' Pivot Table for Data Exchange'!$S$262)*100</f>
        <v>0</v>
      </c>
      <c r="D389" s="113">
        <f>SUM(E389:G389)</f>
        <v>0</v>
      </c>
      <c r="E389" s="197">
        <f>(' Pivot Table for Data Exchange'!$S$265)*100</f>
        <v>0</v>
      </c>
      <c r="F389" s="197">
        <f>(' Pivot Table for Data Exchange'!$S$268)*100</f>
        <v>0</v>
      </c>
      <c r="G389" s="199">
        <f>(' Pivot Table for Data Exchange'!$S$271)*100</f>
        <v>0</v>
      </c>
      <c r="H389" s="197">
        <f>(' Pivot Table for Data Exchange'!$S$274)*100</f>
        <v>0</v>
      </c>
      <c r="I389" s="40"/>
      <c r="J389" s="112"/>
      <c r="K389" s="112"/>
      <c r="L389" s="112"/>
      <c r="M389" s="112"/>
      <c r="N389" s="112"/>
      <c r="O389" s="112"/>
      <c r="P389" s="112"/>
      <c r="Q389" s="39">
        <f aca="true" t="shared" si="48" ref="Q389:Q399">SUM(B389,C389,D389,H389)</f>
        <v>0</v>
      </c>
      <c r="R389" s="39">
        <f aca="true" t="shared" si="49" ref="R389:R399">SUM(J389,K389,L389,P389)</f>
        <v>0</v>
      </c>
      <c r="S389" s="47"/>
      <c r="U389" s="47"/>
      <c r="V389" s="47"/>
      <c r="W389" s="47"/>
      <c r="X389" s="47"/>
      <c r="Y389" s="47"/>
      <c r="Z389" s="47"/>
      <c r="AA389" s="47"/>
      <c r="AB389" s="47"/>
      <c r="AC389" s="47"/>
      <c r="AD389" s="47"/>
      <c r="AE389" s="47"/>
      <c r="AF389" s="47"/>
      <c r="AG389" s="47"/>
      <c r="AH389" s="47"/>
      <c r="AI389" s="47"/>
      <c r="AJ389" s="47"/>
      <c r="AK389" s="47"/>
      <c r="AL389" s="47"/>
      <c r="AM389" s="47"/>
      <c r="AN389" s="47"/>
      <c r="AO389" s="47"/>
    </row>
    <row r="390" spans="1:41" ht="15.75" customHeight="1">
      <c r="A390" s="40"/>
      <c r="B390" s="102"/>
      <c r="C390" s="103"/>
      <c r="D390" s="113"/>
      <c r="E390" s="102"/>
      <c r="F390" s="102"/>
      <c r="G390" s="103"/>
      <c r="H390" s="102"/>
      <c r="I390" s="40"/>
      <c r="J390" s="112"/>
      <c r="K390" s="112"/>
      <c r="L390" s="112"/>
      <c r="M390" s="112"/>
      <c r="N390" s="112"/>
      <c r="O390" s="112"/>
      <c r="P390" s="112"/>
      <c r="Q390" s="39">
        <f t="shared" si="48"/>
        <v>0</v>
      </c>
      <c r="R390" s="39">
        <f t="shared" si="49"/>
        <v>0</v>
      </c>
      <c r="S390" s="47"/>
      <c r="U390" s="47"/>
      <c r="V390" s="47"/>
      <c r="W390" s="47"/>
      <c r="X390" s="47"/>
      <c r="Y390" s="47"/>
      <c r="Z390" s="47"/>
      <c r="AA390" s="47"/>
      <c r="AB390" s="47"/>
      <c r="AC390" s="47"/>
      <c r="AD390" s="47"/>
      <c r="AE390" s="47"/>
      <c r="AF390" s="47"/>
      <c r="AG390" s="47"/>
      <c r="AH390" s="47"/>
      <c r="AI390" s="47"/>
      <c r="AJ390" s="47"/>
      <c r="AK390" s="47"/>
      <c r="AL390" s="47"/>
      <c r="AM390" s="47"/>
      <c r="AN390" s="47"/>
      <c r="AO390" s="47"/>
    </row>
    <row r="391" spans="1:41" ht="15.75" customHeight="1">
      <c r="A391" s="40" t="s">
        <v>122</v>
      </c>
      <c r="B391" s="197">
        <f>(' Pivot Table for Data Exchange'!$S$295)*100</f>
        <v>0</v>
      </c>
      <c r="C391" s="197">
        <f>(' Pivot Table for Data Exchange'!$S$298)*100</f>
        <v>0</v>
      </c>
      <c r="D391" s="113">
        <f>SUM(E391:G391)</f>
        <v>0</v>
      </c>
      <c r="E391" s="197">
        <f>(' Pivot Table for Data Exchange'!$S$301)*100</f>
        <v>0</v>
      </c>
      <c r="F391" s="197">
        <f>(' Pivot Table for Data Exchange'!$S$304)*100</f>
        <v>0</v>
      </c>
      <c r="G391" s="199">
        <f>(' Pivot Table for Data Exchange'!$S$307)*100</f>
        <v>0</v>
      </c>
      <c r="H391" s="197">
        <f>(' Pivot Table for Data Exchange'!$S$310)*100</f>
        <v>0</v>
      </c>
      <c r="I391" s="40"/>
      <c r="J391" s="112"/>
      <c r="K391" s="112"/>
      <c r="L391" s="112"/>
      <c r="M391" s="112"/>
      <c r="N391" s="112"/>
      <c r="O391" s="112"/>
      <c r="P391" s="112"/>
      <c r="Q391" s="39">
        <f t="shared" si="48"/>
        <v>0</v>
      </c>
      <c r="R391" s="39">
        <f t="shared" si="49"/>
        <v>0</v>
      </c>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row>
    <row r="392" spans="1:41" ht="15.75" customHeight="1">
      <c r="A392" s="40" t="s">
        <v>130</v>
      </c>
      <c r="B392" s="197">
        <f>(' Pivot Table for Data Exchange'!$S$331)*100</f>
        <v>0</v>
      </c>
      <c r="C392" s="197">
        <f>(' Pivot Table for Data Exchange'!$S$334)*100</f>
        <v>0</v>
      </c>
      <c r="D392" s="113">
        <f>SUM(E392:G392)</f>
        <v>0</v>
      </c>
      <c r="E392" s="197">
        <f>(' Pivot Table for Data Exchange'!$S$337)*100</f>
        <v>0</v>
      </c>
      <c r="F392" s="197">
        <f>(' Pivot Table for Data Exchange'!$S$340)*100</f>
        <v>0</v>
      </c>
      <c r="G392" s="199">
        <f>(' Pivot Table for Data Exchange'!$S$343)*100</f>
        <v>0</v>
      </c>
      <c r="H392" s="197">
        <f>(' Pivot Table for Data Exchange'!$S$346)*100</f>
        <v>0</v>
      </c>
      <c r="I392" s="40"/>
      <c r="J392" s="112"/>
      <c r="K392" s="112"/>
      <c r="L392" s="112"/>
      <c r="M392" s="112"/>
      <c r="N392" s="112"/>
      <c r="O392" s="112"/>
      <c r="P392" s="112"/>
      <c r="Q392" s="39">
        <f t="shared" si="48"/>
        <v>0</v>
      </c>
      <c r="R392" s="39">
        <f t="shared" si="49"/>
        <v>0</v>
      </c>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row>
    <row r="393" spans="1:41" ht="15.75" customHeight="1">
      <c r="A393" s="40" t="s">
        <v>123</v>
      </c>
      <c r="B393" s="197">
        <f>(' Pivot Table for Data Exchange'!$S$367)*100</f>
        <v>0</v>
      </c>
      <c r="C393" s="197">
        <f>(' Pivot Table for Data Exchange'!$S$370)*100</f>
        <v>0</v>
      </c>
      <c r="D393" s="113">
        <f>SUM(E393:G393)</f>
        <v>0</v>
      </c>
      <c r="E393" s="197">
        <f>(' Pivot Table for Data Exchange'!$S$373)*100</f>
        <v>0</v>
      </c>
      <c r="F393" s="197">
        <f>(' Pivot Table for Data Exchange'!$S$376)*100</f>
        <v>0</v>
      </c>
      <c r="G393" s="199">
        <f>(' Pivot Table for Data Exchange'!$S$379)*100</f>
        <v>0</v>
      </c>
      <c r="H393" s="197">
        <f>(' Pivot Table for Data Exchange'!$S$382)*100</f>
        <v>0</v>
      </c>
      <c r="I393" s="40"/>
      <c r="J393" s="112"/>
      <c r="K393" s="112"/>
      <c r="L393" s="112"/>
      <c r="M393" s="112"/>
      <c r="N393" s="112"/>
      <c r="O393" s="112"/>
      <c r="P393" s="112"/>
      <c r="Q393" s="39">
        <f t="shared" si="48"/>
        <v>0</v>
      </c>
      <c r="R393" s="39">
        <f t="shared" si="49"/>
        <v>0</v>
      </c>
      <c r="S393" s="47"/>
      <c r="T393" s="59"/>
      <c r="U393" s="47"/>
      <c r="V393" s="47"/>
      <c r="W393" s="47"/>
      <c r="X393" s="47"/>
      <c r="Y393" s="47"/>
      <c r="Z393" s="47"/>
      <c r="AA393" s="47"/>
      <c r="AB393" s="47"/>
      <c r="AC393" s="47"/>
      <c r="AD393" s="47"/>
      <c r="AE393" s="47"/>
      <c r="AF393" s="47"/>
      <c r="AG393" s="47"/>
      <c r="AH393" s="47"/>
      <c r="AI393" s="47"/>
      <c r="AJ393" s="47"/>
      <c r="AK393" s="47"/>
      <c r="AL393" s="47"/>
      <c r="AM393" s="47"/>
      <c r="AN393" s="47"/>
      <c r="AO393" s="47"/>
    </row>
    <row r="394" spans="1:41" ht="15.75" customHeight="1">
      <c r="A394" s="40" t="s">
        <v>429</v>
      </c>
      <c r="B394" s="197"/>
      <c r="C394" s="197"/>
      <c r="D394" s="113"/>
      <c r="E394" s="197"/>
      <c r="F394" s="197"/>
      <c r="G394" s="199"/>
      <c r="H394" s="197"/>
      <c r="I394" s="40"/>
      <c r="J394" s="112"/>
      <c r="K394" s="112"/>
      <c r="L394" s="112"/>
      <c r="M394" s="112"/>
      <c r="N394" s="112"/>
      <c r="O394" s="112"/>
      <c r="P394" s="112"/>
      <c r="Q394" s="39">
        <f t="shared" si="48"/>
        <v>0</v>
      </c>
      <c r="R394" s="39">
        <f t="shared" si="49"/>
        <v>0</v>
      </c>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row>
    <row r="395" spans="1:41" ht="15.75" customHeight="1">
      <c r="A395" s="40"/>
      <c r="B395" s="197"/>
      <c r="C395" s="197"/>
      <c r="D395" s="113"/>
      <c r="E395" s="197"/>
      <c r="F395" s="197"/>
      <c r="G395" s="199"/>
      <c r="H395" s="197"/>
      <c r="I395" s="40"/>
      <c r="J395" s="112"/>
      <c r="K395" s="112"/>
      <c r="L395" s="112"/>
      <c r="M395" s="112"/>
      <c r="N395" s="112"/>
      <c r="O395" s="112"/>
      <c r="P395" s="112"/>
      <c r="Q395" s="39"/>
      <c r="R395" s="39"/>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row>
    <row r="396" spans="1:41" ht="15.75" customHeight="1">
      <c r="A396" s="40" t="s">
        <v>430</v>
      </c>
      <c r="B396" s="197"/>
      <c r="C396" s="197"/>
      <c r="D396" s="113"/>
      <c r="E396" s="197"/>
      <c r="F396" s="197"/>
      <c r="G396" s="199"/>
      <c r="H396" s="197"/>
      <c r="I396" s="40"/>
      <c r="J396" s="112"/>
      <c r="K396" s="112"/>
      <c r="L396" s="112"/>
      <c r="M396" s="112"/>
      <c r="N396" s="112"/>
      <c r="O396" s="112"/>
      <c r="P396" s="112"/>
      <c r="Q396" s="39">
        <f t="shared" si="48"/>
        <v>0</v>
      </c>
      <c r="R396" s="39">
        <f t="shared" si="49"/>
        <v>0</v>
      </c>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row>
    <row r="397" spans="1:41" ht="15.75" customHeight="1">
      <c r="A397" s="40" t="s">
        <v>229</v>
      </c>
      <c r="B397" s="197">
        <f>(' Pivot Table for Data Exchange'!$S$403)*100</f>
        <v>0</v>
      </c>
      <c r="C397" s="197">
        <f>(' Pivot Table for Data Exchange'!$S$406)*100</f>
        <v>0</v>
      </c>
      <c r="D397" s="113">
        <f>SUM(E397:G397)</f>
        <v>0</v>
      </c>
      <c r="E397" s="197">
        <f>(' Pivot Table for Data Exchange'!$S$409)*100</f>
        <v>0</v>
      </c>
      <c r="F397" s="197">
        <f>(' Pivot Table for Data Exchange'!$S$412)*100</f>
        <v>0</v>
      </c>
      <c r="G397" s="199">
        <f>(' Pivot Table for Data Exchange'!$S$415)*100</f>
        <v>0</v>
      </c>
      <c r="H397" s="197">
        <f>(' Pivot Table for Data Exchange'!$S$418)*100</f>
        <v>0</v>
      </c>
      <c r="I397" s="40"/>
      <c r="J397" s="112"/>
      <c r="K397" s="112"/>
      <c r="L397" s="112"/>
      <c r="M397" s="112"/>
      <c r="N397" s="112"/>
      <c r="O397" s="112"/>
      <c r="P397" s="112"/>
      <c r="Q397" s="39">
        <f t="shared" si="48"/>
        <v>0</v>
      </c>
      <c r="R397" s="39">
        <f t="shared" si="49"/>
        <v>0</v>
      </c>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row>
    <row r="398" spans="1:41" ht="15.75" customHeight="1">
      <c r="A398" s="40" t="s">
        <v>431</v>
      </c>
      <c r="B398" s="197">
        <f>(' Pivot Table for Data Exchange'!$S$511)*100</f>
        <v>0</v>
      </c>
      <c r="C398" s="197">
        <f>(' Pivot Table for Data Exchange'!$S$514)*100</f>
        <v>0</v>
      </c>
      <c r="D398" s="113">
        <f>SUM(E398:G398)</f>
        <v>0</v>
      </c>
      <c r="E398" s="197">
        <f>(' Pivot Table for Data Exchange'!$S$517)*100</f>
        <v>0</v>
      </c>
      <c r="F398" s="197">
        <f>(' Pivot Table for Data Exchange'!$S$520)*100</f>
        <v>0</v>
      </c>
      <c r="G398" s="199">
        <f>(' Pivot Table for Data Exchange'!$S$523)*100</f>
        <v>0</v>
      </c>
      <c r="H398" s="197">
        <f>(' Pivot Table for Data Exchange'!$S$526)*100</f>
        <v>0</v>
      </c>
      <c r="I398" s="40"/>
      <c r="J398" s="112"/>
      <c r="K398" s="112"/>
      <c r="L398" s="112"/>
      <c r="M398" s="112"/>
      <c r="N398" s="112"/>
      <c r="O398" s="112"/>
      <c r="P398" s="112"/>
      <c r="Q398" s="39">
        <f t="shared" si="48"/>
        <v>0</v>
      </c>
      <c r="R398" s="39">
        <f t="shared" si="49"/>
        <v>0</v>
      </c>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row>
    <row r="399" spans="1:41" ht="15.75" customHeight="1">
      <c r="A399" s="34" t="s">
        <v>124</v>
      </c>
      <c r="B399" s="201">
        <f>(' Pivot Table for Data Exchange'!$S$439)*100</f>
        <v>0</v>
      </c>
      <c r="C399" s="201">
        <f>(' Pivot Table for Data Exchange'!$S$442)*100</f>
        <v>0</v>
      </c>
      <c r="D399" s="114">
        <f>SUM(E399:G399)</f>
        <v>0</v>
      </c>
      <c r="E399" s="201">
        <f>(' Pivot Table for Data Exchange'!$S$445)*100</f>
        <v>0</v>
      </c>
      <c r="F399" s="201">
        <f>(' Pivot Table for Data Exchange'!$S$448)*100</f>
        <v>0</v>
      </c>
      <c r="G399" s="202">
        <f>(' Pivot Table for Data Exchange'!$S$451)*100</f>
        <v>0</v>
      </c>
      <c r="H399" s="201">
        <f>(' Pivot Table for Data Exchange'!$S$454)*100</f>
        <v>0</v>
      </c>
      <c r="I399" s="40"/>
      <c r="J399" s="112"/>
      <c r="K399" s="112"/>
      <c r="L399" s="112"/>
      <c r="M399" s="112"/>
      <c r="N399" s="112"/>
      <c r="O399" s="112"/>
      <c r="P399" s="112"/>
      <c r="Q399" s="39">
        <f t="shared" si="48"/>
        <v>0</v>
      </c>
      <c r="R399" s="39">
        <f t="shared" si="49"/>
        <v>0</v>
      </c>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row>
    <row r="400" spans="1:41" s="64" customFormat="1" ht="18" customHeight="1">
      <c r="A400" s="115" t="s">
        <v>477</v>
      </c>
      <c r="B400" s="68"/>
      <c r="C400" s="68"/>
      <c r="D400" s="69"/>
      <c r="E400" s="68"/>
      <c r="F400" s="69"/>
      <c r="G400" s="69"/>
      <c r="H400" s="68"/>
      <c r="I400" s="115"/>
      <c r="J400" s="68"/>
      <c r="K400" s="68"/>
      <c r="L400" s="69"/>
      <c r="M400" s="68"/>
      <c r="N400" s="69"/>
      <c r="O400" s="69"/>
      <c r="P400" s="68"/>
      <c r="Q400" s="68"/>
      <c r="R400" s="68"/>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row>
    <row r="401" spans="1:41" s="64" customFormat="1" ht="18" customHeight="1">
      <c r="A401" s="115"/>
      <c r="B401" s="68"/>
      <c r="C401" s="68"/>
      <c r="D401" s="69"/>
      <c r="E401" s="68"/>
      <c r="F401" s="69"/>
      <c r="G401" s="69"/>
      <c r="H401" s="68"/>
      <c r="I401" s="115"/>
      <c r="J401" s="68"/>
      <c r="K401" s="68"/>
      <c r="L401" s="69"/>
      <c r="M401" s="68"/>
      <c r="N401" s="69"/>
      <c r="O401" s="69"/>
      <c r="P401" s="68"/>
      <c r="Q401" s="68"/>
      <c r="R401" s="68"/>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row>
    <row r="402" spans="2:41" s="40" customFormat="1" ht="15.75" customHeight="1">
      <c r="B402" s="102"/>
      <c r="C402" s="102"/>
      <c r="D402" s="102"/>
      <c r="E402" s="102"/>
      <c r="F402" s="102"/>
      <c r="G402" s="102"/>
      <c r="H402" s="559" t="s">
        <v>766</v>
      </c>
      <c r="J402" s="112"/>
      <c r="K402" s="112"/>
      <c r="L402" s="112"/>
      <c r="M402" s="112"/>
      <c r="N402" s="112"/>
      <c r="O402" s="112"/>
      <c r="P402" s="112"/>
      <c r="Q402" s="39"/>
      <c r="R402" s="39"/>
      <c r="S402" s="117"/>
      <c r="T402" s="117"/>
      <c r="U402" s="117"/>
      <c r="V402" s="117"/>
      <c r="W402" s="117"/>
      <c r="X402" s="117"/>
      <c r="Y402" s="117"/>
      <c r="Z402" s="117"/>
      <c r="AA402" s="117"/>
      <c r="AB402" s="117"/>
      <c r="AC402" s="117"/>
      <c r="AD402" s="117"/>
      <c r="AE402" s="117"/>
      <c r="AF402" s="117"/>
      <c r="AG402" s="117"/>
      <c r="AH402" s="117"/>
      <c r="AI402" s="117"/>
      <c r="AJ402" s="117"/>
      <c r="AK402" s="117"/>
      <c r="AL402" s="117"/>
      <c r="AM402" s="117"/>
      <c r="AN402" s="117"/>
      <c r="AO402" s="117"/>
    </row>
    <row r="403" spans="1:16" ht="18">
      <c r="A403" s="31" t="s">
        <v>454</v>
      </c>
      <c r="B403" s="32"/>
      <c r="C403" s="32"/>
      <c r="D403" s="32"/>
      <c r="E403" s="32"/>
      <c r="F403" s="32"/>
      <c r="G403" s="32"/>
      <c r="H403" s="46"/>
      <c r="I403" s="45"/>
      <c r="J403" s="40"/>
      <c r="K403" s="40"/>
      <c r="L403" s="40"/>
      <c r="M403" s="40"/>
      <c r="N403" s="40"/>
      <c r="O403" s="40"/>
      <c r="P403" s="40"/>
    </row>
    <row r="404" spans="1:16" ht="12.75">
      <c r="A404" s="78"/>
      <c r="B404" s="33"/>
      <c r="C404" s="33"/>
      <c r="D404" s="33"/>
      <c r="E404" s="33"/>
      <c r="F404" s="33"/>
      <c r="G404" s="33"/>
      <c r="H404" s="43"/>
      <c r="I404" s="45"/>
      <c r="J404" s="40"/>
      <c r="K404" s="40"/>
      <c r="L404" s="40"/>
      <c r="M404" s="40"/>
      <c r="N404" s="40"/>
      <c r="O404" s="40"/>
      <c r="P404" s="40"/>
    </row>
    <row r="405" spans="1:16" ht="15.75">
      <c r="A405" s="42" t="s">
        <v>465</v>
      </c>
      <c r="B405" s="33"/>
      <c r="C405" s="33"/>
      <c r="D405" s="33"/>
      <c r="E405" s="33"/>
      <c r="F405" s="33"/>
      <c r="G405" s="33"/>
      <c r="H405" s="43"/>
      <c r="I405" s="45"/>
      <c r="J405" s="40"/>
      <c r="K405" s="40"/>
      <c r="L405" s="40"/>
      <c r="M405" s="40"/>
      <c r="N405" s="40"/>
      <c r="O405" s="40"/>
      <c r="P405" s="40"/>
    </row>
    <row r="406" spans="1:16" ht="15.75">
      <c r="A406" s="42" t="s">
        <v>743</v>
      </c>
      <c r="B406" s="33"/>
      <c r="C406" s="33"/>
      <c r="D406" s="33"/>
      <c r="E406" s="33"/>
      <c r="F406" s="33"/>
      <c r="G406" s="33"/>
      <c r="H406" s="43"/>
      <c r="I406" s="45"/>
      <c r="J406" s="40"/>
      <c r="K406" s="40"/>
      <c r="L406" s="40"/>
      <c r="M406" s="40"/>
      <c r="N406" s="40"/>
      <c r="O406" s="40"/>
      <c r="P406" s="40"/>
    </row>
    <row r="407" spans="1:16" ht="12.75">
      <c r="A407" s="34"/>
      <c r="B407" s="35"/>
      <c r="C407" s="35"/>
      <c r="D407" s="35"/>
      <c r="E407" s="35"/>
      <c r="F407" s="35"/>
      <c r="G407" s="35"/>
      <c r="H407" s="35"/>
      <c r="I407" s="45"/>
      <c r="J407" s="40"/>
      <c r="K407" s="40"/>
      <c r="L407" s="40"/>
      <c r="M407" s="40"/>
      <c r="N407" s="40"/>
      <c r="O407" s="40"/>
      <c r="P407" s="40"/>
    </row>
    <row r="408" spans="1:16" ht="12.75">
      <c r="A408" s="85"/>
      <c r="B408" s="86" t="s">
        <v>231</v>
      </c>
      <c r="C408" s="86"/>
      <c r="D408" s="86"/>
      <c r="E408" s="86"/>
      <c r="F408" s="86"/>
      <c r="G408" s="86"/>
      <c r="H408" s="87"/>
      <c r="I408" s="45"/>
      <c r="J408" s="40"/>
      <c r="K408" s="40"/>
      <c r="L408" s="40"/>
      <c r="M408" s="40"/>
      <c r="N408" s="40"/>
      <c r="O408" s="40"/>
      <c r="P408" s="40"/>
    </row>
    <row r="409" spans="1:16" ht="12.75">
      <c r="A409" s="85"/>
      <c r="B409" s="86" t="s">
        <v>127</v>
      </c>
      <c r="C409" s="86"/>
      <c r="D409" s="690" t="s">
        <v>472</v>
      </c>
      <c r="E409" s="691"/>
      <c r="F409" s="691"/>
      <c r="G409" s="691"/>
      <c r="H409" s="91" t="s">
        <v>14</v>
      </c>
      <c r="I409" s="45"/>
      <c r="J409" s="40"/>
      <c r="K409" s="40"/>
      <c r="L409" s="40"/>
      <c r="M409" s="40"/>
      <c r="N409" s="40"/>
      <c r="O409" s="40"/>
      <c r="P409" s="40"/>
    </row>
    <row r="410" spans="1:16" ht="36">
      <c r="A410" s="85"/>
      <c r="B410" s="92" t="s">
        <v>464</v>
      </c>
      <c r="C410" s="93" t="s">
        <v>463</v>
      </c>
      <c r="D410" s="94" t="s">
        <v>470</v>
      </c>
      <c r="E410" s="95" t="s">
        <v>12</v>
      </c>
      <c r="F410" s="92" t="s">
        <v>128</v>
      </c>
      <c r="G410" s="96" t="s">
        <v>474</v>
      </c>
      <c r="H410" s="97" t="s">
        <v>473</v>
      </c>
      <c r="I410" s="45"/>
      <c r="J410" s="40"/>
      <c r="K410" s="40"/>
      <c r="L410" s="40"/>
      <c r="M410" s="40"/>
      <c r="N410" s="40"/>
      <c r="O410" s="40"/>
      <c r="P410" s="40"/>
    </row>
    <row r="411" spans="1:41" ht="15.75" customHeight="1">
      <c r="A411" s="41" t="s">
        <v>421</v>
      </c>
      <c r="B411" s="197">
        <f>(' Pivot Table for Data Exchange'!$P$7)*100</f>
        <v>0</v>
      </c>
      <c r="C411" s="197">
        <f>(' Pivot Table for Data Exchange'!$P$10)*100</f>
        <v>0</v>
      </c>
      <c r="D411" s="113">
        <f>SUM(E411:G411)</f>
        <v>0</v>
      </c>
      <c r="E411" s="197">
        <f>(' Pivot Table for Data Exchange'!$P$13)*100</f>
        <v>0</v>
      </c>
      <c r="F411" s="197">
        <f>(' Pivot Table for Data Exchange'!$P$16)*100</f>
        <v>0</v>
      </c>
      <c r="G411" s="198">
        <f>(' Pivot Table for Data Exchange'!$P$19)*100</f>
        <v>0</v>
      </c>
      <c r="H411" s="197">
        <f>(' Pivot Table for Data Exchange'!$P$22)*100</f>
        <v>0</v>
      </c>
      <c r="I411" s="40"/>
      <c r="J411" s="112"/>
      <c r="K411" s="112"/>
      <c r="L411" s="112"/>
      <c r="M411" s="112"/>
      <c r="N411" s="112"/>
      <c r="O411" s="112"/>
      <c r="P411" s="112"/>
      <c r="Q411" s="39">
        <f aca="true" t="shared" si="50" ref="Q411:Q422">SUM(B411,C411,D411,H411)</f>
        <v>0</v>
      </c>
      <c r="R411" s="39">
        <f aca="true" t="shared" si="51" ref="R411:R422">SUM(J411,K411,L411,P411)</f>
        <v>0</v>
      </c>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row>
    <row r="412" spans="1:41" ht="15.75" customHeight="1">
      <c r="A412" s="40" t="s">
        <v>422</v>
      </c>
      <c r="B412" s="197">
        <f>(' Pivot Table for Data Exchange'!$P$43)*100</f>
        <v>0</v>
      </c>
      <c r="C412" s="197">
        <f>(' Pivot Table for Data Exchange'!$P$46)*100</f>
        <v>0</v>
      </c>
      <c r="D412" s="113">
        <f>SUM(E412:G412)</f>
        <v>0</v>
      </c>
      <c r="E412" s="197">
        <f>(' Pivot Table for Data Exchange'!$P$49)*100</f>
        <v>0</v>
      </c>
      <c r="F412" s="197">
        <f>(' Pivot Table for Data Exchange'!$P$52)*100</f>
        <v>0</v>
      </c>
      <c r="G412" s="199">
        <f>(' Pivot Table for Data Exchange'!$P$55)*100</f>
        <v>0</v>
      </c>
      <c r="H412" s="197">
        <f>(' Pivot Table for Data Exchange'!$P$58)*100</f>
        <v>0</v>
      </c>
      <c r="I412" s="40"/>
      <c r="J412" s="112"/>
      <c r="K412" s="112"/>
      <c r="L412" s="112"/>
      <c r="M412" s="112"/>
      <c r="N412" s="112"/>
      <c r="O412" s="112"/>
      <c r="P412" s="112"/>
      <c r="Q412" s="39">
        <f t="shared" si="50"/>
        <v>0</v>
      </c>
      <c r="R412" s="39">
        <f t="shared" si="51"/>
        <v>0</v>
      </c>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row>
    <row r="413" spans="1:41" ht="15.75" customHeight="1">
      <c r="A413" s="40" t="s">
        <v>423</v>
      </c>
      <c r="B413" s="197">
        <f>(' Pivot Table for Data Exchange'!$P$79)*100</f>
        <v>0</v>
      </c>
      <c r="C413" s="197">
        <f>(' Pivot Table for Data Exchange'!$P$82)*100</f>
        <v>0</v>
      </c>
      <c r="D413" s="113">
        <f>SUM(E413:G413)</f>
        <v>0</v>
      </c>
      <c r="E413" s="197">
        <f>(' Pivot Table for Data Exchange'!$P$85)*100</f>
        <v>0</v>
      </c>
      <c r="F413" s="197">
        <f>(' Pivot Table for Data Exchange'!$P$88)*100</f>
        <v>0</v>
      </c>
      <c r="G413" s="199">
        <f>(' Pivot Table for Data Exchange'!$P$91)*100</f>
        <v>0</v>
      </c>
      <c r="H413" s="197">
        <f>(' Pivot Table for Data Exchange'!$P$94)*100</f>
        <v>0</v>
      </c>
      <c r="I413" s="40"/>
      <c r="J413" s="112"/>
      <c r="K413" s="112"/>
      <c r="L413" s="112"/>
      <c r="M413" s="112"/>
      <c r="N413" s="112"/>
      <c r="O413" s="112"/>
      <c r="P413" s="112"/>
      <c r="Q413" s="39">
        <f t="shared" si="50"/>
        <v>0</v>
      </c>
      <c r="R413" s="39">
        <f t="shared" si="51"/>
        <v>0</v>
      </c>
      <c r="S413" s="47"/>
      <c r="T413" s="59"/>
      <c r="U413" s="47"/>
      <c r="V413" s="47"/>
      <c r="W413" s="47"/>
      <c r="X413" s="47"/>
      <c r="Y413" s="47"/>
      <c r="Z413" s="47"/>
      <c r="AA413" s="47"/>
      <c r="AB413" s="47"/>
      <c r="AC413" s="47"/>
      <c r="AD413" s="47"/>
      <c r="AE413" s="47"/>
      <c r="AF413" s="47"/>
      <c r="AG413" s="47"/>
      <c r="AH413" s="47"/>
      <c r="AI413" s="47"/>
      <c r="AJ413" s="47"/>
      <c r="AK413" s="47"/>
      <c r="AL413" s="47"/>
      <c r="AM413" s="47"/>
      <c r="AN413" s="47"/>
      <c r="AO413" s="47"/>
    </row>
    <row r="414" spans="1:41" ht="15.75" customHeight="1">
      <c r="A414" s="40" t="s">
        <v>424</v>
      </c>
      <c r="B414" s="197">
        <f>(' Pivot Table for Data Exchange'!$P$115)*100</f>
        <v>0</v>
      </c>
      <c r="C414" s="197">
        <f>(' Pivot Table for Data Exchange'!$P$118)*100</f>
        <v>0</v>
      </c>
      <c r="D414" s="113">
        <f>SUM(E414:G414)</f>
        <v>0</v>
      </c>
      <c r="E414" s="197">
        <f>(' Pivot Table for Data Exchange'!$P$121)*100</f>
        <v>0</v>
      </c>
      <c r="F414" s="197">
        <f>(' Pivot Table for Data Exchange'!$P$124)*100</f>
        <v>0</v>
      </c>
      <c r="G414" s="199">
        <f>(' Pivot Table for Data Exchange'!$P$127)*100</f>
        <v>0</v>
      </c>
      <c r="H414" s="197">
        <f>(' Pivot Table for Data Exchange'!$P$130)*100</f>
        <v>0</v>
      </c>
      <c r="I414" s="40"/>
      <c r="J414" s="112"/>
      <c r="K414" s="112"/>
      <c r="L414" s="112"/>
      <c r="M414" s="112"/>
      <c r="N414" s="112"/>
      <c r="O414" s="112"/>
      <c r="P414" s="112"/>
      <c r="Q414" s="39">
        <f t="shared" si="50"/>
        <v>0</v>
      </c>
      <c r="R414" s="39">
        <f t="shared" si="51"/>
        <v>0</v>
      </c>
      <c r="S414" s="47"/>
      <c r="U414" s="47"/>
      <c r="V414" s="47"/>
      <c r="W414" s="47"/>
      <c r="X414" s="47"/>
      <c r="Y414" s="47"/>
      <c r="Z414" s="47"/>
      <c r="AA414" s="47"/>
      <c r="AB414" s="47"/>
      <c r="AC414" s="47"/>
      <c r="AD414" s="47"/>
      <c r="AE414" s="47"/>
      <c r="AF414" s="47"/>
      <c r="AG414" s="47"/>
      <c r="AH414" s="47"/>
      <c r="AI414" s="47"/>
      <c r="AJ414" s="47"/>
      <c r="AK414" s="47"/>
      <c r="AL414" s="47"/>
      <c r="AM414" s="47"/>
      <c r="AN414" s="47"/>
      <c r="AO414" s="47"/>
    </row>
    <row r="415" spans="1:41" ht="15.75" customHeight="1">
      <c r="A415" s="40"/>
      <c r="B415" s="102"/>
      <c r="C415" s="103"/>
      <c r="D415" s="113"/>
      <c r="E415" s="102"/>
      <c r="F415" s="102"/>
      <c r="G415" s="103"/>
      <c r="H415" s="102"/>
      <c r="I415" s="40"/>
      <c r="J415" s="112"/>
      <c r="K415" s="112"/>
      <c r="L415" s="112"/>
      <c r="M415" s="112"/>
      <c r="N415" s="112"/>
      <c r="O415" s="112"/>
      <c r="P415" s="112"/>
      <c r="Q415" s="39">
        <f t="shared" si="50"/>
        <v>0</v>
      </c>
      <c r="R415" s="39">
        <f t="shared" si="51"/>
        <v>0</v>
      </c>
      <c r="S415" s="47"/>
      <c r="U415" s="47"/>
      <c r="V415" s="47"/>
      <c r="W415" s="47"/>
      <c r="X415" s="47"/>
      <c r="Y415" s="47"/>
      <c r="Z415" s="47"/>
      <c r="AA415" s="47"/>
      <c r="AB415" s="47"/>
      <c r="AC415" s="47"/>
      <c r="AD415" s="47"/>
      <c r="AE415" s="47"/>
      <c r="AF415" s="47"/>
      <c r="AG415" s="47"/>
      <c r="AH415" s="47"/>
      <c r="AI415" s="47"/>
      <c r="AJ415" s="47"/>
      <c r="AK415" s="47"/>
      <c r="AL415" s="47"/>
      <c r="AM415" s="47"/>
      <c r="AN415" s="47"/>
      <c r="AO415" s="47"/>
    </row>
    <row r="416" spans="1:41" ht="15.75" customHeight="1">
      <c r="A416" s="40" t="s">
        <v>425</v>
      </c>
      <c r="B416" s="197">
        <f>(' Pivot Table for Data Exchange'!$P$151)*100</f>
        <v>85.25573587125984</v>
      </c>
      <c r="C416" s="197">
        <f>(' Pivot Table for Data Exchange'!$P$154)*100</f>
        <v>0</v>
      </c>
      <c r="D416" s="113">
        <f>SUM(E416:G416)</f>
        <v>14.744264128740161</v>
      </c>
      <c r="E416" s="197">
        <f>(' Pivot Table for Data Exchange'!$P$157)*100</f>
        <v>14.646744489323396</v>
      </c>
      <c r="F416" s="197">
        <f>(' Pivot Table for Data Exchange'!$P$160)*100</f>
        <v>0.09722843943177824</v>
      </c>
      <c r="G416" s="449">
        <f>(' Pivot Table for Data Exchange'!$P$163)*100</f>
        <v>0.000291199984987023</v>
      </c>
      <c r="H416" s="197">
        <f>(' Pivot Table for Data Exchange'!$P$166)*100</f>
        <v>0</v>
      </c>
      <c r="I416" s="40"/>
      <c r="J416" s="112"/>
      <c r="K416" s="112"/>
      <c r="L416" s="112"/>
      <c r="M416" s="112"/>
      <c r="N416" s="112"/>
      <c r="O416" s="112"/>
      <c r="P416" s="112"/>
      <c r="Q416" s="39">
        <f t="shared" si="50"/>
        <v>100</v>
      </c>
      <c r="R416" s="39">
        <f t="shared" si="51"/>
        <v>0</v>
      </c>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row>
    <row r="417" spans="1:41" ht="15.75" customHeight="1">
      <c r="A417" s="40" t="s">
        <v>426</v>
      </c>
      <c r="B417" s="197">
        <f>(' Pivot Table for Data Exchange'!$P$187)*100</f>
        <v>94.41759569443681</v>
      </c>
      <c r="C417" s="197">
        <f>(' Pivot Table for Data Exchange'!$P$190)*100</f>
        <v>0.07688505684002417</v>
      </c>
      <c r="D417" s="113">
        <f>SUM(E417:G417)</f>
        <v>5.505519248723159</v>
      </c>
      <c r="E417" s="197">
        <f>(' Pivot Table for Data Exchange'!$P$193)*100</f>
        <v>5.505519248723159</v>
      </c>
      <c r="F417" s="197">
        <f>(' Pivot Table for Data Exchange'!$P$196)*100</f>
        <v>0</v>
      </c>
      <c r="G417" s="199">
        <f>(' Pivot Table for Data Exchange'!$P$199)*100</f>
        <v>0</v>
      </c>
      <c r="H417" s="197">
        <f>(' Pivot Table for Data Exchange'!$P$202)*100</f>
        <v>0</v>
      </c>
      <c r="I417" s="40"/>
      <c r="J417" s="112"/>
      <c r="K417" s="112"/>
      <c r="L417" s="112"/>
      <c r="M417" s="112"/>
      <c r="N417" s="112"/>
      <c r="O417" s="112"/>
      <c r="P417" s="112"/>
      <c r="Q417" s="39">
        <f t="shared" si="50"/>
        <v>100</v>
      </c>
      <c r="R417" s="39">
        <f t="shared" si="51"/>
        <v>0</v>
      </c>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row>
    <row r="418" spans="1:41" ht="15.75" customHeight="1">
      <c r="A418" s="40" t="s">
        <v>427</v>
      </c>
      <c r="B418" s="197">
        <f>(' Pivot Table for Data Exchange'!$P$223)*100</f>
        <v>100</v>
      </c>
      <c r="C418" s="197">
        <f>(' Pivot Table for Data Exchange'!$P$226)*100</f>
        <v>0</v>
      </c>
      <c r="D418" s="113">
        <f>SUM(E418:G418)</f>
        <v>0</v>
      </c>
      <c r="E418" s="197">
        <f>(' Pivot Table for Data Exchange'!$P$229)*100</f>
        <v>0</v>
      </c>
      <c r="F418" s="197">
        <f>(' Pivot Table for Data Exchange'!$P$232)*100</f>
        <v>0</v>
      </c>
      <c r="G418" s="199">
        <f>(' Pivot Table for Data Exchange'!$P$235)*100</f>
        <v>0</v>
      </c>
      <c r="H418" s="197">
        <f>(' Pivot Table for Data Exchange'!$P$238)*100</f>
        <v>0</v>
      </c>
      <c r="I418" s="40"/>
      <c r="J418" s="112"/>
      <c r="K418" s="112"/>
      <c r="L418" s="112"/>
      <c r="M418" s="112"/>
      <c r="N418" s="112"/>
      <c r="O418" s="112"/>
      <c r="P418" s="112"/>
      <c r="Q418" s="39">
        <f t="shared" si="50"/>
        <v>100</v>
      </c>
      <c r="R418" s="39">
        <f t="shared" si="51"/>
        <v>0</v>
      </c>
      <c r="S418" s="47"/>
      <c r="T418" s="59"/>
      <c r="U418" s="47"/>
      <c r="V418" s="47"/>
      <c r="W418" s="47"/>
      <c r="X418" s="47"/>
      <c r="Y418" s="47"/>
      <c r="Z418" s="47"/>
      <c r="AA418" s="47"/>
      <c r="AB418" s="47"/>
      <c r="AC418" s="47"/>
      <c r="AD418" s="47"/>
      <c r="AE418" s="47"/>
      <c r="AF418" s="47"/>
      <c r="AG418" s="47"/>
      <c r="AH418" s="47"/>
      <c r="AI418" s="47"/>
      <c r="AJ418" s="47"/>
      <c r="AK418" s="47"/>
      <c r="AL418" s="47"/>
      <c r="AM418" s="47"/>
      <c r="AN418" s="47"/>
      <c r="AO418" s="47"/>
    </row>
    <row r="419" spans="1:41" ht="15.75" customHeight="1">
      <c r="A419" s="40" t="s">
        <v>428</v>
      </c>
      <c r="B419" s="197">
        <f>(' Pivot Table for Data Exchange'!$P$259)*100</f>
        <v>0</v>
      </c>
      <c r="C419" s="197">
        <f>(' Pivot Table for Data Exchange'!$P$262)*100</f>
        <v>0</v>
      </c>
      <c r="D419" s="113">
        <f>SUM(E419:G419)</f>
        <v>0</v>
      </c>
      <c r="E419" s="197">
        <f>(' Pivot Table for Data Exchange'!$P$265)*100</f>
        <v>0</v>
      </c>
      <c r="F419" s="197">
        <f>(' Pivot Table for Data Exchange'!$P$268)*100</f>
        <v>0</v>
      </c>
      <c r="G419" s="199">
        <f>(' Pivot Table for Data Exchange'!$P$271)*100</f>
        <v>0</v>
      </c>
      <c r="H419" s="197">
        <f>(' Pivot Table for Data Exchange'!$P$274)*100</f>
        <v>0</v>
      </c>
      <c r="I419" s="40"/>
      <c r="J419" s="112"/>
      <c r="K419" s="112"/>
      <c r="L419" s="112"/>
      <c r="M419" s="112"/>
      <c r="N419" s="112"/>
      <c r="O419" s="112"/>
      <c r="P419" s="112"/>
      <c r="Q419" s="39">
        <f t="shared" si="50"/>
        <v>0</v>
      </c>
      <c r="R419" s="39">
        <f t="shared" si="51"/>
        <v>0</v>
      </c>
      <c r="S419" s="47"/>
      <c r="U419" s="47"/>
      <c r="V419" s="47"/>
      <c r="W419" s="47"/>
      <c r="X419" s="47"/>
      <c r="Y419" s="47"/>
      <c r="Z419" s="47"/>
      <c r="AA419" s="47"/>
      <c r="AB419" s="47"/>
      <c r="AC419" s="47"/>
      <c r="AD419" s="47"/>
      <c r="AE419" s="47"/>
      <c r="AF419" s="47"/>
      <c r="AG419" s="47"/>
      <c r="AH419" s="47"/>
      <c r="AI419" s="47"/>
      <c r="AJ419" s="47"/>
      <c r="AK419" s="47"/>
      <c r="AL419" s="47"/>
      <c r="AM419" s="47"/>
      <c r="AN419" s="47"/>
      <c r="AO419" s="47"/>
    </row>
    <row r="420" spans="1:41" ht="15.75" customHeight="1">
      <c r="A420" s="40"/>
      <c r="B420" s="102"/>
      <c r="C420" s="103"/>
      <c r="D420" s="113"/>
      <c r="E420" s="102"/>
      <c r="F420" s="102"/>
      <c r="G420" s="103"/>
      <c r="H420" s="102"/>
      <c r="I420" s="40"/>
      <c r="J420" s="112"/>
      <c r="K420" s="112"/>
      <c r="L420" s="112"/>
      <c r="M420" s="112"/>
      <c r="N420" s="112"/>
      <c r="O420" s="112"/>
      <c r="P420" s="112"/>
      <c r="Q420" s="39">
        <f t="shared" si="50"/>
        <v>0</v>
      </c>
      <c r="R420" s="39">
        <f t="shared" si="51"/>
        <v>0</v>
      </c>
      <c r="S420" s="47"/>
      <c r="U420" s="47"/>
      <c r="V420" s="47"/>
      <c r="W420" s="47"/>
      <c r="X420" s="47"/>
      <c r="Y420" s="47"/>
      <c r="Z420" s="47"/>
      <c r="AA420" s="47"/>
      <c r="AB420" s="47"/>
      <c r="AC420" s="47"/>
      <c r="AD420" s="47"/>
      <c r="AE420" s="47"/>
      <c r="AF420" s="47"/>
      <c r="AG420" s="47"/>
      <c r="AH420" s="47"/>
      <c r="AI420" s="47"/>
      <c r="AJ420" s="47"/>
      <c r="AK420" s="47"/>
      <c r="AL420" s="47"/>
      <c r="AM420" s="47"/>
      <c r="AN420" s="47"/>
      <c r="AO420" s="47"/>
    </row>
    <row r="421" spans="1:41" ht="15.75" customHeight="1">
      <c r="A421" s="40" t="s">
        <v>122</v>
      </c>
      <c r="B421" s="197">
        <f>(' Pivot Table for Data Exchange'!$P$295)*100</f>
        <v>0</v>
      </c>
      <c r="C421" s="197">
        <f>(' Pivot Table for Data Exchange'!$P$298)*100</f>
        <v>0</v>
      </c>
      <c r="D421" s="113">
        <f>SUM(E421:G421)</f>
        <v>0</v>
      </c>
      <c r="E421" s="197">
        <f>(' Pivot Table for Data Exchange'!$P$301)*100</f>
        <v>0</v>
      </c>
      <c r="F421" s="197">
        <f>(' Pivot Table for Data Exchange'!$P$304)*100</f>
        <v>0</v>
      </c>
      <c r="G421" s="199">
        <f>(' Pivot Table for Data Exchange'!$P$307)*100</f>
        <v>0</v>
      </c>
      <c r="H421" s="197">
        <f>(' Pivot Table for Data Exchange'!$P$310)*100</f>
        <v>0</v>
      </c>
      <c r="I421" s="40"/>
      <c r="J421" s="112"/>
      <c r="K421" s="112"/>
      <c r="L421" s="112"/>
      <c r="M421" s="112"/>
      <c r="N421" s="112"/>
      <c r="O421" s="112"/>
      <c r="P421" s="112"/>
      <c r="Q421" s="39">
        <f t="shared" si="50"/>
        <v>0</v>
      </c>
      <c r="R421" s="39">
        <f t="shared" si="51"/>
        <v>0</v>
      </c>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row>
    <row r="422" spans="1:41" ht="15.75" customHeight="1">
      <c r="A422" s="40" t="s">
        <v>130</v>
      </c>
      <c r="B422" s="197">
        <f>(' Pivot Table for Data Exchange'!$P$331)*100</f>
        <v>0</v>
      </c>
      <c r="C422" s="197">
        <f>(' Pivot Table for Data Exchange'!$P$334)*100</f>
        <v>0</v>
      </c>
      <c r="D422" s="113">
        <f>SUM(E422:G422)</f>
        <v>0</v>
      </c>
      <c r="E422" s="197">
        <f>(' Pivot Table for Data Exchange'!$P$337)*100</f>
        <v>0</v>
      </c>
      <c r="F422" s="197">
        <f>(' Pivot Table for Data Exchange'!$P$340)*100</f>
        <v>0</v>
      </c>
      <c r="G422" s="199">
        <f>(' Pivot Table for Data Exchange'!$P$343)*100</f>
        <v>0</v>
      </c>
      <c r="H422" s="197">
        <f>(' Pivot Table for Data Exchange'!$P$346)*100</f>
        <v>0</v>
      </c>
      <c r="I422" s="40"/>
      <c r="J422" s="112"/>
      <c r="K422" s="112"/>
      <c r="L422" s="112"/>
      <c r="M422" s="112"/>
      <c r="N422" s="112"/>
      <c r="O422" s="112"/>
      <c r="P422" s="112"/>
      <c r="Q422" s="39">
        <f t="shared" si="50"/>
        <v>0</v>
      </c>
      <c r="R422" s="39">
        <f t="shared" si="51"/>
        <v>0</v>
      </c>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row>
    <row r="423" spans="1:41" ht="15.75" customHeight="1">
      <c r="A423" s="40" t="s">
        <v>123</v>
      </c>
      <c r="B423" s="197">
        <f>(' Pivot Table for Data Exchange'!$P$367)*100</f>
        <v>0</v>
      </c>
      <c r="C423" s="197">
        <f>(' Pivot Table for Data Exchange'!$P$370)*100</f>
        <v>0</v>
      </c>
      <c r="D423" s="113">
        <f>SUM(E423:G423)</f>
        <v>0</v>
      </c>
      <c r="E423" s="197">
        <f>(' Pivot Table for Data Exchange'!$P$373)*100</f>
        <v>0</v>
      </c>
      <c r="F423" s="197">
        <f>(' Pivot Table for Data Exchange'!$P$376)*100</f>
        <v>0</v>
      </c>
      <c r="G423" s="199">
        <f>(' Pivot Table for Data Exchange'!$P$379)*100</f>
        <v>0</v>
      </c>
      <c r="H423" s="197">
        <f>(' Pivot Table for Data Exchange'!$P$382)*100</f>
        <v>0</v>
      </c>
      <c r="I423" s="40"/>
      <c r="J423" s="112"/>
      <c r="K423" s="112"/>
      <c r="L423" s="112"/>
      <c r="M423" s="112"/>
      <c r="N423" s="112"/>
      <c r="O423" s="112"/>
      <c r="P423" s="112"/>
      <c r="Q423" s="39">
        <f aca="true" t="shared" si="52" ref="Q423:Q429">SUM(B423,C423,D423,H423)</f>
        <v>0</v>
      </c>
      <c r="R423" s="39">
        <f aca="true" t="shared" si="53" ref="R423:R429">SUM(J423,K423,L423,P423)</f>
        <v>0</v>
      </c>
      <c r="S423" s="47"/>
      <c r="T423" s="59"/>
      <c r="U423" s="47"/>
      <c r="V423" s="47"/>
      <c r="W423" s="47"/>
      <c r="X423" s="47"/>
      <c r="Y423" s="47"/>
      <c r="Z423" s="47"/>
      <c r="AA423" s="47"/>
      <c r="AB423" s="47"/>
      <c r="AC423" s="47"/>
      <c r="AD423" s="47"/>
      <c r="AE423" s="47"/>
      <c r="AF423" s="47"/>
      <c r="AG423" s="47"/>
      <c r="AH423" s="47"/>
      <c r="AI423" s="47"/>
      <c r="AJ423" s="47"/>
      <c r="AK423" s="47"/>
      <c r="AL423" s="47"/>
      <c r="AM423" s="47"/>
      <c r="AN423" s="47"/>
      <c r="AO423" s="47"/>
    </row>
    <row r="424" spans="1:41" ht="15.75" customHeight="1">
      <c r="A424" s="40" t="s">
        <v>429</v>
      </c>
      <c r="B424" s="197"/>
      <c r="C424" s="197"/>
      <c r="D424" s="113"/>
      <c r="E424" s="197"/>
      <c r="F424" s="197"/>
      <c r="G424" s="199"/>
      <c r="H424" s="197"/>
      <c r="I424" s="40"/>
      <c r="J424" s="112"/>
      <c r="K424" s="112"/>
      <c r="L424" s="112"/>
      <c r="M424" s="112"/>
      <c r="N424" s="112"/>
      <c r="O424" s="112"/>
      <c r="P424" s="112"/>
      <c r="Q424" s="39">
        <f t="shared" si="52"/>
        <v>0</v>
      </c>
      <c r="R424" s="39">
        <f t="shared" si="53"/>
        <v>0</v>
      </c>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row>
    <row r="425" spans="1:41" ht="15.75" customHeight="1">
      <c r="A425" s="40"/>
      <c r="B425" s="197"/>
      <c r="C425" s="197"/>
      <c r="D425" s="113"/>
      <c r="E425" s="197"/>
      <c r="F425" s="197"/>
      <c r="G425" s="199"/>
      <c r="H425" s="197"/>
      <c r="I425" s="40"/>
      <c r="J425" s="112"/>
      <c r="K425" s="112"/>
      <c r="L425" s="112"/>
      <c r="M425" s="112"/>
      <c r="N425" s="112"/>
      <c r="O425" s="112"/>
      <c r="P425" s="112"/>
      <c r="Q425" s="39"/>
      <c r="R425" s="39"/>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row>
    <row r="426" spans="1:41" ht="15.75" customHeight="1">
      <c r="A426" s="40" t="s">
        <v>430</v>
      </c>
      <c r="B426" s="197"/>
      <c r="C426" s="197"/>
      <c r="D426" s="113"/>
      <c r="E426" s="197"/>
      <c r="F426" s="197"/>
      <c r="G426" s="199"/>
      <c r="H426" s="197"/>
      <c r="I426" s="40"/>
      <c r="J426" s="112"/>
      <c r="K426" s="112"/>
      <c r="L426" s="112"/>
      <c r="M426" s="112"/>
      <c r="N426" s="112"/>
      <c r="O426" s="112"/>
      <c r="P426" s="112"/>
      <c r="Q426" s="39">
        <f t="shared" si="52"/>
        <v>0</v>
      </c>
      <c r="R426" s="39">
        <f t="shared" si="53"/>
        <v>0</v>
      </c>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row>
    <row r="427" spans="1:41" ht="15.75" customHeight="1">
      <c r="A427" s="40" t="s">
        <v>229</v>
      </c>
      <c r="B427" s="197">
        <f>(' Pivot Table for Data Exchange'!$P$403)*100</f>
        <v>0</v>
      </c>
      <c r="C427" s="197">
        <f>(' Pivot Table for Data Exchange'!$P$406)*100</f>
        <v>0</v>
      </c>
      <c r="D427" s="113">
        <f>SUM(E427:G427)</f>
        <v>0</v>
      </c>
      <c r="E427" s="197">
        <f>(' Pivot Table for Data Exchange'!$P$409)*100</f>
        <v>0</v>
      </c>
      <c r="F427" s="197">
        <f>(' Pivot Table for Data Exchange'!$P$412)*100</f>
        <v>0</v>
      </c>
      <c r="G427" s="199">
        <f>(' Pivot Table for Data Exchange'!$P$415)*100</f>
        <v>0</v>
      </c>
      <c r="H427" s="197">
        <f>(' Pivot Table for Data Exchange'!$P$418)*100</f>
        <v>0</v>
      </c>
      <c r="I427" s="40"/>
      <c r="J427" s="112"/>
      <c r="K427" s="112"/>
      <c r="L427" s="112"/>
      <c r="M427" s="112"/>
      <c r="N427" s="112"/>
      <c r="O427" s="112"/>
      <c r="P427" s="112"/>
      <c r="Q427" s="39">
        <f t="shared" si="52"/>
        <v>0</v>
      </c>
      <c r="R427" s="39">
        <f t="shared" si="53"/>
        <v>0</v>
      </c>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row>
    <row r="428" spans="1:41" ht="15.75" customHeight="1">
      <c r="A428" s="40" t="s">
        <v>431</v>
      </c>
      <c r="B428" s="197">
        <f>(' Pivot Table for Data Exchange'!$P$511)*100</f>
        <v>0</v>
      </c>
      <c r="C428" s="197">
        <f>(' Pivot Table for Data Exchange'!$P$514)*100</f>
        <v>0</v>
      </c>
      <c r="D428" s="113">
        <f>SUM(E428:G428)</f>
        <v>0</v>
      </c>
      <c r="E428" s="197">
        <f>(' Pivot Table for Data Exchange'!$P$517)*100</f>
        <v>0</v>
      </c>
      <c r="F428" s="197">
        <f>(' Pivot Table for Data Exchange'!$P$520)*100</f>
        <v>0</v>
      </c>
      <c r="G428" s="199">
        <f>(' Pivot Table for Data Exchange'!$P$523)*100</f>
        <v>0</v>
      </c>
      <c r="H428" s="197">
        <f>(' Pivot Table for Data Exchange'!$P$526)*100</f>
        <v>0</v>
      </c>
      <c r="I428" s="40"/>
      <c r="J428" s="112"/>
      <c r="K428" s="112"/>
      <c r="L428" s="112"/>
      <c r="M428" s="112"/>
      <c r="N428" s="112"/>
      <c r="O428" s="112"/>
      <c r="P428" s="112"/>
      <c r="Q428" s="39">
        <f t="shared" si="52"/>
        <v>0</v>
      </c>
      <c r="R428" s="39">
        <f t="shared" si="53"/>
        <v>0</v>
      </c>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row>
    <row r="429" spans="1:41" ht="15.75" customHeight="1">
      <c r="A429" s="34" t="s">
        <v>124</v>
      </c>
      <c r="B429" s="201">
        <f>(' Pivot Table for Data Exchange'!$P$439)*100</f>
        <v>0</v>
      </c>
      <c r="C429" s="201">
        <f>(' Pivot Table for Data Exchange'!$P$442)*100</f>
        <v>0</v>
      </c>
      <c r="D429" s="114">
        <f>SUM(E429:G429)</f>
        <v>0</v>
      </c>
      <c r="E429" s="201">
        <f>(' Pivot Table for Data Exchange'!$P$445)*100</f>
        <v>0</v>
      </c>
      <c r="F429" s="201">
        <f>(' Pivot Table for Data Exchange'!$P$448)*100</f>
        <v>0</v>
      </c>
      <c r="G429" s="202">
        <f>(' Pivot Table for Data Exchange'!$P$451)*100</f>
        <v>0</v>
      </c>
      <c r="H429" s="201">
        <f>(' Pivot Table for Data Exchange'!$P$454)*100</f>
        <v>0</v>
      </c>
      <c r="I429" s="40"/>
      <c r="J429" s="112"/>
      <c r="K429" s="112"/>
      <c r="L429" s="112"/>
      <c r="M429" s="112"/>
      <c r="N429" s="112"/>
      <c r="O429" s="112"/>
      <c r="P429" s="112"/>
      <c r="Q429" s="39">
        <f t="shared" si="52"/>
        <v>0</v>
      </c>
      <c r="R429" s="39">
        <f t="shared" si="53"/>
        <v>0</v>
      </c>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row>
    <row r="430" spans="1:41" s="64" customFormat="1" ht="18" customHeight="1">
      <c r="A430" s="115" t="s">
        <v>477</v>
      </c>
      <c r="B430" s="68"/>
      <c r="C430" s="68"/>
      <c r="D430" s="69"/>
      <c r="E430" s="68"/>
      <c r="F430" s="69"/>
      <c r="G430" s="69"/>
      <c r="H430" s="68"/>
      <c r="I430" s="115"/>
      <c r="J430" s="68"/>
      <c r="K430" s="68"/>
      <c r="L430" s="69"/>
      <c r="M430" s="68"/>
      <c r="N430" s="69"/>
      <c r="O430" s="69"/>
      <c r="P430" s="68"/>
      <c r="Q430" s="68"/>
      <c r="R430" s="68"/>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row>
    <row r="431" spans="1:18" s="64" customFormat="1" ht="13.5" customHeight="1">
      <c r="A431" s="115"/>
      <c r="B431" s="63"/>
      <c r="I431" s="115"/>
      <c r="P431" s="65"/>
      <c r="Q431" s="66"/>
      <c r="R431" s="67"/>
    </row>
    <row r="432" spans="1:18" s="64" customFormat="1" ht="13.5" customHeight="1">
      <c r="A432" s="116"/>
      <c r="H432" s="559" t="s">
        <v>766</v>
      </c>
      <c r="I432" s="116"/>
      <c r="Q432" s="66"/>
      <c r="R432" s="67"/>
    </row>
    <row r="433" spans="1:16" ht="17.25" customHeight="1">
      <c r="A433" s="62"/>
      <c r="B433" s="68"/>
      <c r="C433" s="68"/>
      <c r="D433" s="69"/>
      <c r="E433" s="68"/>
      <c r="F433" s="69"/>
      <c r="G433" s="69"/>
      <c r="H433" s="68"/>
      <c r="I433" s="45"/>
      <c r="J433" s="40"/>
      <c r="K433" s="40"/>
      <c r="L433" s="40"/>
      <c r="M433" s="40"/>
      <c r="N433" s="40"/>
      <c r="O433" s="40"/>
      <c r="P433" s="40"/>
    </row>
    <row r="434" spans="1:16" ht="18">
      <c r="A434" s="31" t="s">
        <v>455</v>
      </c>
      <c r="B434" s="32"/>
      <c r="C434" s="32"/>
      <c r="D434" s="32"/>
      <c r="E434" s="32"/>
      <c r="F434" s="32"/>
      <c r="G434" s="32"/>
      <c r="H434" s="46"/>
      <c r="I434" s="45"/>
      <c r="J434" s="40"/>
      <c r="K434" s="40"/>
      <c r="L434" s="40"/>
      <c r="M434" s="40"/>
      <c r="N434" s="40"/>
      <c r="O434" s="40"/>
      <c r="P434" s="40"/>
    </row>
    <row r="435" spans="1:16" ht="12.75">
      <c r="A435" s="78"/>
      <c r="B435" s="33"/>
      <c r="C435" s="33"/>
      <c r="D435" s="33"/>
      <c r="E435" s="33"/>
      <c r="F435" s="33"/>
      <c r="G435" s="33"/>
      <c r="H435" s="43"/>
      <c r="I435" s="45"/>
      <c r="J435" s="40"/>
      <c r="K435" s="40"/>
      <c r="L435" s="40"/>
      <c r="M435" s="40"/>
      <c r="N435" s="40"/>
      <c r="O435" s="40"/>
      <c r="P435" s="40"/>
    </row>
    <row r="436" spans="1:16" ht="15.75">
      <c r="A436" s="42" t="s">
        <v>465</v>
      </c>
      <c r="B436" s="33"/>
      <c r="C436" s="33"/>
      <c r="D436" s="33"/>
      <c r="E436" s="33"/>
      <c r="F436" s="33"/>
      <c r="G436" s="33"/>
      <c r="H436" s="43"/>
      <c r="I436" s="45"/>
      <c r="J436" s="40"/>
      <c r="K436" s="40"/>
      <c r="L436" s="40"/>
      <c r="M436" s="40"/>
      <c r="N436" s="40"/>
      <c r="O436" s="40"/>
      <c r="P436" s="40"/>
    </row>
    <row r="437" spans="1:16" ht="15.75">
      <c r="A437" s="42" t="s">
        <v>744</v>
      </c>
      <c r="B437" s="33"/>
      <c r="C437" s="33"/>
      <c r="D437" s="33"/>
      <c r="E437" s="33"/>
      <c r="F437" s="33"/>
      <c r="G437" s="33"/>
      <c r="H437" s="43"/>
      <c r="I437" s="45"/>
      <c r="J437" s="40"/>
      <c r="K437" s="40"/>
      <c r="L437" s="40"/>
      <c r="M437" s="40"/>
      <c r="N437" s="40"/>
      <c r="O437" s="40"/>
      <c r="P437" s="40"/>
    </row>
    <row r="438" spans="1:16" ht="12.75">
      <c r="A438" s="34"/>
      <c r="B438" s="35"/>
      <c r="C438" s="35"/>
      <c r="D438" s="35"/>
      <c r="E438" s="35"/>
      <c r="F438" s="35"/>
      <c r="G438" s="35"/>
      <c r="H438" s="35"/>
      <c r="I438" s="45"/>
      <c r="J438" s="40"/>
      <c r="K438" s="40"/>
      <c r="L438" s="40"/>
      <c r="M438" s="40"/>
      <c r="N438" s="40"/>
      <c r="O438" s="40"/>
      <c r="P438" s="40"/>
    </row>
    <row r="439" spans="1:16" ht="12.75">
      <c r="A439" s="85"/>
      <c r="B439" s="86" t="s">
        <v>231</v>
      </c>
      <c r="C439" s="86"/>
      <c r="D439" s="86"/>
      <c r="E439" s="86"/>
      <c r="F439" s="86"/>
      <c r="G439" s="86"/>
      <c r="H439" s="87"/>
      <c r="I439" s="45"/>
      <c r="J439" s="40"/>
      <c r="K439" s="40"/>
      <c r="L439" s="40"/>
      <c r="M439" s="40"/>
      <c r="N439" s="40"/>
      <c r="O439" s="40"/>
      <c r="P439" s="40"/>
    </row>
    <row r="440" spans="1:16" ht="12.75">
      <c r="A440" s="85"/>
      <c r="B440" s="86" t="s">
        <v>127</v>
      </c>
      <c r="C440" s="86"/>
      <c r="D440" s="690" t="s">
        <v>472</v>
      </c>
      <c r="E440" s="691"/>
      <c r="F440" s="691"/>
      <c r="G440" s="691"/>
      <c r="H440" s="91" t="s">
        <v>14</v>
      </c>
      <c r="I440" s="45"/>
      <c r="J440" s="40"/>
      <c r="K440" s="40"/>
      <c r="L440" s="40"/>
      <c r="M440" s="40"/>
      <c r="N440" s="40"/>
      <c r="O440" s="40"/>
      <c r="P440" s="40"/>
    </row>
    <row r="441" spans="1:16" ht="36">
      <c r="A441" s="85"/>
      <c r="B441" s="92" t="s">
        <v>464</v>
      </c>
      <c r="C441" s="93" t="s">
        <v>463</v>
      </c>
      <c r="D441" s="94" t="s">
        <v>470</v>
      </c>
      <c r="E441" s="95" t="s">
        <v>12</v>
      </c>
      <c r="F441" s="92" t="s">
        <v>128</v>
      </c>
      <c r="G441" s="96" t="s">
        <v>474</v>
      </c>
      <c r="H441" s="97" t="s">
        <v>473</v>
      </c>
      <c r="I441" s="45"/>
      <c r="J441" s="40"/>
      <c r="K441" s="40"/>
      <c r="L441" s="40"/>
      <c r="M441" s="40"/>
      <c r="N441" s="40"/>
      <c r="O441" s="40"/>
      <c r="P441" s="40"/>
    </row>
    <row r="442" spans="1:41" ht="15.75" customHeight="1">
      <c r="A442" s="41" t="s">
        <v>421</v>
      </c>
      <c r="B442" s="197">
        <f>(' Pivot Table for Data Exchange'!$Q$7)*100</f>
        <v>0</v>
      </c>
      <c r="C442" s="197">
        <f>(' Pivot Table for Data Exchange'!$Q$10)*100</f>
        <v>0</v>
      </c>
      <c r="D442" s="113">
        <f>SUM(E442:G442)</f>
        <v>0</v>
      </c>
      <c r="E442" s="197">
        <f>(' Pivot Table for Data Exchange'!$Q$13)*100</f>
        <v>0</v>
      </c>
      <c r="F442" s="197">
        <f>(' Pivot Table for Data Exchange'!$Q$16)*100</f>
        <v>0</v>
      </c>
      <c r="G442" s="198">
        <f>(' Pivot Table for Data Exchange'!$Q$19)*100</f>
        <v>0</v>
      </c>
      <c r="H442" s="197">
        <f>(' Pivot Table for Data Exchange'!$Q$22)*100</f>
        <v>0</v>
      </c>
      <c r="I442" s="40"/>
      <c r="J442" s="112"/>
      <c r="K442" s="112"/>
      <c r="L442" s="112"/>
      <c r="M442" s="112"/>
      <c r="N442" s="112"/>
      <c r="O442" s="112"/>
      <c r="P442" s="112"/>
      <c r="Q442" s="39">
        <f aca="true" t="shared" si="54" ref="Q442:Q451">SUM(B442,C442,D442,H442)</f>
        <v>0</v>
      </c>
      <c r="R442" s="39">
        <f aca="true" t="shared" si="55" ref="R442:R451">SUM(J442,K442,L442,P442)</f>
        <v>0</v>
      </c>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row>
    <row r="443" spans="1:41" ht="15.75" customHeight="1">
      <c r="A443" s="40" t="s">
        <v>422</v>
      </c>
      <c r="B443" s="197">
        <f>(' Pivot Table for Data Exchange'!$Q$43)*100</f>
        <v>0</v>
      </c>
      <c r="C443" s="197">
        <f>(' Pivot Table for Data Exchange'!$Q$46)*100</f>
        <v>0</v>
      </c>
      <c r="D443" s="113">
        <f>SUM(E443:G443)</f>
        <v>0</v>
      </c>
      <c r="E443" s="197">
        <f>(' Pivot Table for Data Exchange'!$Q$49)*100</f>
        <v>0</v>
      </c>
      <c r="F443" s="197">
        <f>(' Pivot Table for Data Exchange'!$Q$52)*100</f>
        <v>0</v>
      </c>
      <c r="G443" s="199">
        <f>(' Pivot Table for Data Exchange'!$Q$55)*100</f>
        <v>0</v>
      </c>
      <c r="H443" s="197">
        <f>(' Pivot Table for Data Exchange'!$Q$58)*100</f>
        <v>0</v>
      </c>
      <c r="I443" s="40"/>
      <c r="J443" s="112"/>
      <c r="K443" s="112"/>
      <c r="L443" s="112"/>
      <c r="M443" s="112"/>
      <c r="N443" s="112"/>
      <c r="O443" s="112"/>
      <c r="P443" s="112"/>
      <c r="Q443" s="39">
        <f t="shared" si="54"/>
        <v>0</v>
      </c>
      <c r="R443" s="39">
        <f t="shared" si="55"/>
        <v>0</v>
      </c>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row>
    <row r="444" spans="1:41" ht="15.75" customHeight="1">
      <c r="A444" s="40" t="s">
        <v>423</v>
      </c>
      <c r="B444" s="197">
        <f>(' Pivot Table for Data Exchange'!$Q$79)*100</f>
        <v>0</v>
      </c>
      <c r="C444" s="197">
        <f>(' Pivot Table for Data Exchange'!$Q$82)*100</f>
        <v>0</v>
      </c>
      <c r="D444" s="113">
        <f>SUM(E444:G444)</f>
        <v>0</v>
      </c>
      <c r="E444" s="197">
        <f>(' Pivot Table for Data Exchange'!$Q$85)*100</f>
        <v>0</v>
      </c>
      <c r="F444" s="197">
        <f>(' Pivot Table for Data Exchange'!$Q$88)*100</f>
        <v>0</v>
      </c>
      <c r="G444" s="199">
        <f>(' Pivot Table for Data Exchange'!$Q$91)*100</f>
        <v>0</v>
      </c>
      <c r="H444" s="197">
        <f>(' Pivot Table for Data Exchange'!$Q$94)*100</f>
        <v>0</v>
      </c>
      <c r="I444" s="40"/>
      <c r="J444" s="112"/>
      <c r="K444" s="112"/>
      <c r="L444" s="112"/>
      <c r="M444" s="112"/>
      <c r="N444" s="112"/>
      <c r="O444" s="112"/>
      <c r="P444" s="112"/>
      <c r="Q444" s="39">
        <f t="shared" si="54"/>
        <v>0</v>
      </c>
      <c r="R444" s="39">
        <f t="shared" si="55"/>
        <v>0</v>
      </c>
      <c r="S444" s="47"/>
      <c r="T444" s="59"/>
      <c r="U444" s="47"/>
      <c r="V444" s="47"/>
      <c r="W444" s="47"/>
      <c r="X444" s="47"/>
      <c r="Y444" s="47"/>
      <c r="Z444" s="47"/>
      <c r="AA444" s="47"/>
      <c r="AB444" s="47"/>
      <c r="AC444" s="47"/>
      <c r="AD444" s="47"/>
      <c r="AE444" s="47"/>
      <c r="AF444" s="47"/>
      <c r="AG444" s="47"/>
      <c r="AH444" s="47"/>
      <c r="AI444" s="47"/>
      <c r="AJ444" s="47"/>
      <c r="AK444" s="47"/>
      <c r="AL444" s="47"/>
      <c r="AM444" s="47"/>
      <c r="AN444" s="47"/>
      <c r="AO444" s="47"/>
    </row>
    <row r="445" spans="1:41" ht="15.75" customHeight="1">
      <c r="A445" s="40" t="s">
        <v>424</v>
      </c>
      <c r="B445" s="197">
        <f>(' Pivot Table for Data Exchange'!$Q$115)*100</f>
        <v>0</v>
      </c>
      <c r="C445" s="197">
        <f>(' Pivot Table for Data Exchange'!$Q$118)*100</f>
        <v>0</v>
      </c>
      <c r="D445" s="113">
        <f>SUM(E445:G445)</f>
        <v>0</v>
      </c>
      <c r="E445" s="197">
        <f>(' Pivot Table for Data Exchange'!$Q$121)*100</f>
        <v>0</v>
      </c>
      <c r="F445" s="197">
        <f>(' Pivot Table for Data Exchange'!$Q$124)*100</f>
        <v>0</v>
      </c>
      <c r="G445" s="199">
        <f>(' Pivot Table for Data Exchange'!$Q$127)*100</f>
        <v>0</v>
      </c>
      <c r="H445" s="197">
        <f>(' Pivot Table for Data Exchange'!$Q$130)*100</f>
        <v>0</v>
      </c>
      <c r="I445" s="40"/>
      <c r="J445" s="112"/>
      <c r="K445" s="112"/>
      <c r="L445" s="112"/>
      <c r="M445" s="112"/>
      <c r="N445" s="112"/>
      <c r="O445" s="112"/>
      <c r="P445" s="112"/>
      <c r="Q445" s="39">
        <f t="shared" si="54"/>
        <v>0</v>
      </c>
      <c r="R445" s="39">
        <f t="shared" si="55"/>
        <v>0</v>
      </c>
      <c r="S445" s="47"/>
      <c r="U445" s="47"/>
      <c r="V445" s="47"/>
      <c r="W445" s="47"/>
      <c r="X445" s="47"/>
      <c r="Y445" s="47"/>
      <c r="Z445" s="47"/>
      <c r="AA445" s="47"/>
      <c r="AB445" s="47"/>
      <c r="AC445" s="47"/>
      <c r="AD445" s="47"/>
      <c r="AE445" s="47"/>
      <c r="AF445" s="47"/>
      <c r="AG445" s="47"/>
      <c r="AH445" s="47"/>
      <c r="AI445" s="47"/>
      <c r="AJ445" s="47"/>
      <c r="AK445" s="47"/>
      <c r="AL445" s="47"/>
      <c r="AM445" s="47"/>
      <c r="AN445" s="47"/>
      <c r="AO445" s="47"/>
    </row>
    <row r="446" spans="1:41" ht="15.75" customHeight="1">
      <c r="A446" s="40"/>
      <c r="B446" s="102"/>
      <c r="C446" s="103"/>
      <c r="D446" s="113"/>
      <c r="E446" s="102"/>
      <c r="F446" s="102"/>
      <c r="G446" s="103"/>
      <c r="H446" s="102"/>
      <c r="I446" s="40"/>
      <c r="J446" s="112"/>
      <c r="K446" s="112"/>
      <c r="L446" s="112"/>
      <c r="M446" s="112"/>
      <c r="N446" s="112"/>
      <c r="O446" s="112"/>
      <c r="P446" s="112"/>
      <c r="Q446" s="39">
        <f t="shared" si="54"/>
        <v>0</v>
      </c>
      <c r="R446" s="39">
        <f t="shared" si="55"/>
        <v>0</v>
      </c>
      <c r="S446" s="47"/>
      <c r="U446" s="47"/>
      <c r="V446" s="47"/>
      <c r="W446" s="47"/>
      <c r="X446" s="47"/>
      <c r="Y446" s="47"/>
      <c r="Z446" s="47"/>
      <c r="AA446" s="47"/>
      <c r="AB446" s="47"/>
      <c r="AC446" s="47"/>
      <c r="AD446" s="47"/>
      <c r="AE446" s="47"/>
      <c r="AF446" s="47"/>
      <c r="AG446" s="47"/>
      <c r="AH446" s="47"/>
      <c r="AI446" s="47"/>
      <c r="AJ446" s="47"/>
      <c r="AK446" s="47"/>
      <c r="AL446" s="47"/>
      <c r="AM446" s="47"/>
      <c r="AN446" s="47"/>
      <c r="AO446" s="47"/>
    </row>
    <row r="447" spans="1:41" ht="15.75" customHeight="1">
      <c r="A447" s="40" t="s">
        <v>425</v>
      </c>
      <c r="B447" s="197">
        <f>(' Pivot Table for Data Exchange'!$Q$151)*100</f>
        <v>87.59197672001663</v>
      </c>
      <c r="C447" s="197">
        <f>(' Pivot Table for Data Exchange'!$Q$154)*100</f>
        <v>0</v>
      </c>
      <c r="D447" s="113">
        <f>SUM(E447:G447)</f>
        <v>12.408023279983372</v>
      </c>
      <c r="E447" s="197">
        <f>(' Pivot Table for Data Exchange'!$Q$157)*100</f>
        <v>12.408023279983372</v>
      </c>
      <c r="F447" s="197">
        <f>(' Pivot Table for Data Exchange'!$Q$160)*100</f>
        <v>0</v>
      </c>
      <c r="G447" s="199">
        <f>(' Pivot Table for Data Exchange'!$Q$163)*100</f>
        <v>0</v>
      </c>
      <c r="H447" s="197">
        <f>(' Pivot Table for Data Exchange'!$Q$166)*100</f>
        <v>0</v>
      </c>
      <c r="I447" s="40"/>
      <c r="J447" s="112"/>
      <c r="K447" s="112"/>
      <c r="L447" s="112"/>
      <c r="M447" s="112"/>
      <c r="N447" s="112"/>
      <c r="O447" s="112"/>
      <c r="P447" s="112"/>
      <c r="Q447" s="39">
        <f t="shared" si="54"/>
        <v>100</v>
      </c>
      <c r="R447" s="39">
        <f t="shared" si="55"/>
        <v>0</v>
      </c>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row>
    <row r="448" spans="1:41" ht="15.75" customHeight="1">
      <c r="A448" s="40" t="s">
        <v>426</v>
      </c>
      <c r="B448" s="197">
        <f>(' Pivot Table for Data Exchange'!$Q$187)*100</f>
        <v>93.34166059470525</v>
      </c>
      <c r="C448" s="197">
        <f>(' Pivot Table for Data Exchange'!$Q$190)*100</f>
        <v>0.44759029874050177</v>
      </c>
      <c r="D448" s="113">
        <f>SUM(E448:G448)</f>
        <v>6.210749106554249</v>
      </c>
      <c r="E448" s="197">
        <f>(' Pivot Table for Data Exchange'!$Q$193)*100</f>
        <v>6.14135526178828</v>
      </c>
      <c r="F448" s="197">
        <f>(' Pivot Table for Data Exchange'!$Q$196)*100</f>
        <v>0.06939384476596926</v>
      </c>
      <c r="G448" s="199">
        <f>(' Pivot Table for Data Exchange'!$Q$199)*100</f>
        <v>0</v>
      </c>
      <c r="H448" s="197">
        <f>(' Pivot Table for Data Exchange'!$Q$202)*100</f>
        <v>0</v>
      </c>
      <c r="I448" s="40"/>
      <c r="J448" s="112"/>
      <c r="K448" s="112"/>
      <c r="L448" s="112"/>
      <c r="M448" s="112"/>
      <c r="N448" s="112"/>
      <c r="O448" s="112"/>
      <c r="P448" s="112"/>
      <c r="Q448" s="39">
        <f t="shared" si="54"/>
        <v>100</v>
      </c>
      <c r="R448" s="39">
        <f t="shared" si="55"/>
        <v>0</v>
      </c>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row>
    <row r="449" spans="1:41" ht="15.75" customHeight="1">
      <c r="A449" s="40" t="s">
        <v>427</v>
      </c>
      <c r="B449" s="197">
        <f>(' Pivot Table for Data Exchange'!$Q$223)*100</f>
        <v>100</v>
      </c>
      <c r="C449" s="197">
        <f>(' Pivot Table for Data Exchange'!$Q$226)*100</f>
        <v>0</v>
      </c>
      <c r="D449" s="113">
        <f>SUM(E449:G449)</f>
        <v>0</v>
      </c>
      <c r="E449" s="197">
        <f>(' Pivot Table for Data Exchange'!$Q$229)*100</f>
        <v>0</v>
      </c>
      <c r="F449" s="197">
        <f>(' Pivot Table for Data Exchange'!$Q$232)*100</f>
        <v>0</v>
      </c>
      <c r="G449" s="199">
        <f>(' Pivot Table for Data Exchange'!$Q$235)*100</f>
        <v>0</v>
      </c>
      <c r="H449" s="197">
        <f>(' Pivot Table for Data Exchange'!$Q$238)*100</f>
        <v>0</v>
      </c>
      <c r="I449" s="40"/>
      <c r="J449" s="112"/>
      <c r="K449" s="112"/>
      <c r="L449" s="112"/>
      <c r="M449" s="112"/>
      <c r="N449" s="112"/>
      <c r="O449" s="112"/>
      <c r="P449" s="112"/>
      <c r="Q449" s="39">
        <f t="shared" si="54"/>
        <v>100</v>
      </c>
      <c r="R449" s="39">
        <f t="shared" si="55"/>
        <v>0</v>
      </c>
      <c r="S449" s="47"/>
      <c r="T449" s="59"/>
      <c r="U449" s="47"/>
      <c r="V449" s="47"/>
      <c r="W449" s="47"/>
      <c r="X449" s="47"/>
      <c r="Y449" s="47"/>
      <c r="Z449" s="47"/>
      <c r="AA449" s="47"/>
      <c r="AB449" s="47"/>
      <c r="AC449" s="47"/>
      <c r="AD449" s="47"/>
      <c r="AE449" s="47"/>
      <c r="AF449" s="47"/>
      <c r="AG449" s="47"/>
      <c r="AH449" s="47"/>
      <c r="AI449" s="47"/>
      <c r="AJ449" s="47"/>
      <c r="AK449" s="47"/>
      <c r="AL449" s="47"/>
      <c r="AM449" s="47"/>
      <c r="AN449" s="47"/>
      <c r="AO449" s="47"/>
    </row>
    <row r="450" spans="1:41" ht="15.75" customHeight="1">
      <c r="A450" s="40" t="s">
        <v>428</v>
      </c>
      <c r="B450" s="197">
        <f>(' Pivot Table for Data Exchange'!$Q$259)*100</f>
        <v>0</v>
      </c>
      <c r="C450" s="197">
        <f>(' Pivot Table for Data Exchange'!$Q$262)*100</f>
        <v>0</v>
      </c>
      <c r="D450" s="113">
        <f>SUM(E450:G450)</f>
        <v>0</v>
      </c>
      <c r="E450" s="197">
        <f>(' Pivot Table for Data Exchange'!$Q$265)*100</f>
        <v>0</v>
      </c>
      <c r="F450" s="197">
        <f>(' Pivot Table for Data Exchange'!$Q$268)*100</f>
        <v>0</v>
      </c>
      <c r="G450" s="199">
        <f>(' Pivot Table for Data Exchange'!$Q$271)*100</f>
        <v>0</v>
      </c>
      <c r="H450" s="197">
        <f>(' Pivot Table for Data Exchange'!$Q$274)*100</f>
        <v>0</v>
      </c>
      <c r="I450" s="40"/>
      <c r="J450" s="112"/>
      <c r="K450" s="112"/>
      <c r="L450" s="112"/>
      <c r="M450" s="112"/>
      <c r="N450" s="112"/>
      <c r="O450" s="112"/>
      <c r="P450" s="112"/>
      <c r="Q450" s="39">
        <f t="shared" si="54"/>
        <v>0</v>
      </c>
      <c r="R450" s="39">
        <f t="shared" si="55"/>
        <v>0</v>
      </c>
      <c r="S450" s="47"/>
      <c r="U450" s="47"/>
      <c r="V450" s="47"/>
      <c r="W450" s="47"/>
      <c r="X450" s="47"/>
      <c r="Y450" s="47"/>
      <c r="Z450" s="47"/>
      <c r="AA450" s="47"/>
      <c r="AB450" s="47"/>
      <c r="AC450" s="47"/>
      <c r="AD450" s="47"/>
      <c r="AE450" s="47"/>
      <c r="AF450" s="47"/>
      <c r="AG450" s="47"/>
      <c r="AH450" s="47"/>
      <c r="AI450" s="47"/>
      <c r="AJ450" s="47"/>
      <c r="AK450" s="47"/>
      <c r="AL450" s="47"/>
      <c r="AM450" s="47"/>
      <c r="AN450" s="47"/>
      <c r="AO450" s="47"/>
    </row>
    <row r="451" spans="1:41" ht="15.75" customHeight="1">
      <c r="A451" s="40"/>
      <c r="B451" s="102"/>
      <c r="C451" s="103"/>
      <c r="D451" s="113"/>
      <c r="E451" s="102"/>
      <c r="F451" s="102"/>
      <c r="G451" s="103"/>
      <c r="H451" s="102"/>
      <c r="I451" s="40"/>
      <c r="J451" s="112"/>
      <c r="K451" s="112"/>
      <c r="L451" s="112"/>
      <c r="M451" s="112"/>
      <c r="N451" s="112"/>
      <c r="O451" s="112"/>
      <c r="P451" s="112"/>
      <c r="Q451" s="39">
        <f t="shared" si="54"/>
        <v>0</v>
      </c>
      <c r="R451" s="39">
        <f t="shared" si="55"/>
        <v>0</v>
      </c>
      <c r="S451" s="47"/>
      <c r="U451" s="47"/>
      <c r="V451" s="47"/>
      <c r="W451" s="47"/>
      <c r="X451" s="47"/>
      <c r="Y451" s="47"/>
      <c r="Z451" s="47"/>
      <c r="AA451" s="47"/>
      <c r="AB451" s="47"/>
      <c r="AC451" s="47"/>
      <c r="AD451" s="47"/>
      <c r="AE451" s="47"/>
      <c r="AF451" s="47"/>
      <c r="AG451" s="47"/>
      <c r="AH451" s="47"/>
      <c r="AI451" s="47"/>
      <c r="AJ451" s="47"/>
      <c r="AK451" s="47"/>
      <c r="AL451" s="47"/>
      <c r="AM451" s="47"/>
      <c r="AN451" s="47"/>
      <c r="AO451" s="47"/>
    </row>
    <row r="452" spans="1:41" ht="15.75" customHeight="1">
      <c r="A452" s="40" t="s">
        <v>122</v>
      </c>
      <c r="B452" s="197">
        <f>(' Pivot Table for Data Exchange'!$Q$295)*100</f>
        <v>0</v>
      </c>
      <c r="C452" s="197">
        <f>(' Pivot Table for Data Exchange'!$Q$298)*100</f>
        <v>0</v>
      </c>
      <c r="D452" s="113">
        <f>SUM(E452:G452)</f>
        <v>0</v>
      </c>
      <c r="E452" s="197">
        <f>(' Pivot Table for Data Exchange'!$Q$301)*100</f>
        <v>0</v>
      </c>
      <c r="F452" s="197">
        <f>(' Pivot Table for Data Exchange'!$Q$304)*100</f>
        <v>0</v>
      </c>
      <c r="G452" s="199">
        <f>(' Pivot Table for Data Exchange'!$Q$307)*100</f>
        <v>0</v>
      </c>
      <c r="H452" s="197">
        <f>(' Pivot Table for Data Exchange'!$Q$310)*100</f>
        <v>0</v>
      </c>
      <c r="I452" s="40"/>
      <c r="J452" s="112"/>
      <c r="K452" s="112"/>
      <c r="L452" s="112"/>
      <c r="M452" s="112"/>
      <c r="N452" s="112"/>
      <c r="O452" s="112"/>
      <c r="P452" s="112"/>
      <c r="Q452" s="39">
        <f aca="true" t="shared" si="56" ref="Q452:Q460">SUM(B452,C452,D452,H452)</f>
        <v>0</v>
      </c>
      <c r="R452" s="39">
        <f aca="true" t="shared" si="57" ref="R452:R460">SUM(J452,K452,L452,P452)</f>
        <v>0</v>
      </c>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row>
    <row r="453" spans="1:41" ht="15.75" customHeight="1">
      <c r="A453" s="40" t="s">
        <v>130</v>
      </c>
      <c r="B453" s="197">
        <f>(' Pivot Table for Data Exchange'!$Q$331)*100</f>
        <v>0</v>
      </c>
      <c r="C453" s="197">
        <f>(' Pivot Table for Data Exchange'!$Q$334)*100</f>
        <v>0</v>
      </c>
      <c r="D453" s="113">
        <f>SUM(E453:G453)</f>
        <v>0</v>
      </c>
      <c r="E453" s="197">
        <f>(' Pivot Table for Data Exchange'!$Q$337)*100</f>
        <v>0</v>
      </c>
      <c r="F453" s="197">
        <f>(' Pivot Table for Data Exchange'!$Q$340)*100</f>
        <v>0</v>
      </c>
      <c r="G453" s="199">
        <f>(' Pivot Table for Data Exchange'!$Q$343)*100</f>
        <v>0</v>
      </c>
      <c r="H453" s="197">
        <f>(' Pivot Table for Data Exchange'!$Q$346)*100</f>
        <v>0</v>
      </c>
      <c r="I453" s="40"/>
      <c r="J453" s="112"/>
      <c r="K453" s="112"/>
      <c r="L453" s="112"/>
      <c r="M453" s="112"/>
      <c r="N453" s="112"/>
      <c r="O453" s="112"/>
      <c r="P453" s="112"/>
      <c r="Q453" s="39">
        <f t="shared" si="56"/>
        <v>0</v>
      </c>
      <c r="R453" s="39">
        <f t="shared" si="57"/>
        <v>0</v>
      </c>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row>
    <row r="454" spans="1:41" ht="15.75" customHeight="1">
      <c r="A454" s="40" t="s">
        <v>123</v>
      </c>
      <c r="B454" s="197">
        <f>(' Pivot Table for Data Exchange'!$Q$367)*100</f>
        <v>0</v>
      </c>
      <c r="C454" s="197">
        <f>(' Pivot Table for Data Exchange'!$Q$370)*100</f>
        <v>0</v>
      </c>
      <c r="D454" s="113">
        <f>SUM(E454:G454)</f>
        <v>0</v>
      </c>
      <c r="E454" s="197">
        <f>(' Pivot Table for Data Exchange'!$Q$373)*100</f>
        <v>0</v>
      </c>
      <c r="F454" s="197">
        <f>(' Pivot Table for Data Exchange'!$Q$376)*100</f>
        <v>0</v>
      </c>
      <c r="G454" s="199">
        <f>(' Pivot Table for Data Exchange'!$Q$379)*100</f>
        <v>0</v>
      </c>
      <c r="H454" s="197">
        <f>(' Pivot Table for Data Exchange'!$Q$382)*100</f>
        <v>0</v>
      </c>
      <c r="I454" s="40"/>
      <c r="J454" s="112"/>
      <c r="K454" s="112"/>
      <c r="L454" s="112"/>
      <c r="M454" s="112"/>
      <c r="N454" s="112"/>
      <c r="O454" s="112"/>
      <c r="P454" s="112"/>
      <c r="Q454" s="39">
        <f t="shared" si="56"/>
        <v>0</v>
      </c>
      <c r="R454" s="39">
        <f t="shared" si="57"/>
        <v>0</v>
      </c>
      <c r="S454" s="47"/>
      <c r="T454" s="59"/>
      <c r="U454" s="47"/>
      <c r="V454" s="47"/>
      <c r="W454" s="47"/>
      <c r="X454" s="47"/>
      <c r="Y454" s="47"/>
      <c r="Z454" s="47"/>
      <c r="AA454" s="47"/>
      <c r="AB454" s="47"/>
      <c r="AC454" s="47"/>
      <c r="AD454" s="47"/>
      <c r="AE454" s="47"/>
      <c r="AF454" s="47"/>
      <c r="AG454" s="47"/>
      <c r="AH454" s="47"/>
      <c r="AI454" s="47"/>
      <c r="AJ454" s="47"/>
      <c r="AK454" s="47"/>
      <c r="AL454" s="47"/>
      <c r="AM454" s="47"/>
      <c r="AN454" s="47"/>
      <c r="AO454" s="47"/>
    </row>
    <row r="455" spans="1:41" ht="15.75" customHeight="1">
      <c r="A455" s="40" t="s">
        <v>429</v>
      </c>
      <c r="B455" s="197"/>
      <c r="C455" s="197"/>
      <c r="D455" s="113"/>
      <c r="E455" s="197"/>
      <c r="F455" s="197"/>
      <c r="G455" s="199"/>
      <c r="H455" s="197"/>
      <c r="I455" s="40"/>
      <c r="J455" s="112"/>
      <c r="K455" s="112"/>
      <c r="L455" s="112"/>
      <c r="M455" s="112"/>
      <c r="N455" s="112"/>
      <c r="O455" s="112"/>
      <c r="P455" s="112"/>
      <c r="Q455" s="39">
        <f t="shared" si="56"/>
        <v>0</v>
      </c>
      <c r="R455" s="39">
        <f t="shared" si="57"/>
        <v>0</v>
      </c>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row>
    <row r="456" spans="1:41" ht="15.75" customHeight="1">
      <c r="A456" s="40"/>
      <c r="B456" s="197"/>
      <c r="C456" s="197"/>
      <c r="D456" s="113"/>
      <c r="E456" s="197"/>
      <c r="F456" s="197"/>
      <c r="G456" s="199"/>
      <c r="H456" s="197"/>
      <c r="I456" s="40"/>
      <c r="J456" s="112"/>
      <c r="K456" s="112"/>
      <c r="L456" s="112"/>
      <c r="M456" s="112"/>
      <c r="N456" s="112"/>
      <c r="O456" s="112"/>
      <c r="P456" s="112"/>
      <c r="Q456" s="39"/>
      <c r="R456" s="39"/>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row>
    <row r="457" spans="1:41" ht="15.75" customHeight="1">
      <c r="A457" s="40" t="s">
        <v>430</v>
      </c>
      <c r="B457" s="197"/>
      <c r="C457" s="197"/>
      <c r="D457" s="113"/>
      <c r="E457" s="197"/>
      <c r="F457" s="197"/>
      <c r="G457" s="199"/>
      <c r="H457" s="197"/>
      <c r="I457" s="40"/>
      <c r="J457" s="112"/>
      <c r="K457" s="112"/>
      <c r="L457" s="112"/>
      <c r="M457" s="112"/>
      <c r="N457" s="112"/>
      <c r="O457" s="112"/>
      <c r="P457" s="112"/>
      <c r="Q457" s="39">
        <f t="shared" si="56"/>
        <v>0</v>
      </c>
      <c r="R457" s="39">
        <f t="shared" si="57"/>
        <v>0</v>
      </c>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row>
    <row r="458" spans="1:41" ht="15.75" customHeight="1">
      <c r="A458" s="40" t="s">
        <v>229</v>
      </c>
      <c r="B458" s="197">
        <f>(' Pivot Table for Data Exchange'!$Q$403)*100</f>
        <v>0</v>
      </c>
      <c r="C458" s="197">
        <f>(' Pivot Table for Data Exchange'!$Q$406)*100</f>
        <v>0</v>
      </c>
      <c r="D458" s="113">
        <f>SUM(E458:G458)</f>
        <v>0</v>
      </c>
      <c r="E458" s="197">
        <f>(' Pivot Table for Data Exchange'!$Q$409)*100</f>
        <v>0</v>
      </c>
      <c r="F458" s="197">
        <f>(' Pivot Table for Data Exchange'!$Q$412)*100</f>
        <v>0</v>
      </c>
      <c r="G458" s="199">
        <f>(' Pivot Table for Data Exchange'!$Q$415)*100</f>
        <v>0</v>
      </c>
      <c r="H458" s="197">
        <f>(' Pivot Table for Data Exchange'!$Q$418)*100</f>
        <v>0</v>
      </c>
      <c r="I458" s="40"/>
      <c r="J458" s="112"/>
      <c r="K458" s="112"/>
      <c r="L458" s="112"/>
      <c r="M458" s="112"/>
      <c r="N458" s="112"/>
      <c r="O458" s="112"/>
      <c r="P458" s="112"/>
      <c r="Q458" s="39">
        <f t="shared" si="56"/>
        <v>0</v>
      </c>
      <c r="R458" s="39">
        <f t="shared" si="57"/>
        <v>0</v>
      </c>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row>
    <row r="459" spans="1:41" ht="15.75" customHeight="1">
      <c r="A459" s="40" t="s">
        <v>431</v>
      </c>
      <c r="B459" s="197">
        <f>(' Pivot Table for Data Exchange'!$Q$511)*100</f>
        <v>0</v>
      </c>
      <c r="C459" s="197">
        <f>(' Pivot Table for Data Exchange'!$Q$514)*100</f>
        <v>0</v>
      </c>
      <c r="D459" s="113">
        <f>SUM(E459:G459)</f>
        <v>0</v>
      </c>
      <c r="E459" s="197">
        <f>(' Pivot Table for Data Exchange'!$Q$517)*100</f>
        <v>0</v>
      </c>
      <c r="F459" s="197">
        <f>(' Pivot Table for Data Exchange'!$Q$520)*100</f>
        <v>0</v>
      </c>
      <c r="G459" s="199">
        <f>(' Pivot Table for Data Exchange'!$Q$523)*100</f>
        <v>0</v>
      </c>
      <c r="H459" s="197">
        <f>(' Pivot Table for Data Exchange'!$Q$526)*100</f>
        <v>0</v>
      </c>
      <c r="I459" s="40"/>
      <c r="J459" s="112"/>
      <c r="K459" s="112"/>
      <c r="L459" s="112"/>
      <c r="M459" s="112"/>
      <c r="N459" s="112"/>
      <c r="O459" s="112"/>
      <c r="P459" s="112"/>
      <c r="Q459" s="39">
        <f t="shared" si="56"/>
        <v>0</v>
      </c>
      <c r="R459" s="39">
        <f t="shared" si="57"/>
        <v>0</v>
      </c>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row>
    <row r="460" spans="1:41" ht="15.75" customHeight="1">
      <c r="A460" s="34" t="s">
        <v>124</v>
      </c>
      <c r="B460" s="201">
        <f>(' Pivot Table for Data Exchange'!$Q$439)*100</f>
        <v>0</v>
      </c>
      <c r="C460" s="201">
        <f>(' Pivot Table for Data Exchange'!$Q$442)*100</f>
        <v>0</v>
      </c>
      <c r="D460" s="114">
        <f>SUM(E460:G460)</f>
        <v>0</v>
      </c>
      <c r="E460" s="201">
        <f>(' Pivot Table for Data Exchange'!$Q$445)*100</f>
        <v>0</v>
      </c>
      <c r="F460" s="201">
        <f>(' Pivot Table for Data Exchange'!$Q$448)*100</f>
        <v>0</v>
      </c>
      <c r="G460" s="202">
        <f>(' Pivot Table for Data Exchange'!$Q$451)*100</f>
        <v>0</v>
      </c>
      <c r="H460" s="201">
        <f>(' Pivot Table for Data Exchange'!$Q$454)*100</f>
        <v>0</v>
      </c>
      <c r="I460" s="40"/>
      <c r="J460" s="112"/>
      <c r="K460" s="112"/>
      <c r="L460" s="112"/>
      <c r="M460" s="112"/>
      <c r="N460" s="112"/>
      <c r="O460" s="112"/>
      <c r="P460" s="112"/>
      <c r="Q460" s="39">
        <f t="shared" si="56"/>
        <v>0</v>
      </c>
      <c r="R460" s="39">
        <f t="shared" si="57"/>
        <v>0</v>
      </c>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row>
    <row r="461" spans="1:41" s="64" customFormat="1" ht="18" customHeight="1">
      <c r="A461" s="115" t="s">
        <v>477</v>
      </c>
      <c r="B461" s="68"/>
      <c r="C461" s="68"/>
      <c r="D461" s="69"/>
      <c r="E461" s="68"/>
      <c r="F461" s="69"/>
      <c r="G461" s="69"/>
      <c r="H461" s="68"/>
      <c r="I461" s="115"/>
      <c r="J461" s="68"/>
      <c r="K461" s="68"/>
      <c r="L461" s="69"/>
      <c r="M461" s="68"/>
      <c r="N461" s="69"/>
      <c r="O461" s="69"/>
      <c r="P461" s="68"/>
      <c r="Q461" s="68"/>
      <c r="R461" s="68"/>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row>
    <row r="462" spans="1:41" s="64" customFormat="1" ht="18" customHeight="1">
      <c r="A462" s="115"/>
      <c r="B462" s="68"/>
      <c r="C462" s="68"/>
      <c r="D462" s="69"/>
      <c r="E462" s="68"/>
      <c r="F462" s="69"/>
      <c r="G462" s="69"/>
      <c r="H462" s="68"/>
      <c r="I462" s="115"/>
      <c r="J462" s="68"/>
      <c r="K462" s="68"/>
      <c r="L462" s="69"/>
      <c r="M462" s="68"/>
      <c r="N462" s="69"/>
      <c r="O462" s="69"/>
      <c r="P462" s="68"/>
      <c r="Q462" s="68"/>
      <c r="R462" s="68"/>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row>
    <row r="463" spans="1:18" s="64" customFormat="1" ht="13.5" customHeight="1">
      <c r="A463" s="115"/>
      <c r="B463" s="63"/>
      <c r="H463" s="559" t="s">
        <v>766</v>
      </c>
      <c r="I463" s="115"/>
      <c r="P463" s="65"/>
      <c r="Q463" s="66"/>
      <c r="R463" s="67"/>
    </row>
    <row r="464" spans="1:18" s="64" customFormat="1" ht="13.5" customHeight="1">
      <c r="A464" s="116"/>
      <c r="H464" s="62"/>
      <c r="I464" s="116"/>
      <c r="Q464" s="66"/>
      <c r="R464" s="67"/>
    </row>
    <row r="465" spans="1:18" s="64" customFormat="1" ht="13.5" customHeight="1">
      <c r="A465" s="116"/>
      <c r="H465" s="62"/>
      <c r="I465" s="116"/>
      <c r="Q465" s="66"/>
      <c r="R465" s="67"/>
    </row>
    <row r="466" spans="9:16" ht="12.75">
      <c r="I466" s="45"/>
      <c r="J466" s="40"/>
      <c r="K466" s="40"/>
      <c r="L466" s="40"/>
      <c r="M466" s="40"/>
      <c r="N466" s="40"/>
      <c r="O466" s="40"/>
      <c r="P466" s="40"/>
    </row>
    <row r="467" spans="9:16" ht="12.75">
      <c r="I467" s="45"/>
      <c r="J467" s="40"/>
      <c r="K467" s="40"/>
      <c r="L467" s="40"/>
      <c r="M467" s="40"/>
      <c r="N467" s="40"/>
      <c r="O467" s="40"/>
      <c r="P467" s="40"/>
    </row>
    <row r="468" spans="9:16" ht="12.75">
      <c r="I468" s="45"/>
      <c r="J468" s="40"/>
      <c r="K468" s="40"/>
      <c r="L468" s="40"/>
      <c r="M468" s="40"/>
      <c r="N468" s="40"/>
      <c r="O468" s="40"/>
      <c r="P468" s="40"/>
    </row>
    <row r="469" spans="9:16" ht="12.75">
      <c r="I469" s="45"/>
      <c r="J469" s="40"/>
      <c r="K469" s="40"/>
      <c r="L469" s="40"/>
      <c r="M469" s="40"/>
      <c r="N469" s="40"/>
      <c r="O469" s="40"/>
      <c r="P469" s="40"/>
    </row>
    <row r="470" spans="9:16" ht="12.75">
      <c r="I470" s="45"/>
      <c r="J470" s="40"/>
      <c r="K470" s="40"/>
      <c r="L470" s="40"/>
      <c r="M470" s="40"/>
      <c r="N470" s="40"/>
      <c r="O470" s="40"/>
      <c r="P470" s="40"/>
    </row>
    <row r="471" spans="9:16" ht="12.75">
      <c r="I471" s="45"/>
      <c r="J471" s="40"/>
      <c r="K471" s="40"/>
      <c r="L471" s="40"/>
      <c r="M471" s="40"/>
      <c r="N471" s="40"/>
      <c r="O471" s="40"/>
      <c r="P471" s="40"/>
    </row>
    <row r="472" spans="9:16" ht="12.75">
      <c r="I472" s="45"/>
      <c r="J472" s="40"/>
      <c r="K472" s="40"/>
      <c r="L472" s="40"/>
      <c r="M472" s="40"/>
      <c r="N472" s="40"/>
      <c r="O472" s="40"/>
      <c r="P472" s="40"/>
    </row>
    <row r="473" spans="9:16" ht="12.75">
      <c r="I473" s="45"/>
      <c r="J473" s="40"/>
      <c r="K473" s="40"/>
      <c r="L473" s="40"/>
      <c r="M473" s="40"/>
      <c r="N473" s="40"/>
      <c r="O473" s="40"/>
      <c r="P473" s="40"/>
    </row>
    <row r="474" spans="9:16" ht="12.75">
      <c r="I474" s="45"/>
      <c r="J474" s="40"/>
      <c r="K474" s="40"/>
      <c r="L474" s="40"/>
      <c r="M474" s="40"/>
      <c r="N474" s="40"/>
      <c r="O474" s="40"/>
      <c r="P474" s="40"/>
    </row>
    <row r="475" spans="9:16" ht="12.75">
      <c r="I475" s="45"/>
      <c r="J475" s="40"/>
      <c r="K475" s="40"/>
      <c r="L475" s="40"/>
      <c r="M475" s="40"/>
      <c r="N475" s="40"/>
      <c r="O475" s="40"/>
      <c r="P475" s="40"/>
    </row>
    <row r="476" spans="9:16" ht="12.75">
      <c r="I476" s="45"/>
      <c r="J476" s="40"/>
      <c r="K476" s="40"/>
      <c r="L476" s="40"/>
      <c r="M476" s="40"/>
      <c r="N476" s="40"/>
      <c r="O476" s="40"/>
      <c r="P476" s="40"/>
    </row>
    <row r="477" spans="9:16" ht="12.75">
      <c r="I477" s="45"/>
      <c r="J477" s="40"/>
      <c r="K477" s="40"/>
      <c r="L477" s="40"/>
      <c r="M477" s="40"/>
      <c r="N477" s="40"/>
      <c r="O477" s="40"/>
      <c r="P477" s="40"/>
    </row>
    <row r="478" spans="9:16" ht="12.75">
      <c r="I478" s="45"/>
      <c r="J478" s="40"/>
      <c r="K478" s="40"/>
      <c r="L478" s="40"/>
      <c r="M478" s="40"/>
      <c r="N478" s="40"/>
      <c r="O478" s="40"/>
      <c r="P478" s="40"/>
    </row>
    <row r="479" spans="9:16" ht="12.75">
      <c r="I479" s="45"/>
      <c r="J479" s="40"/>
      <c r="K479" s="40"/>
      <c r="L479" s="40"/>
      <c r="M479" s="40"/>
      <c r="N479" s="40"/>
      <c r="O479" s="40"/>
      <c r="P479" s="40"/>
    </row>
    <row r="480" spans="9:16" ht="12.75">
      <c r="I480" s="45"/>
      <c r="J480" s="40"/>
      <c r="K480" s="40"/>
      <c r="L480" s="40"/>
      <c r="M480" s="40"/>
      <c r="N480" s="40"/>
      <c r="O480" s="40"/>
      <c r="P480" s="40"/>
    </row>
    <row r="481" spans="9:16" ht="12.75">
      <c r="I481" s="45"/>
      <c r="J481" s="40"/>
      <c r="K481" s="40"/>
      <c r="L481" s="40"/>
      <c r="M481" s="40"/>
      <c r="N481" s="40"/>
      <c r="O481" s="40"/>
      <c r="P481" s="40"/>
    </row>
    <row r="482" spans="9:16" ht="12.75">
      <c r="I482" s="45"/>
      <c r="J482" s="40"/>
      <c r="K482" s="40"/>
      <c r="L482" s="40"/>
      <c r="M482" s="40"/>
      <c r="N482" s="40"/>
      <c r="O482" s="40"/>
      <c r="P482" s="40"/>
    </row>
    <row r="483" spans="9:16" ht="12.75">
      <c r="I483" s="45"/>
      <c r="J483" s="40"/>
      <c r="K483" s="40"/>
      <c r="L483" s="40"/>
      <c r="M483" s="40"/>
      <c r="N483" s="40"/>
      <c r="O483" s="40"/>
      <c r="P483" s="40"/>
    </row>
    <row r="484" spans="9:16" ht="12.75">
      <c r="I484" s="45"/>
      <c r="J484" s="40"/>
      <c r="K484" s="40"/>
      <c r="L484" s="40"/>
      <c r="M484" s="40"/>
      <c r="N484" s="40"/>
      <c r="O484" s="40"/>
      <c r="P484" s="40"/>
    </row>
    <row r="485" spans="9:16" ht="12.75">
      <c r="I485" s="45"/>
      <c r="J485" s="40"/>
      <c r="K485" s="40"/>
      <c r="L485" s="40"/>
      <c r="M485" s="40"/>
      <c r="N485" s="40"/>
      <c r="O485" s="40"/>
      <c r="P485" s="40"/>
    </row>
    <row r="486" spans="9:16" ht="12.75">
      <c r="I486" s="45"/>
      <c r="J486" s="40"/>
      <c r="K486" s="40"/>
      <c r="L486" s="40"/>
      <c r="M486" s="40"/>
      <c r="N486" s="40"/>
      <c r="O486" s="40"/>
      <c r="P486" s="40"/>
    </row>
    <row r="487" spans="9:16" ht="12.75">
      <c r="I487" s="45"/>
      <c r="J487" s="40"/>
      <c r="K487" s="40"/>
      <c r="L487" s="40"/>
      <c r="M487" s="40"/>
      <c r="N487" s="40"/>
      <c r="O487" s="40"/>
      <c r="P487" s="40"/>
    </row>
    <row r="488" spans="9:16" ht="12.75">
      <c r="I488" s="45"/>
      <c r="J488" s="40"/>
      <c r="K488" s="40"/>
      <c r="L488" s="40"/>
      <c r="M488" s="40"/>
      <c r="N488" s="40"/>
      <c r="O488" s="40"/>
      <c r="P488" s="40"/>
    </row>
    <row r="489" spans="9:16" ht="12.75">
      <c r="I489" s="45"/>
      <c r="J489" s="40"/>
      <c r="K489" s="40"/>
      <c r="L489" s="40"/>
      <c r="M489" s="40"/>
      <c r="N489" s="40"/>
      <c r="O489" s="40"/>
      <c r="P489" s="40"/>
    </row>
    <row r="490" spans="9:16" ht="12.75">
      <c r="I490" s="45"/>
      <c r="J490" s="40"/>
      <c r="K490" s="40"/>
      <c r="L490" s="40"/>
      <c r="M490" s="40"/>
      <c r="N490" s="40"/>
      <c r="O490" s="40"/>
      <c r="P490" s="40"/>
    </row>
    <row r="491" spans="9:16" ht="12.75">
      <c r="I491" s="45"/>
      <c r="J491" s="40"/>
      <c r="K491" s="40"/>
      <c r="L491" s="40"/>
      <c r="M491" s="40"/>
      <c r="N491" s="40"/>
      <c r="O491" s="40"/>
      <c r="P491" s="40"/>
    </row>
    <row r="492" spans="9:16" ht="12.75">
      <c r="I492" s="45"/>
      <c r="J492" s="40"/>
      <c r="K492" s="40"/>
      <c r="L492" s="40"/>
      <c r="M492" s="40"/>
      <c r="N492" s="40"/>
      <c r="O492" s="40"/>
      <c r="P492" s="40"/>
    </row>
    <row r="493" spans="9:16" ht="12.75">
      <c r="I493" s="45"/>
      <c r="J493" s="40"/>
      <c r="K493" s="40"/>
      <c r="L493" s="40"/>
      <c r="M493" s="40"/>
      <c r="N493" s="40"/>
      <c r="O493" s="40"/>
      <c r="P493" s="40"/>
    </row>
    <row r="494" spans="9:16" ht="12.75">
      <c r="I494" s="45"/>
      <c r="J494" s="40"/>
      <c r="K494" s="40"/>
      <c r="L494" s="40"/>
      <c r="M494" s="40"/>
      <c r="N494" s="40"/>
      <c r="O494" s="40"/>
      <c r="P494" s="40"/>
    </row>
    <row r="495" spans="9:16" ht="12.75">
      <c r="I495" s="45"/>
      <c r="J495" s="40"/>
      <c r="K495" s="40"/>
      <c r="L495" s="40"/>
      <c r="M495" s="40"/>
      <c r="N495" s="40"/>
      <c r="O495" s="40"/>
      <c r="P495" s="40"/>
    </row>
    <row r="496" spans="9:16" ht="12.75">
      <c r="I496" s="45"/>
      <c r="J496" s="40"/>
      <c r="K496" s="40"/>
      <c r="L496" s="40"/>
      <c r="M496" s="40"/>
      <c r="N496" s="40"/>
      <c r="O496" s="40"/>
      <c r="P496" s="40"/>
    </row>
    <row r="497" spans="9:16" ht="12.75">
      <c r="I497" s="45"/>
      <c r="J497" s="40"/>
      <c r="K497" s="40"/>
      <c r="L497" s="40"/>
      <c r="M497" s="40"/>
      <c r="N497" s="40"/>
      <c r="O497" s="40"/>
      <c r="P497" s="40"/>
    </row>
    <row r="498" spans="9:16" ht="12.75">
      <c r="I498" s="45"/>
      <c r="J498" s="40"/>
      <c r="K498" s="40"/>
      <c r="L498" s="40"/>
      <c r="M498" s="40"/>
      <c r="N498" s="40"/>
      <c r="O498" s="40"/>
      <c r="P498" s="40"/>
    </row>
    <row r="499" spans="9:16" ht="12.75">
      <c r="I499" s="45"/>
      <c r="J499" s="40"/>
      <c r="K499" s="40"/>
      <c r="L499" s="40"/>
      <c r="M499" s="40"/>
      <c r="N499" s="40"/>
      <c r="O499" s="40"/>
      <c r="P499" s="40"/>
    </row>
    <row r="500" spans="9:16" ht="12.75">
      <c r="I500" s="45"/>
      <c r="J500" s="40"/>
      <c r="K500" s="40"/>
      <c r="L500" s="40"/>
      <c r="M500" s="40"/>
      <c r="N500" s="40"/>
      <c r="O500" s="40"/>
      <c r="P500" s="40"/>
    </row>
    <row r="501" spans="9:16" ht="12.75">
      <c r="I501" s="45"/>
      <c r="J501" s="40"/>
      <c r="K501" s="40"/>
      <c r="L501" s="40"/>
      <c r="M501" s="40"/>
      <c r="N501" s="40"/>
      <c r="O501" s="40"/>
      <c r="P501" s="40"/>
    </row>
    <row r="502" spans="9:16" ht="12.75">
      <c r="I502" s="45"/>
      <c r="J502" s="40"/>
      <c r="K502" s="40"/>
      <c r="L502" s="40"/>
      <c r="M502" s="40"/>
      <c r="N502" s="40"/>
      <c r="O502" s="40"/>
      <c r="P502" s="40"/>
    </row>
    <row r="503" spans="9:16" ht="12.75">
      <c r="I503" s="45"/>
      <c r="J503" s="40"/>
      <c r="K503" s="40"/>
      <c r="L503" s="40"/>
      <c r="M503" s="40"/>
      <c r="N503" s="40"/>
      <c r="O503" s="40"/>
      <c r="P503" s="40"/>
    </row>
    <row r="504" spans="9:16" ht="12.75">
      <c r="I504" s="45"/>
      <c r="J504" s="40"/>
      <c r="K504" s="40"/>
      <c r="L504" s="40"/>
      <c r="M504" s="40"/>
      <c r="N504" s="40"/>
      <c r="O504" s="40"/>
      <c r="P504" s="40"/>
    </row>
    <row r="505" spans="9:16" ht="12.75">
      <c r="I505" s="45"/>
      <c r="J505" s="40"/>
      <c r="K505" s="40"/>
      <c r="L505" s="40"/>
      <c r="M505" s="40"/>
      <c r="N505" s="40"/>
      <c r="O505" s="40"/>
      <c r="P505" s="40"/>
    </row>
    <row r="506" spans="9:16" ht="12.75">
      <c r="I506" s="45"/>
      <c r="J506" s="40"/>
      <c r="K506" s="40"/>
      <c r="L506" s="40"/>
      <c r="M506" s="40"/>
      <c r="N506" s="40"/>
      <c r="O506" s="40"/>
      <c r="P506" s="40"/>
    </row>
    <row r="507" spans="9:16" ht="12.75">
      <c r="I507" s="45"/>
      <c r="J507" s="40"/>
      <c r="K507" s="40"/>
      <c r="L507" s="40"/>
      <c r="M507" s="40"/>
      <c r="N507" s="40"/>
      <c r="O507" s="40"/>
      <c r="P507" s="40"/>
    </row>
    <row r="508" spans="9:16" ht="12.75">
      <c r="I508" s="45"/>
      <c r="J508" s="40"/>
      <c r="K508" s="40"/>
      <c r="L508" s="40"/>
      <c r="M508" s="40"/>
      <c r="N508" s="40"/>
      <c r="O508" s="40"/>
      <c r="P508" s="40"/>
    </row>
    <row r="509" spans="9:16" ht="12.75">
      <c r="I509" s="45"/>
      <c r="J509" s="40"/>
      <c r="K509" s="40"/>
      <c r="L509" s="40"/>
      <c r="M509" s="40"/>
      <c r="N509" s="40"/>
      <c r="O509" s="40"/>
      <c r="P509" s="40"/>
    </row>
    <row r="510" spans="9:16" ht="12.75">
      <c r="I510" s="45"/>
      <c r="J510" s="40"/>
      <c r="K510" s="40"/>
      <c r="L510" s="40"/>
      <c r="M510" s="40"/>
      <c r="N510" s="40"/>
      <c r="O510" s="40"/>
      <c r="P510" s="40"/>
    </row>
    <row r="511" spans="9:16" ht="12.75">
      <c r="I511" s="45"/>
      <c r="J511" s="40"/>
      <c r="K511" s="40"/>
      <c r="L511" s="40"/>
      <c r="M511" s="40"/>
      <c r="N511" s="40"/>
      <c r="O511" s="40"/>
      <c r="P511" s="40"/>
    </row>
    <row r="512" spans="9:16" ht="12.75">
      <c r="I512" s="45"/>
      <c r="J512" s="40"/>
      <c r="K512" s="40"/>
      <c r="L512" s="40"/>
      <c r="M512" s="40"/>
      <c r="N512" s="40"/>
      <c r="O512" s="40"/>
      <c r="P512" s="40"/>
    </row>
    <row r="513" spans="9:16" ht="12.75">
      <c r="I513" s="45"/>
      <c r="J513" s="40"/>
      <c r="K513" s="40"/>
      <c r="L513" s="40"/>
      <c r="M513" s="40"/>
      <c r="N513" s="40"/>
      <c r="O513" s="40"/>
      <c r="P513" s="40"/>
    </row>
    <row r="514" spans="9:16" ht="12.75">
      <c r="I514" s="45"/>
      <c r="J514" s="40"/>
      <c r="K514" s="40"/>
      <c r="L514" s="40"/>
      <c r="M514" s="40"/>
      <c r="N514" s="40"/>
      <c r="O514" s="40"/>
      <c r="P514" s="40"/>
    </row>
    <row r="515" spans="9:16" ht="12.75">
      <c r="I515" s="45"/>
      <c r="J515" s="40"/>
      <c r="K515" s="40"/>
      <c r="L515" s="40"/>
      <c r="M515" s="40"/>
      <c r="N515" s="40"/>
      <c r="O515" s="40"/>
      <c r="P515" s="40"/>
    </row>
    <row r="516" spans="9:16" ht="12.75">
      <c r="I516" s="45"/>
      <c r="J516" s="40"/>
      <c r="K516" s="40"/>
      <c r="L516" s="40"/>
      <c r="M516" s="40"/>
      <c r="N516" s="40"/>
      <c r="O516" s="40"/>
      <c r="P516" s="40"/>
    </row>
    <row r="517" spans="9:16" ht="12.75">
      <c r="I517" s="45"/>
      <c r="J517" s="40"/>
      <c r="K517" s="40"/>
      <c r="L517" s="40"/>
      <c r="M517" s="40"/>
      <c r="N517" s="40"/>
      <c r="O517" s="40"/>
      <c r="P517" s="40"/>
    </row>
    <row r="518" spans="9:16" ht="12.75">
      <c r="I518" s="45"/>
      <c r="J518" s="40"/>
      <c r="K518" s="40"/>
      <c r="L518" s="40"/>
      <c r="M518" s="40"/>
      <c r="N518" s="40"/>
      <c r="O518" s="40"/>
      <c r="P518" s="40"/>
    </row>
    <row r="519" spans="9:16" ht="12.75">
      <c r="I519" s="45"/>
      <c r="J519" s="40"/>
      <c r="K519" s="40"/>
      <c r="L519" s="40"/>
      <c r="M519" s="40"/>
      <c r="N519" s="40"/>
      <c r="O519" s="40"/>
      <c r="P519" s="40"/>
    </row>
    <row r="520" spans="9:16" ht="12.75">
      <c r="I520" s="45"/>
      <c r="J520" s="40"/>
      <c r="K520" s="40"/>
      <c r="L520" s="40"/>
      <c r="M520" s="40"/>
      <c r="N520" s="40"/>
      <c r="O520" s="40"/>
      <c r="P520" s="40"/>
    </row>
    <row r="521" spans="9:16" ht="12.75">
      <c r="I521" s="45"/>
      <c r="J521" s="40"/>
      <c r="K521" s="40"/>
      <c r="L521" s="40"/>
      <c r="M521" s="40"/>
      <c r="N521" s="40"/>
      <c r="O521" s="40"/>
      <c r="P521" s="40"/>
    </row>
    <row r="522" spans="9:16" ht="12.75">
      <c r="I522" s="45"/>
      <c r="J522" s="40"/>
      <c r="K522" s="40"/>
      <c r="L522" s="40"/>
      <c r="M522" s="40"/>
      <c r="N522" s="40"/>
      <c r="O522" s="40"/>
      <c r="P522" s="40"/>
    </row>
    <row r="523" spans="9:16" ht="12.75">
      <c r="I523" s="45"/>
      <c r="J523" s="40"/>
      <c r="K523" s="40"/>
      <c r="L523" s="40"/>
      <c r="M523" s="40"/>
      <c r="N523" s="40"/>
      <c r="O523" s="40"/>
      <c r="P523" s="40"/>
    </row>
    <row r="524" spans="9:16" ht="12.75">
      <c r="I524" s="45"/>
      <c r="J524" s="40"/>
      <c r="K524" s="40"/>
      <c r="L524" s="40"/>
      <c r="M524" s="40"/>
      <c r="N524" s="40"/>
      <c r="O524" s="40"/>
      <c r="P524" s="40"/>
    </row>
    <row r="525" spans="9:16" ht="12.75">
      <c r="I525" s="45"/>
      <c r="J525" s="40"/>
      <c r="K525" s="40"/>
      <c r="L525" s="40"/>
      <c r="M525" s="40"/>
      <c r="N525" s="40"/>
      <c r="O525" s="40"/>
      <c r="P525" s="40"/>
    </row>
    <row r="526" spans="9:16" ht="12.75">
      <c r="I526" s="45"/>
      <c r="J526" s="40"/>
      <c r="K526" s="40"/>
      <c r="L526" s="40"/>
      <c r="M526" s="40"/>
      <c r="N526" s="40"/>
      <c r="O526" s="40"/>
      <c r="P526" s="40"/>
    </row>
    <row r="527" spans="9:16" ht="12.75">
      <c r="I527" s="45"/>
      <c r="J527" s="40"/>
      <c r="K527" s="40"/>
      <c r="L527" s="40"/>
      <c r="M527" s="40"/>
      <c r="N527" s="40"/>
      <c r="O527" s="40"/>
      <c r="P527" s="40"/>
    </row>
    <row r="528" spans="9:16" ht="12.75">
      <c r="I528" s="45"/>
      <c r="J528" s="40"/>
      <c r="K528" s="40"/>
      <c r="L528" s="40"/>
      <c r="M528" s="40"/>
      <c r="N528" s="40"/>
      <c r="O528" s="40"/>
      <c r="P528" s="40"/>
    </row>
    <row r="529" spans="9:16" ht="12.75">
      <c r="I529" s="45"/>
      <c r="J529" s="40"/>
      <c r="K529" s="40"/>
      <c r="L529" s="40"/>
      <c r="M529" s="40"/>
      <c r="N529" s="40"/>
      <c r="O529" s="40"/>
      <c r="P529" s="40"/>
    </row>
    <row r="530" spans="9:16" ht="12.75">
      <c r="I530" s="45"/>
      <c r="J530" s="40"/>
      <c r="K530" s="40"/>
      <c r="L530" s="40"/>
      <c r="M530" s="40"/>
      <c r="N530" s="40"/>
      <c r="O530" s="40"/>
      <c r="P530" s="40"/>
    </row>
    <row r="531" spans="9:16" ht="12.75">
      <c r="I531" s="45"/>
      <c r="J531" s="40"/>
      <c r="K531" s="40"/>
      <c r="L531" s="40"/>
      <c r="M531" s="40"/>
      <c r="N531" s="40"/>
      <c r="O531" s="40"/>
      <c r="P531" s="40"/>
    </row>
    <row r="532" spans="9:16" ht="12.75">
      <c r="I532" s="45"/>
      <c r="J532" s="40"/>
      <c r="K532" s="40"/>
      <c r="L532" s="40"/>
      <c r="M532" s="40"/>
      <c r="N532" s="40"/>
      <c r="O532" s="40"/>
      <c r="P532" s="40"/>
    </row>
    <row r="533" spans="9:16" ht="12.75">
      <c r="I533" s="45"/>
      <c r="J533" s="40"/>
      <c r="K533" s="40"/>
      <c r="L533" s="40"/>
      <c r="M533" s="40"/>
      <c r="N533" s="40"/>
      <c r="O533" s="40"/>
      <c r="P533" s="40"/>
    </row>
    <row r="534" spans="9:16" ht="12.75">
      <c r="I534" s="45"/>
      <c r="J534" s="40"/>
      <c r="K534" s="40"/>
      <c r="L534" s="40"/>
      <c r="M534" s="40"/>
      <c r="N534" s="40"/>
      <c r="O534" s="40"/>
      <c r="P534" s="40"/>
    </row>
  </sheetData>
  <mergeCells count="42">
    <mergeCell ref="D409:G409"/>
    <mergeCell ref="D440:G440"/>
    <mergeCell ref="D286:G286"/>
    <mergeCell ref="D317:G317"/>
    <mergeCell ref="D348:G348"/>
    <mergeCell ref="D379:G379"/>
    <mergeCell ref="A339:H339"/>
    <mergeCell ref="A370:H370"/>
    <mergeCell ref="D193:G193"/>
    <mergeCell ref="L132:O132"/>
    <mergeCell ref="L162:O162"/>
    <mergeCell ref="L193:O193"/>
    <mergeCell ref="D132:G132"/>
    <mergeCell ref="D70:G70"/>
    <mergeCell ref="L70:O70"/>
    <mergeCell ref="D101:G101"/>
    <mergeCell ref="L39:O39"/>
    <mergeCell ref="L101:O101"/>
    <mergeCell ref="B100:H100"/>
    <mergeCell ref="A92:H92"/>
    <mergeCell ref="I92:P92"/>
    <mergeCell ref="Q2:X2"/>
    <mergeCell ref="A29:H29"/>
    <mergeCell ref="I29:P29"/>
    <mergeCell ref="A61:H61"/>
    <mergeCell ref="I61:P61"/>
    <mergeCell ref="A30:H30"/>
    <mergeCell ref="I30:P30"/>
    <mergeCell ref="D7:G7"/>
    <mergeCell ref="L7:O7"/>
    <mergeCell ref="D39:G39"/>
    <mergeCell ref="A123:H123"/>
    <mergeCell ref="I123:P123"/>
    <mergeCell ref="A184:H184"/>
    <mergeCell ref="I184:P184"/>
    <mergeCell ref="D162:G162"/>
    <mergeCell ref="A215:H215"/>
    <mergeCell ref="I215:P215"/>
    <mergeCell ref="A246:H246"/>
    <mergeCell ref="A308:H308"/>
    <mergeCell ref="D224:G224"/>
    <mergeCell ref="D255:G255"/>
  </mergeCells>
  <printOptions horizontalCentered="1"/>
  <pageMargins left="1" right="1" top="1" bottom="0.75" header="0.75" footer="0.5"/>
  <pageSetup firstPageNumber="60" useFirstPageNumber="1" horizontalDpi="600" verticalDpi="600" orientation="landscape" r:id="rId1"/>
  <headerFooter alignWithMargins="0">
    <oddHeader>&amp;R&amp;8SREB-State Data Exchange</oddHeader>
    <oddFooter>&amp;C&amp;P</oddFooter>
  </headerFooter>
  <rowBreaks count="13" manualBreakCount="13">
    <brk id="32" max="15" man="1"/>
    <brk id="63" max="15" man="1"/>
    <brk id="125" max="15" man="1"/>
    <brk id="155" max="15" man="1"/>
    <brk id="186" max="15" man="1"/>
    <brk id="217" max="15" man="1"/>
    <brk id="248" max="15" man="1"/>
    <brk id="279" max="15" man="1"/>
    <brk id="310" max="15" man="1"/>
    <brk id="341" max="15" man="1"/>
    <brk id="372" max="15" man="1"/>
    <brk id="402" max="15" man="1"/>
    <brk id="433" max="15" man="1"/>
  </rowBreaks>
  <colBreaks count="1" manualBreakCount="1">
    <brk id="8" max="4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JLM</cp:lastModifiedBy>
  <cp:lastPrinted>2007-11-29T17:10:43Z</cp:lastPrinted>
  <dcterms:created xsi:type="dcterms:W3CDTF">2002-04-04T16:20:35Z</dcterms:created>
  <dcterms:modified xsi:type="dcterms:W3CDTF">2007-11-29T17:11:23Z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920242129</vt:i4>
  </property>
  <property fmtid="{D5CDD505-2E9C-101B-9397-08002B2CF9AE}" pid="3" name="_EmailSubject">
    <vt:lpwstr>WV's SREB E-learning Pilot</vt:lpwstr>
  </property>
  <property fmtid="{D5CDD505-2E9C-101B-9397-08002B2CF9AE}" pid="4" name="_AuthorEmail">
    <vt:lpwstr>reedjr@HEPC.WVNET.EDU</vt:lpwstr>
  </property>
  <property fmtid="{D5CDD505-2E9C-101B-9397-08002B2CF9AE}" pid="5" name="_AuthorEmailDisplayName">
    <vt:lpwstr>Jeannie Reed</vt:lpwstr>
  </property>
  <property fmtid="{D5CDD505-2E9C-101B-9397-08002B2CF9AE}" pid="6" name="_ReviewingToolsShownOnce">
    <vt:lpwstr/>
  </property>
</Properties>
</file>