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87" sheetId="1" r:id="rId1"/>
    <sheet name="TUIT_T" sheetId="2" r:id="rId2"/>
    <sheet name="TUIT_S" sheetId="3" r:id="rId3"/>
    <sheet name="TUITS_T" sheetId="4" r:id="rId4"/>
    <sheet name="TUIT%PI_S" sheetId="5" r:id="rId5"/>
    <sheet name="TUIT%PI_D" sheetId="6" r:id="rId6"/>
    <sheet name="TUIT%PI_4Y" sheetId="7" r:id="rId7"/>
    <sheet name="TUIT%PI_2Y" sheetId="8" r:id="rId8"/>
  </sheets>
  <definedNames>
    <definedName name="\p">'Tuit87'!$B$560</definedName>
    <definedName name="__123Graph_ATUIT%PI_S" hidden="1">'Tuit87'!$AB$63:$AB$81</definedName>
    <definedName name="__123Graph_ATUIT_S" hidden="1">'Tuit87'!$W$63:$W$81</definedName>
    <definedName name="__123Graph_ATUITS_T" hidden="1">'Tuit87'!$W$44:$W$59</definedName>
    <definedName name="__123Graph_CTUITS_T" hidden="1">'Tuit87'!$X$44:$X$59</definedName>
    <definedName name="__123Graph_DTUIT%PI_S" hidden="1">'Tuit87'!$AC$63:$AC$81</definedName>
    <definedName name="__123Graph_DTUIT_S" hidden="1">'Tuit87'!$X$63:$X$81</definedName>
    <definedName name="__123Graph_ETUITS_T" hidden="1">'Tuit87'!$Y$44:$Y$59</definedName>
    <definedName name="__123Graph_F" hidden="1">'Tuit87'!$AB$63:$AB$81</definedName>
    <definedName name="__123Graph_FTUIT%PI_2Y" hidden="1">'Tuit87'!$AD$63:$AD$81</definedName>
    <definedName name="__123Graph_FTUIT%PI_4Y" hidden="1">'Tuit87'!$AC$63:$AC$81</definedName>
    <definedName name="__123Graph_FTUIT%PI_D" hidden="1">'Tuit87'!$AB$63:$AB$81</definedName>
    <definedName name="__123Graph_FTUIT%PI_S" hidden="1">'Tuit87'!$AD$63:$AD$81</definedName>
    <definedName name="__123Graph_FTUIT_S" hidden="1">'Tuit87'!$Y$63:$Y$81</definedName>
    <definedName name="__123Graph_FTUIT_T" hidden="1">'Tuit87'!$W$44:$W$59</definedName>
    <definedName name="__123Graph_FTUITS_T" hidden="1">'Tuit87'!$Z$44:$Z$59</definedName>
    <definedName name="__123Graph_LBL_ATUITS_T" hidden="1">'Tuit87'!$W$44:$W$44</definedName>
    <definedName name="__123Graph_LBL_CTUITS_T" hidden="1">'Tuit87'!$X$44:$X$44</definedName>
    <definedName name="__123Graph_LBL_ETUITS_T" hidden="1">'Tuit87'!$Y$44:$Y$44</definedName>
    <definedName name="__123Graph_LBL_F" hidden="1">'Tuit87'!$AB$63:$AB$81</definedName>
    <definedName name="__123Graph_LBL_FTUIT%PI_2Y" hidden="1">'Tuit87'!$AD$63:$AD$81</definedName>
    <definedName name="__123Graph_LBL_FTUIT%PI_4Y" hidden="1">'Tuit87'!$AC$63:$AC$81</definedName>
    <definedName name="__123Graph_LBL_FTUIT%PI_D" hidden="1">'Tuit87'!$AB$63:$AB$81</definedName>
    <definedName name="__123Graph_LBL_FTUIT_T" hidden="1">'Tuit87'!$W$44:$W$59</definedName>
    <definedName name="__123Graph_LBL_FTUITS_T" hidden="1">'Tuit87'!$Z$44:$Z$44</definedName>
    <definedName name="__123Graph_X" hidden="1">'Tuit87'!$V$63:$V$81</definedName>
    <definedName name="__123Graph_XTUIT%PI_2Y" hidden="1">'Tuit87'!$V$63:$V$81</definedName>
    <definedName name="__123Graph_XTUIT%PI_4Y" hidden="1">'Tuit87'!$V$63:$V$81</definedName>
    <definedName name="__123Graph_XTUIT%PI_D" hidden="1">'Tuit87'!$V$63:$V$81</definedName>
    <definedName name="__123Graph_XTUIT%PI_S" hidden="1">'Tuit87'!$V$63:$V$81</definedName>
    <definedName name="__123Graph_XTUIT_S" hidden="1">'Tuit87'!$V$63:$V$81</definedName>
    <definedName name="__123Graph_XTUIT_T" hidden="1">'Tuit87'!$V$44:$V$59</definedName>
    <definedName name="__123Graph_XTUITS_T" hidden="1">'Tuit87'!$V$44:$V$59</definedName>
    <definedName name="_Key1" hidden="1">'Tuit87'!$CE$20</definedName>
    <definedName name="_Key2" hidden="1">'Tuit87'!$CE$21:$CO$39</definedName>
    <definedName name="_Order1" hidden="1">255</definedName>
    <definedName name="_Order2" hidden="1">0</definedName>
    <definedName name="_Regression_Int" localSheetId="0" hidden="1">1</definedName>
    <definedName name="_Sort" hidden="1">'Tuit87'!$CE$21:$CO$39</definedName>
    <definedName name="AL_DAT">'Tuit87'!$B$24:$T$40</definedName>
    <definedName name="AL2YR">'Tuit87'!$AI$63:$AJ$67</definedName>
    <definedName name="AL4YR">'Tuit87'!$AG$63:$AH$66</definedName>
    <definedName name="ALDOC">'Tuit87'!$AE$63:$AF$66</definedName>
    <definedName name="AR_DAT">'Tuit87'!$B$41:$T$61</definedName>
    <definedName name="AR2YR">'Tuit87'!$AI$68:$AJ$72</definedName>
    <definedName name="AR4YR">'Tuit87'!$AG$68:$AH$71</definedName>
    <definedName name="ARDOC">'Tuit87'!$AE$68:$AF$71</definedName>
    <definedName name="CRALL">'Tuit87'!$AG$33:$AG$34</definedName>
    <definedName name="CRB">'Tuit87'!$AB$33:$AB$34</definedName>
    <definedName name="CRD1">'Tuit87'!$W$33:$W$34</definedName>
    <definedName name="CRD2">'Tuit87'!$X$33:$X$34</definedName>
    <definedName name="CRD3">'Tuit87'!$Y$33:$Y$34</definedName>
    <definedName name="CRITERIA">'Tuit87'!$AF$33:$AF$34</definedName>
    <definedName name="Criteria_MI">'Tuit87'!$AF$33:$AF$34</definedName>
    <definedName name="CRM1">'Tuit87'!$Z$33:$Z$34</definedName>
    <definedName name="CRM2">'Tuit87'!$AA$33:$AA$34</definedName>
    <definedName name="CRT1">'Tuit87'!$AC$33:$AC$34</definedName>
    <definedName name="CRT2">'Tuit87'!$AD$33:$AD$34</definedName>
    <definedName name="CRT3">'Tuit87'!$AE$33:$AE$34</definedName>
    <definedName name="CRT4">'Tuit87'!$AF$33:$AF$34</definedName>
    <definedName name="DATABASE">'Tuit87'!$B$23:$T$549</definedName>
    <definedName name="Database_MI">'Tuit87'!$B$23:$T$549</definedName>
    <definedName name="DB">'Tuit87'!$B$23:$T$549</definedName>
    <definedName name="FL_DAT">'Tuit87'!$B$62:$T$98</definedName>
    <definedName name="FL2YR">'Tuit87'!$AI$73:$AJ$77</definedName>
    <definedName name="FL4YR">'Tuit87'!$AG$73:$AH$76</definedName>
    <definedName name="FLDOC">'Tuit87'!$AE$73:$AF$76</definedName>
    <definedName name="GA_DAT">'Tuit87'!$B$100:$T$165</definedName>
    <definedName name="GA2YR">'Tuit87'!$AI$78:$AJ$82</definedName>
    <definedName name="GA4YR">'Tuit87'!$AG$78:$AH$81</definedName>
    <definedName name="GADOC">'Tuit87'!$AE$78:$AF$81</definedName>
    <definedName name="KY_DAT">'Tuit87'!$B$166:$T$175</definedName>
    <definedName name="KY2YR">'Tuit87'!$AI$83:$AJ$87</definedName>
    <definedName name="KY4YR">'Tuit87'!$AG$83:$AH$86</definedName>
    <definedName name="KYDOC">'Tuit87'!$AE$83:$AF$86</definedName>
    <definedName name="LA_DAT">'Tuit87'!$B$176:$T$195</definedName>
    <definedName name="LA2YR">'Tuit87'!$AI$88:$AJ$92</definedName>
    <definedName name="LA4YR">'Tuit87'!$AG$88:$AH$91</definedName>
    <definedName name="LADOC">'Tuit87'!$AE$88:$AF$91</definedName>
    <definedName name="MD_DAT">'Tuit87'!$B$196:$T$224</definedName>
    <definedName name="MD2YR">'Tuit87'!$AI$93:$AJ$97</definedName>
    <definedName name="MD4YR">'Tuit87'!$AG$93:$AH$96</definedName>
    <definedName name="MDDOC">'Tuit87'!$AE$93:$AF$96</definedName>
    <definedName name="MS_DAT">'Tuit87'!$B$225:$T$248</definedName>
    <definedName name="MS2YR">'Tuit87'!$AI$98:$AJ$103</definedName>
    <definedName name="MS4YR">'Tuit87'!$AG$98:$AH$101</definedName>
    <definedName name="MSDOC">'Tuit87'!$AE$98:$AF$101</definedName>
    <definedName name="N_10">'Tuit87'!$CF$19:$CO$39</definedName>
    <definedName name="N_7">'Tuit87'!$AN$19:$AY$39</definedName>
    <definedName name="N_8">'Tuit87'!$BE$19:$BL$39</definedName>
    <definedName name="N_9">'Tuit87'!$BP$19:$CA$39</definedName>
    <definedName name="NC_DAT">'Tuit87'!$B$249:$T$322</definedName>
    <definedName name="NC2YR">'Tuit87'!$AI$104:$AJ$108</definedName>
    <definedName name="NC4YR">'Tuit87'!$AG$104:$AH$107</definedName>
    <definedName name="NCDOC">'Tuit87'!$AE$104:$AF$107</definedName>
    <definedName name="OK_DAT">'Tuit87'!$B$323:$T$351</definedName>
    <definedName name="OK2YR">'Tuit87'!$AI$109:$AJ$113</definedName>
    <definedName name="OK4YR">'Tuit87'!$AG$109:$AH$112</definedName>
    <definedName name="OKDOC">'Tuit87'!$AE$109:$AF$112</definedName>
    <definedName name="_xlnm.Print_Area" localSheetId="0">'Tuit87'!$CC$3:$CO$45</definedName>
    <definedName name="Print_Area_MI" localSheetId="0">'Tuit87'!$CC$3:$CO$45</definedName>
    <definedName name="REG2YR">'Tuit87'!$AI$139:$AJ$143</definedName>
    <definedName name="REG4YR">'Tuit87'!$AG$139:$AH$142</definedName>
    <definedName name="REGDOC">'Tuit87'!$AE$139:$AF$142</definedName>
    <definedName name="SC_DAT">'Tuit87'!$B$352:$T$384</definedName>
    <definedName name="SC2YR">'Tuit87'!$AI$114:$AJ$118</definedName>
    <definedName name="SC4YR">'Tuit87'!$AG$114:$AH$117</definedName>
    <definedName name="SCDOC">'Tuit87'!$AE$114:$AF$117</definedName>
    <definedName name="TAB_10">'Tuit87'!$CC$3:$CO$45</definedName>
    <definedName name="TAB_7">'Tuit87'!$AL$3:$AY$44</definedName>
    <definedName name="TAB_8">'Tuit87'!$BB$3:$BL$46</definedName>
    <definedName name="TAB_9">'Tuit87'!$BN$3:$CA$44</definedName>
    <definedName name="TABLES">'Tuit87'!$A$557:$P$734</definedName>
    <definedName name="TN_DAT">'Tuit87'!$B$385:$T$411</definedName>
    <definedName name="TN2YR">'Tuit87'!$AI$119:$AJ$123</definedName>
    <definedName name="TN4YR">'Tuit87'!$AG$119:$AH$122</definedName>
    <definedName name="TNDOC">'Tuit87'!$AE$119:$AF$122</definedName>
    <definedName name="TX_DAT">'Tuit87'!$B$412:$T$515</definedName>
    <definedName name="TX2YR">'Tuit87'!$AI$124:$AJ$128</definedName>
    <definedName name="TX4YR">'Tuit87'!$AG$124:$AH$127</definedName>
    <definedName name="TXDOC">'Tuit87'!$AE$124:$AF$127</definedName>
    <definedName name="VA_DAT">'Tuit87'!$B$516:$T$533</definedName>
    <definedName name="VA2YR">'Tuit87'!$AI$129:$AJ$133</definedName>
    <definedName name="VA4YR">'Tuit87'!$AG$129:$AH$132</definedName>
    <definedName name="VADOC">'Tuit87'!$AE$129:$AF$132</definedName>
    <definedName name="WV_DAT">'Tuit87'!$B$534:$T$549</definedName>
    <definedName name="WV2YR">'Tuit87'!$AI$134:$AJ$138</definedName>
    <definedName name="WV4YR">'Tuit87'!$AG$134:$AH$137</definedName>
    <definedName name="WVDOC">'Tuit87'!$AE$134:$AF$137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<sst xmlns="http://schemas.openxmlformats.org/spreadsheetml/2006/main" count="3263" uniqueCount="683">
  <si>
    <t xml:space="preserve">          1986-87 SREB State Data Exchange</t>
  </si>
  <si>
    <t>|</t>
  </si>
  <si>
    <t>Part V</t>
  </si>
  <si>
    <t xml:space="preserve">      Table 7</t>
  </si>
  <si>
    <t xml:space="preserve">      Table 9</t>
  </si>
  <si>
    <t>Table 10</t>
  </si>
  <si>
    <t xml:space="preserve">  This LOTUS 1-2-3 worksheet contains the following areas:</t>
  </si>
  <si>
    <t xml:space="preserve">      Table 8</t>
  </si>
  <si>
    <t>*</t>
  </si>
  <si>
    <t>*******</t>
  </si>
  <si>
    <t xml:space="preserve">     Median Annual Tuition and Required Fees</t>
  </si>
  <si>
    <t xml:space="preserve">        Median Annual Tuition and Required Fees</t>
  </si>
  <si>
    <t xml:space="preserve">   This Introduction</t>
  </si>
  <si>
    <t xml:space="preserve">     *</t>
  </si>
  <si>
    <t xml:space="preserve">  Full-Time Resident and Non-Resident Undergraduate Students</t>
  </si>
  <si>
    <t xml:space="preserve">     Full-Time Resident and Non-Resident Graduate Students</t>
  </si>
  <si>
    <t xml:space="preserve">                 Full-Time Resident and Non-Resident Professional Students</t>
  </si>
  <si>
    <t xml:space="preserve">  Public Four-Year Institutions</t>
  </si>
  <si>
    <t xml:space="preserve">              Full-Time Resident and Non-Resident Undergraduate Students</t>
  </si>
  <si>
    <t xml:space="preserve">   Public Institutions</t>
  </si>
  <si>
    <t xml:space="preserve">    SREB States</t>
  </si>
  <si>
    <t xml:space="preserve">   Public Two-Year Institutions</t>
  </si>
  <si>
    <t xml:space="preserve">       SREB States</t>
  </si>
  <si>
    <t>FB</t>
  </si>
  <si>
    <t>Tables</t>
  </si>
  <si>
    <t xml:space="preserve">      1986-87</t>
  </si>
  <si>
    <t xml:space="preserve"> 1986-87</t>
  </si>
  <si>
    <t xml:space="preserve">   Data Base from Surveys</t>
  </si>
  <si>
    <t>Table</t>
  </si>
  <si>
    <t>7-10</t>
  </si>
  <si>
    <t>Graph Settings</t>
  </si>
  <si>
    <t>_</t>
  </si>
  <si>
    <t xml:space="preserve">   Doctoral</t>
  </si>
  <si>
    <t xml:space="preserve">   Master's</t>
  </si>
  <si>
    <t xml:space="preserve">     Law</t>
  </si>
  <si>
    <t xml:space="preserve">   Medicine</t>
  </si>
  <si>
    <t xml:space="preserve">   Dentistry</t>
  </si>
  <si>
    <t xml:space="preserve">  Optometry</t>
  </si>
  <si>
    <t xml:space="preserve"> Vet. Medicine</t>
  </si>
  <si>
    <t>-</t>
  </si>
  <si>
    <t>------</t>
  </si>
  <si>
    <t xml:space="preserve"> Baccalaureate</t>
  </si>
  <si>
    <t xml:space="preserve">       I</t>
  </si>
  <si>
    <t xml:space="preserve">      II</t>
  </si>
  <si>
    <t xml:space="preserve">     III</t>
  </si>
  <si>
    <t xml:space="preserve">      III</t>
  </si>
  <si>
    <t xml:space="preserve">      IV</t>
  </si>
  <si>
    <t xml:space="preserve">  Res. Non-Res.</t>
  </si>
  <si>
    <t>Median SREB-State</t>
  </si>
  <si>
    <t>Median SREB State</t>
  </si>
  <si>
    <t>******</t>
  </si>
  <si>
    <t>Regional Mean Undergraduate Tuition</t>
  </si>
  <si>
    <t>Alabama</t>
  </si>
  <si>
    <t>Arkansas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</si>
  <si>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</si>
  <si>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</si>
  <si>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</si>
  <si>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</si>
  <si>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</si>
  <si>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</si>
  <si>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</si>
  <si>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</si>
  <si>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</si>
  <si>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</si>
  <si>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</si>
  <si>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</si>
  <si>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</si>
  <si>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</si>
  <si>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</si>
  <si>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</si>
  <si>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</si>
  <si>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</si>
  <si>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</si>
  <si>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Other 4-Year</t>
  </si>
  <si>
    <t xml:space="preserve">     Two-Year</t>
  </si>
  <si>
    <t xml:space="preserve">   Overall</t>
  </si>
  <si>
    <t xml:space="preserve">    Specialized</t>
  </si>
  <si>
    <t>Florida</t>
  </si>
  <si>
    <t>AL</t>
  </si>
  <si>
    <t>AU</t>
  </si>
  <si>
    <t>1b</t>
  </si>
  <si>
    <t>UA</t>
  </si>
  <si>
    <t>Res.</t>
  </si>
  <si>
    <t>Non-Res.</t>
  </si>
  <si>
    <t>Georgia</t>
  </si>
  <si>
    <t>UAB</t>
  </si>
  <si>
    <t>Kentucky</t>
  </si>
  <si>
    <t>UAH</t>
  </si>
  <si>
    <t>1c</t>
  </si>
  <si>
    <t>Resident</t>
  </si>
  <si>
    <t>Louisiana</t>
  </si>
  <si>
    <t>USA</t>
  </si>
  <si>
    <t>AL A&amp;M</t>
  </si>
  <si>
    <t>2a</t>
  </si>
  <si>
    <t>Maryland</t>
  </si>
  <si>
    <t>JSU</t>
  </si>
  <si>
    <t>Mississippi</t>
  </si>
  <si>
    <t>AU-M</t>
  </si>
  <si>
    <t>2b</t>
  </si>
  <si>
    <t>Criterion Ranges</t>
  </si>
  <si>
    <t>North Carolina</t>
  </si>
  <si>
    <t>ASU</t>
  </si>
  <si>
    <t>LU</t>
  </si>
  <si>
    <t>Oklahoma</t>
  </si>
  <si>
    <t>TSUM</t>
  </si>
  <si>
    <t>1a</t>
  </si>
  <si>
    <t>3</t>
  </si>
  <si>
    <t>4a</t>
  </si>
  <si>
    <t>4b</t>
  </si>
  <si>
    <t>4c</t>
  </si>
  <si>
    <t>4d</t>
  </si>
  <si>
    <t>South Carolina</t>
  </si>
  <si>
    <t>TSU-Main</t>
  </si>
  <si>
    <t>Tennessee</t>
  </si>
  <si>
    <t>UM</t>
  </si>
  <si>
    <t>UNA</t>
  </si>
  <si>
    <t>Texas</t>
  </si>
  <si>
    <t>ASC</t>
  </si>
  <si>
    <t>Virginia</t>
  </si>
  <si>
    <t>Two-Year I</t>
  </si>
  <si>
    <t xml:space="preserve">       </t>
  </si>
  <si>
    <t>West Virginia</t>
  </si>
  <si>
    <t>Two-Year IV</t>
  </si>
  <si>
    <t xml:space="preserve">        </t>
  </si>
  <si>
    <t>&gt;</t>
  </si>
  <si>
    <t>AR</t>
  </si>
  <si>
    <t>UAF</t>
  </si>
  <si>
    <t>NOTES:  The amount shown for each state is the median of each states' institutions.  The "SREB Medians"</t>
  </si>
  <si>
    <t>NOTES:  The amount shown for each state is the median of each states'</t>
  </si>
  <si>
    <t>NOTES:  The amount shown for each state is the median of each states' institutions.  The "SREB Medians" are</t>
  </si>
  <si>
    <t>NOTES:  The amount shown for each state is the median of each states' institutions.  The "SREB</t>
  </si>
  <si>
    <t>UA-LR</t>
  </si>
  <si>
    <t>Undergrad</t>
  </si>
  <si>
    <t>Grad</t>
  </si>
  <si>
    <t>are the medians of the state amounts for each respective category of institutions.  In Florida, the</t>
  </si>
  <si>
    <t>institutions.  The "SREB Medians" are the medians of the state amounts for</t>
  </si>
  <si>
    <t>the medians of the state amounts for each respective category of institutions. In Florida, the amounts</t>
  </si>
  <si>
    <t xml:space="preserve">Medians" are the medians of the state amounts for each respective category of institutions. </t>
  </si>
  <si>
    <t>ASU-J</t>
  </si>
  <si>
    <t>Res</t>
  </si>
  <si>
    <t>Non-Res</t>
  </si>
  <si>
    <t>amounts shown represent statewide minimum tuition and mandatory fees and do not reflect additional</t>
  </si>
  <si>
    <t>each respective category of institutions.  Non-resident fees for Two-Year IV</t>
  </si>
  <si>
    <t>shown represent statewide minimum tuition and mandatory fees and do not reflect mandatory fees added by</t>
  </si>
  <si>
    <t>Non-resident veterinary medicine tuition and fees in Virginia includes a regional capitation</t>
  </si>
  <si>
    <t>UCA</t>
  </si>
  <si>
    <t>mandatory fees added by individual institutions.</t>
  </si>
  <si>
    <t>institutions in Louisiana may exceed the minimum reported. Tuition and fess</t>
  </si>
  <si>
    <t>individual institutions.</t>
  </si>
  <si>
    <t>fee of $15,000. In Florida, the amounts shown represent statewide minimum tuition and</t>
  </si>
  <si>
    <t>ATU</t>
  </si>
  <si>
    <t>data for Two-Year IV institutions in Florida, Georgia, and West Virginia were</t>
  </si>
  <si>
    <t>mandatory fees and do not reflect additional mandatory fees added by individual institutions.</t>
  </si>
  <si>
    <t>HSU</t>
  </si>
  <si>
    <t>Doctoral</t>
  </si>
  <si>
    <t>not reported.</t>
  </si>
  <si>
    <t>SAU</t>
  </si>
  <si>
    <t>UAM</t>
  </si>
  <si>
    <t>UAPB</t>
  </si>
  <si>
    <t>MCCC</t>
  </si>
  <si>
    <t xml:space="preserve"> Other 4-Year</t>
  </si>
  <si>
    <t>GCCC</t>
  </si>
  <si>
    <t>WCC</t>
  </si>
  <si>
    <t>ASUB</t>
  </si>
  <si>
    <t>SAUE</t>
  </si>
  <si>
    <t xml:space="preserve">  2-Year</t>
  </si>
  <si>
    <t>SAUT</t>
  </si>
  <si>
    <t>PCCC</t>
  </si>
  <si>
    <t>NACC</t>
  </si>
  <si>
    <t>EACC</t>
  </si>
  <si>
    <t>ALL</t>
  </si>
  <si>
    <t>RMCC</t>
  </si>
  <si>
    <t>VO-TECH SCHOOLS</t>
  </si>
  <si>
    <t>UAMS</t>
  </si>
  <si>
    <t>5</t>
  </si>
  <si>
    <t>Average Undergraduate Resident Tuition &amp; Fees</t>
  </si>
  <si>
    <t>tuit as a % of Disp PI</t>
  </si>
  <si>
    <t>FL</t>
  </si>
  <si>
    <t>UF</t>
  </si>
  <si>
    <t>2-Year</t>
  </si>
  <si>
    <t>p/c Disp PI</t>
  </si>
  <si>
    <t>Doc</t>
  </si>
  <si>
    <t>4-Yr</t>
  </si>
  <si>
    <t>2-Yr</t>
  </si>
  <si>
    <t>FSU</t>
  </si>
  <si>
    <t>USF</t>
  </si>
  <si>
    <t>UCF</t>
  </si>
  <si>
    <t>FAU</t>
  </si>
  <si>
    <t>FIU</t>
  </si>
  <si>
    <t>GA</t>
  </si>
  <si>
    <t>UWF</t>
  </si>
  <si>
    <t>KY</t>
  </si>
  <si>
    <t>FAMU</t>
  </si>
  <si>
    <t>LA</t>
  </si>
  <si>
    <t>UNF</t>
  </si>
  <si>
    <t>MD</t>
  </si>
  <si>
    <t>MIAM</t>
  </si>
  <si>
    <t>MS</t>
  </si>
  <si>
    <t>DAYT</t>
  </si>
  <si>
    <t>NC</t>
  </si>
  <si>
    <t>HILL</t>
  </si>
  <si>
    <t>OK</t>
  </si>
  <si>
    <t>MANA</t>
  </si>
  <si>
    <t>SC</t>
  </si>
  <si>
    <t>EDIS</t>
  </si>
  <si>
    <t>TN</t>
  </si>
  <si>
    <t>BROW</t>
  </si>
  <si>
    <t>TX</t>
  </si>
  <si>
    <t>BREV</t>
  </si>
  <si>
    <t>VA</t>
  </si>
  <si>
    <t>FJAX</t>
  </si>
  <si>
    <t>WV</t>
  </si>
  <si>
    <t>PALM</t>
  </si>
  <si>
    <t>ST.P</t>
  </si>
  <si>
    <t>SREB</t>
  </si>
  <si>
    <t>PENS</t>
  </si>
  <si>
    <t>VALE</t>
  </si>
  <si>
    <t>SEMI</t>
  </si>
  <si>
    <t>FKEY</t>
  </si>
  <si>
    <t>POLK</t>
  </si>
  <si>
    <t>NFLA</t>
  </si>
  <si>
    <t>CFLA</t>
  </si>
  <si>
    <t>SANF</t>
  </si>
  <si>
    <t>PASC</t>
  </si>
  <si>
    <t>LCTY</t>
  </si>
  <si>
    <t>CHIP</t>
  </si>
  <si>
    <t>INDR</t>
  </si>
  <si>
    <t>OKAL</t>
  </si>
  <si>
    <t>LSUM</t>
  </si>
  <si>
    <t xml:space="preserve">ST.J </t>
  </si>
  <si>
    <t>TALL</t>
  </si>
  <si>
    <t>SFLA</t>
  </si>
  <si>
    <t>GULF</t>
  </si>
  <si>
    <t>AVTS</t>
  </si>
  <si>
    <t>4D</t>
  </si>
  <si>
    <t>U of Georgia</t>
  </si>
  <si>
    <t>NA</t>
  </si>
  <si>
    <t>Georgia State</t>
  </si>
  <si>
    <t xml:space="preserve">Georgia Tech </t>
  </si>
  <si>
    <t>Georgia Southern</t>
  </si>
  <si>
    <t>Albany State C</t>
  </si>
  <si>
    <t>Fort Valley S C</t>
  </si>
  <si>
    <t>Savannah S C</t>
  </si>
  <si>
    <t>West Georgia C</t>
  </si>
  <si>
    <t>Valdosta S C</t>
  </si>
  <si>
    <t>North Georgia C</t>
  </si>
  <si>
    <t>Georgia SW C</t>
  </si>
  <si>
    <t>Georgia C</t>
  </si>
  <si>
    <t>Armstrong State C</t>
  </si>
  <si>
    <t>Augusta C</t>
  </si>
  <si>
    <t>Columbus C</t>
  </si>
  <si>
    <t>Kennesaw C</t>
  </si>
  <si>
    <t>Dekalb CC</t>
  </si>
  <si>
    <t>Ab Baldwin Ag C</t>
  </si>
  <si>
    <t>Middle Georgia C</t>
  </si>
  <si>
    <t>South Georgia C</t>
  </si>
  <si>
    <t>Gordon JC</t>
  </si>
  <si>
    <t>Gainsville JC</t>
  </si>
  <si>
    <t>Emnl County JC</t>
  </si>
  <si>
    <t>Albany JC</t>
  </si>
  <si>
    <t>Atlanta JC</t>
  </si>
  <si>
    <t>Waycross JC</t>
  </si>
  <si>
    <t>Macon JC</t>
  </si>
  <si>
    <t>Floyd JC</t>
  </si>
  <si>
    <t>Bainbridge JC</t>
  </si>
  <si>
    <t>Brunswick JC</t>
  </si>
  <si>
    <t>Dalton JC</t>
  </si>
  <si>
    <t>Clayton State C</t>
  </si>
  <si>
    <t>Marietta-Cobb</t>
  </si>
  <si>
    <t>Upson AVTS</t>
  </si>
  <si>
    <t>Athens AVTS</t>
  </si>
  <si>
    <t>Dalton H Occup</t>
  </si>
  <si>
    <t>Macon AVTS</t>
  </si>
  <si>
    <t>BenHill-Irwin</t>
  </si>
  <si>
    <t>Atlanta AVTS</t>
  </si>
  <si>
    <t>Columbus AVTS</t>
  </si>
  <si>
    <t>Coosa Vlly AVTS</t>
  </si>
  <si>
    <t>Augusta AVTS</t>
  </si>
  <si>
    <t xml:space="preserve">Waycross-Wave </t>
  </si>
  <si>
    <t>Lanier AVTS</t>
  </si>
  <si>
    <t>Valdosta AVTS</t>
  </si>
  <si>
    <t>Grffn-Spdg AVTS</t>
  </si>
  <si>
    <t>Pickens AVTS</t>
  </si>
  <si>
    <t>Albany AVTS</t>
  </si>
  <si>
    <t>Elbert Sch/LPN</t>
  </si>
  <si>
    <t>North GA AVTS</t>
  </si>
  <si>
    <t>Houston AVTS</t>
  </si>
  <si>
    <t>Gwinnett AVTS</t>
  </si>
  <si>
    <t>Hrt of GA AVTS</t>
  </si>
  <si>
    <t>Carroll AVTS</t>
  </si>
  <si>
    <t>Moultrie AVTS</t>
  </si>
  <si>
    <t>South GA AVTS</t>
  </si>
  <si>
    <t>Swainsboro AVTS</t>
  </si>
  <si>
    <t>Baldw  LPN Sch</t>
  </si>
  <si>
    <t>Walker AVTS</t>
  </si>
  <si>
    <t>Thomas AVTS</t>
  </si>
  <si>
    <t>Troup AVTS</t>
  </si>
  <si>
    <t>Savannah AVTS</t>
  </si>
  <si>
    <t>Glynn C Adl Ctr</t>
  </si>
  <si>
    <t>Sou. Tech</t>
  </si>
  <si>
    <t>Medical C of Ga</t>
  </si>
  <si>
    <t>Southern Tech</t>
  </si>
  <si>
    <t xml:space="preserve">UK </t>
  </si>
  <si>
    <t xml:space="preserve">UL </t>
  </si>
  <si>
    <t xml:space="preserve">WKU </t>
  </si>
  <si>
    <t xml:space="preserve">MUSU </t>
  </si>
  <si>
    <t xml:space="preserve">EKU </t>
  </si>
  <si>
    <t xml:space="preserve">NKU </t>
  </si>
  <si>
    <t xml:space="preserve">MOSU </t>
  </si>
  <si>
    <t xml:space="preserve">KSU </t>
  </si>
  <si>
    <t>UKCCS</t>
  </si>
  <si>
    <t>VO-TEC</t>
  </si>
  <si>
    <t>LSU-BR</t>
  </si>
  <si>
    <t>UNO</t>
  </si>
  <si>
    <t>Northwestern</t>
  </si>
  <si>
    <t>USL</t>
  </si>
  <si>
    <t>La. Tech</t>
  </si>
  <si>
    <t>Northeast</t>
  </si>
  <si>
    <t>LSU-S</t>
  </si>
  <si>
    <t>SU-BR</t>
  </si>
  <si>
    <t>McNeese</t>
  </si>
  <si>
    <t>Nicholls</t>
  </si>
  <si>
    <t>SLU</t>
  </si>
  <si>
    <t>SU-NO</t>
  </si>
  <si>
    <t>Grambling</t>
  </si>
  <si>
    <t>LSU-A</t>
  </si>
  <si>
    <t>SU-S</t>
  </si>
  <si>
    <t>LSU-E</t>
  </si>
  <si>
    <t>Delgado</t>
  </si>
  <si>
    <t>VO-TECH SHOOLS</t>
  </si>
  <si>
    <t>LSU Law Ctr</t>
  </si>
  <si>
    <t>LSU Med Ctr</t>
  </si>
  <si>
    <t>UMCP</t>
  </si>
  <si>
    <t>UMBC</t>
  </si>
  <si>
    <t>Morgan</t>
  </si>
  <si>
    <t>UMES</t>
  </si>
  <si>
    <t>UB</t>
  </si>
  <si>
    <t>Frostb</t>
  </si>
  <si>
    <t>Bowie</t>
  </si>
  <si>
    <t>Towson</t>
  </si>
  <si>
    <t>Salisb</t>
  </si>
  <si>
    <t>Coppin</t>
  </si>
  <si>
    <t>St. Marys</t>
  </si>
  <si>
    <t>PGCC</t>
  </si>
  <si>
    <t>Wor-Wic</t>
  </si>
  <si>
    <t>Freder</t>
  </si>
  <si>
    <t>AACC</t>
  </si>
  <si>
    <t>Dundalk</t>
  </si>
  <si>
    <t>Howard</t>
  </si>
  <si>
    <t>Catonsv</t>
  </si>
  <si>
    <t>Harford</t>
  </si>
  <si>
    <t>Cecil</t>
  </si>
  <si>
    <t>Garrett</t>
  </si>
  <si>
    <t>Chesap</t>
  </si>
  <si>
    <t>CCB</t>
  </si>
  <si>
    <t>Montg</t>
  </si>
  <si>
    <t>Charles</t>
  </si>
  <si>
    <t>Allegany</t>
  </si>
  <si>
    <t>Hagers</t>
  </si>
  <si>
    <t>Essex</t>
  </si>
  <si>
    <t>UMAB</t>
  </si>
  <si>
    <t>MSU</t>
  </si>
  <si>
    <t>USM</t>
  </si>
  <si>
    <t>DSU</t>
  </si>
  <si>
    <t>MUW</t>
  </si>
  <si>
    <t>MVSU</t>
  </si>
  <si>
    <t>COAHOMA</t>
  </si>
  <si>
    <t>HOLMES</t>
  </si>
  <si>
    <t>NORTHWEST</t>
  </si>
  <si>
    <t>NORTHEAST</t>
  </si>
  <si>
    <t>COP-LIN</t>
  </si>
  <si>
    <t>HINDS</t>
  </si>
  <si>
    <t>MERIDIAN</t>
  </si>
  <si>
    <t>SOUTHWEST</t>
  </si>
  <si>
    <t>MISS. DELTA</t>
  </si>
  <si>
    <t>JONES COUNTY</t>
  </si>
  <si>
    <t>E. MISS</t>
  </si>
  <si>
    <t>MISS.G.COAST</t>
  </si>
  <si>
    <t>ITAWAMBA</t>
  </si>
  <si>
    <t>E. CENTRAL</t>
  </si>
  <si>
    <t>PEARL RIVER</t>
  </si>
  <si>
    <t>UMMC</t>
  </si>
  <si>
    <t>NCSU</t>
  </si>
  <si>
    <t>UNC-CH</t>
  </si>
  <si>
    <t>UNC-G</t>
  </si>
  <si>
    <t>ECU</t>
  </si>
  <si>
    <t>NCA&amp;T</t>
  </si>
  <si>
    <t>WCU</t>
  </si>
  <si>
    <t>NCCU</t>
  </si>
  <si>
    <t>UNC-C</t>
  </si>
  <si>
    <t>PSU</t>
  </si>
  <si>
    <t>UNC-W</t>
  </si>
  <si>
    <t>UNC-A</t>
  </si>
  <si>
    <t>ECSU</t>
  </si>
  <si>
    <t>WSSU</t>
  </si>
  <si>
    <t>RICHMOND TC</t>
  </si>
  <si>
    <t>C OF ALBEMARLE</t>
  </si>
  <si>
    <t>LENOIR CC</t>
  </si>
  <si>
    <t>GASTON COLLEGE</t>
  </si>
  <si>
    <t>ISOTHERMAL CC</t>
  </si>
  <si>
    <t>CRAVEN CC</t>
  </si>
  <si>
    <t>ROCKINGHAM CC</t>
  </si>
  <si>
    <t>SAMPSON TC</t>
  </si>
  <si>
    <t>MITCHELL CC</t>
  </si>
  <si>
    <t>GUILFORD TCC</t>
  </si>
  <si>
    <t>S. EASTERN CC</t>
  </si>
  <si>
    <t>WILKES CC</t>
  </si>
  <si>
    <t>CLEVELAND TC</t>
  </si>
  <si>
    <t>JAMES SPRUNT TC</t>
  </si>
  <si>
    <t>SANDHILLS CC</t>
  </si>
  <si>
    <t>DAVIDSON CCC</t>
  </si>
  <si>
    <t>PIEDMONT TC</t>
  </si>
  <si>
    <t>RANDOLPH TC</t>
  </si>
  <si>
    <t>PITT CC</t>
  </si>
  <si>
    <t>ASHE.-BUNCOMBE TC</t>
  </si>
  <si>
    <t>JOHNSTON TC</t>
  </si>
  <si>
    <t>BRUNSWICK TC</t>
  </si>
  <si>
    <t>ROWAN TC</t>
  </si>
  <si>
    <t>BLADEN TC</t>
  </si>
  <si>
    <t>DURHAM TCC</t>
  </si>
  <si>
    <t>HAYWOOD TC</t>
  </si>
  <si>
    <t>W.PIEDMONT CC</t>
  </si>
  <si>
    <t>FORSYTH TC</t>
  </si>
  <si>
    <t>McDOWELL TC</t>
  </si>
  <si>
    <t>CENTRAL CAROLINA</t>
  </si>
  <si>
    <t>WAYNE CC</t>
  </si>
  <si>
    <t>ROANOKE-CHOWAN</t>
  </si>
  <si>
    <t>CATAWBA VALLEY TC</t>
  </si>
  <si>
    <t>TC OF ALAMANCE</t>
  </si>
  <si>
    <t>STANLY TC</t>
  </si>
  <si>
    <t>ROBESON TC</t>
  </si>
  <si>
    <t>MAYLAND TC</t>
  </si>
  <si>
    <t>SURRY CC</t>
  </si>
  <si>
    <t>ANSON TC</t>
  </si>
  <si>
    <t>CAPE FEAR TI</t>
  </si>
  <si>
    <t>WILSON CTC</t>
  </si>
  <si>
    <t>CALDWELL CCTI</t>
  </si>
  <si>
    <t>COASTAL CAROLINA</t>
  </si>
  <si>
    <t>BEAUFORT COUNTY CC</t>
  </si>
  <si>
    <t>HALIFAX CC</t>
  </si>
  <si>
    <t>MARTIN CC</t>
  </si>
  <si>
    <t>VANCE-GRAN CC</t>
  </si>
  <si>
    <t>PAMLICO TC</t>
  </si>
  <si>
    <t>S. WESTERN TC</t>
  </si>
  <si>
    <t>CARTERET TC</t>
  </si>
  <si>
    <t>MONTGOMERY TC</t>
  </si>
  <si>
    <t>BLUE RIDGE TC</t>
  </si>
  <si>
    <t>FAYETTEVILLE TI</t>
  </si>
  <si>
    <t>NASH TC</t>
  </si>
  <si>
    <t>WAKE TC</t>
  </si>
  <si>
    <t>EDGECOMBE TC</t>
  </si>
  <si>
    <t>C.PIEDMONT TC</t>
  </si>
  <si>
    <t>TRI-COUNT CC</t>
  </si>
  <si>
    <t>NCSA</t>
  </si>
  <si>
    <t>OSU</t>
  </si>
  <si>
    <t>OU</t>
  </si>
  <si>
    <t>NESU</t>
  </si>
  <si>
    <t>SEOSU</t>
  </si>
  <si>
    <t>NWOSU</t>
  </si>
  <si>
    <t>CSU</t>
  </si>
  <si>
    <t>SWOSU</t>
  </si>
  <si>
    <t>CAMERON</t>
  </si>
  <si>
    <t>LANGSTON</t>
  </si>
  <si>
    <t>PANHANDLE</t>
  </si>
  <si>
    <t>USAO</t>
  </si>
  <si>
    <t>OSU-TI/OK City</t>
  </si>
  <si>
    <t>OSU-TT/Okmulgee</t>
  </si>
  <si>
    <t>EASTERN</t>
  </si>
  <si>
    <t>TJC</t>
  </si>
  <si>
    <t>MURRAY</t>
  </si>
  <si>
    <t>ROGERS</t>
  </si>
  <si>
    <t>SEMINOLE</t>
  </si>
  <si>
    <t>CONNORS</t>
  </si>
  <si>
    <t>EL RENO</t>
  </si>
  <si>
    <t>CAJC</t>
  </si>
  <si>
    <t>OCCC</t>
  </si>
  <si>
    <t>NEOAMC</t>
  </si>
  <si>
    <t>WOSC</t>
  </si>
  <si>
    <t>SAYRE</t>
  </si>
  <si>
    <t>NOC</t>
  </si>
  <si>
    <t>ROSE</t>
  </si>
  <si>
    <t>OCOMS</t>
  </si>
  <si>
    <t>USC-Columbia</t>
  </si>
  <si>
    <t>Clemson</t>
  </si>
  <si>
    <t>S.C. State</t>
  </si>
  <si>
    <t>Citadel</t>
  </si>
  <si>
    <t>C Charlstn</t>
  </si>
  <si>
    <t>Winthrop</t>
  </si>
  <si>
    <t>Lander</t>
  </si>
  <si>
    <t>F Marion</t>
  </si>
  <si>
    <t>USC-Aiken</t>
  </si>
  <si>
    <t>USC-Coastal</t>
  </si>
  <si>
    <t>USC-Sptnbg.</t>
  </si>
  <si>
    <t>USC-Salke.</t>
  </si>
  <si>
    <t>USC-Sumter</t>
  </si>
  <si>
    <t xml:space="preserve"> </t>
  </si>
  <si>
    <t>USC-Beaufort</t>
  </si>
  <si>
    <t>USC-Lancaster</t>
  </si>
  <si>
    <t>USC-Union</t>
  </si>
  <si>
    <t>Midlands TEC</t>
  </si>
  <si>
    <t>H/Georg. TEC</t>
  </si>
  <si>
    <t>Tri-Cnty. TEC</t>
  </si>
  <si>
    <t>Trident TEC</t>
  </si>
  <si>
    <t>F/Darl. TEC</t>
  </si>
  <si>
    <t>Sumter TEC</t>
  </si>
  <si>
    <t>Beaufort TEC</t>
  </si>
  <si>
    <t>Piedmont TEC</t>
  </si>
  <si>
    <t>Spartnbg. TEC</t>
  </si>
  <si>
    <t>Aiken TEC</t>
  </si>
  <si>
    <t>Orng/Calh TEC</t>
  </si>
  <si>
    <t>Greenv TEC</t>
  </si>
  <si>
    <t>York TEC</t>
  </si>
  <si>
    <t>C/Marlb TEC</t>
  </si>
  <si>
    <t>Denmark TEC</t>
  </si>
  <si>
    <t>Wmsbg. TEC</t>
  </si>
  <si>
    <t>MUSC</t>
  </si>
  <si>
    <t>UTK</t>
  </si>
  <si>
    <t>TTU</t>
  </si>
  <si>
    <t>MTSU</t>
  </si>
  <si>
    <t>TSU</t>
  </si>
  <si>
    <t>ETSU</t>
  </si>
  <si>
    <t>APSU</t>
  </si>
  <si>
    <t>UTC</t>
  </si>
  <si>
    <t>UTM</t>
  </si>
  <si>
    <t>VSCC</t>
  </si>
  <si>
    <t>SSCC</t>
  </si>
  <si>
    <t>CoSCC</t>
  </si>
  <si>
    <t>STIK</t>
  </si>
  <si>
    <t>DSCC</t>
  </si>
  <si>
    <t>STIM</t>
  </si>
  <si>
    <t>MSCC</t>
  </si>
  <si>
    <t>TCSTI</t>
  </si>
  <si>
    <t>RSCC</t>
  </si>
  <si>
    <t>CLSCC</t>
  </si>
  <si>
    <t>JSCC</t>
  </si>
  <si>
    <t>CSTCC</t>
  </si>
  <si>
    <t>NSTI</t>
  </si>
  <si>
    <t>WSCC</t>
  </si>
  <si>
    <t>UTSI</t>
  </si>
  <si>
    <t>UTVM</t>
  </si>
  <si>
    <t>UT-MEM</t>
  </si>
  <si>
    <t>NTSU</t>
  </si>
  <si>
    <t>TAMU</t>
  </si>
  <si>
    <t>UH-UP</t>
  </si>
  <si>
    <t>UT-AUS</t>
  </si>
  <si>
    <t>TWU</t>
  </si>
  <si>
    <t>UT-D</t>
  </si>
  <si>
    <t>SFASU</t>
  </si>
  <si>
    <t>SHSU</t>
  </si>
  <si>
    <t>TAIU</t>
  </si>
  <si>
    <t>UT-ARL</t>
  </si>
  <si>
    <t>UT-EP</t>
  </si>
  <si>
    <t>CCSU</t>
  </si>
  <si>
    <t>PAU</t>
  </si>
  <si>
    <t>PVAMU</t>
  </si>
  <si>
    <t>SRSU</t>
  </si>
  <si>
    <t>SWTSU</t>
  </si>
  <si>
    <t>TARL</t>
  </si>
  <si>
    <t>UH-CL</t>
  </si>
  <si>
    <t>UT-SA</t>
  </si>
  <si>
    <t>WTSU</t>
  </si>
  <si>
    <t>UH-VIC</t>
  </si>
  <si>
    <t>UT-T</t>
  </si>
  <si>
    <t>UT-PB</t>
  </si>
  <si>
    <t>PAU-BR</t>
  </si>
  <si>
    <t>LSU</t>
  </si>
  <si>
    <t>ETSU-TEX</t>
  </si>
  <si>
    <t>TAMU-GAL</t>
  </si>
  <si>
    <t>UH-D</t>
  </si>
  <si>
    <t>ALVIN</t>
  </si>
  <si>
    <t>AMARILLO</t>
  </si>
  <si>
    <t>ANGELINA</t>
  </si>
  <si>
    <t>AUSTIN</t>
  </si>
  <si>
    <t>BEE</t>
  </si>
  <si>
    <t>BLINN</t>
  </si>
  <si>
    <t>BRAZOSPORT</t>
  </si>
  <si>
    <t>BROOK (DCCCD)</t>
  </si>
  <si>
    <t>CED VAL (DCCCD)</t>
  </si>
  <si>
    <t>CENTRAL TX</t>
  </si>
  <si>
    <t>CISCO</t>
  </si>
  <si>
    <t>CLARENDON</t>
  </si>
  <si>
    <t>COLLIN CO COL</t>
  </si>
  <si>
    <t>COLL. MAIN.</t>
  </si>
  <si>
    <t>COOKE</t>
  </si>
  <si>
    <t>DEL MAR</t>
  </si>
  <si>
    <t>EASTFLD (DCCCD)</t>
  </si>
  <si>
    <t>EL PASO</t>
  </si>
  <si>
    <t>ELCENTRO (DCCCD)</t>
  </si>
  <si>
    <t>FK PHILLIPS</t>
  </si>
  <si>
    <t>GALVESTON</t>
  </si>
  <si>
    <t>GRAYSON</t>
  </si>
  <si>
    <t>HOUSTON</t>
  </si>
  <si>
    <t>HOWARD</t>
  </si>
  <si>
    <t>KILGORE</t>
  </si>
  <si>
    <t>LAREDO-JC</t>
  </si>
  <si>
    <t>LEE</t>
  </si>
  <si>
    <t>McLENNAN</t>
  </si>
  <si>
    <t>MIDLAND</t>
  </si>
  <si>
    <t>MT.VIEW (DCCCD)</t>
  </si>
  <si>
    <t>NAVARRO</t>
  </si>
  <si>
    <t>NE TX (TCJCD)</t>
  </si>
  <si>
    <t>NW (TCJCD)</t>
  </si>
  <si>
    <t>N. HARRIS</t>
  </si>
  <si>
    <t>N.LAKE (DCCCD)</t>
  </si>
  <si>
    <t>ODESSA</t>
  </si>
  <si>
    <t>PALO ALTO</t>
  </si>
  <si>
    <t>PANOLA</t>
  </si>
  <si>
    <t>PARIS</t>
  </si>
  <si>
    <t>RANGER</t>
  </si>
  <si>
    <t>RICHLAND (DCCCD)</t>
  </si>
  <si>
    <t>SAN ANT (ACCD)</t>
  </si>
  <si>
    <t>SJCD-CENTRAL</t>
  </si>
  <si>
    <t>SJCD-NORTH</t>
  </si>
  <si>
    <t>SJCD-SOUTH</t>
  </si>
  <si>
    <t>SO. (TCJCD)</t>
  </si>
  <si>
    <t>ST.PHLLPS (ACCD)</t>
  </si>
  <si>
    <t>SW TX JR.</t>
  </si>
  <si>
    <t>S. PLAINS</t>
  </si>
  <si>
    <t>TEMPLE</t>
  </si>
  <si>
    <t>TEXARKANA</t>
  </si>
  <si>
    <t>TRINITY VAL</t>
  </si>
  <si>
    <t>TX SOUTHMAT</t>
  </si>
  <si>
    <t>TYLER</t>
  </si>
  <si>
    <t>VERNON</t>
  </si>
  <si>
    <t>VICTORIA</t>
  </si>
  <si>
    <t>WEATHERFORD</t>
  </si>
  <si>
    <t>WESTERN TX.</t>
  </si>
  <si>
    <t>WHARTON</t>
  </si>
  <si>
    <t>TSTI-A</t>
  </si>
  <si>
    <t>TSTI-H</t>
  </si>
  <si>
    <t>TSTI-S</t>
  </si>
  <si>
    <t>TSTI-W</t>
  </si>
  <si>
    <t>UTMB-GAL</t>
  </si>
  <si>
    <t>UTHSC-SA</t>
  </si>
  <si>
    <t>TTU-HSC</t>
  </si>
  <si>
    <t>UTHSC-H</t>
  </si>
  <si>
    <t>UTHSC-D</t>
  </si>
  <si>
    <t>TCOM</t>
  </si>
  <si>
    <t>UVA</t>
  </si>
  <si>
    <t>VPI&amp;SU</t>
  </si>
  <si>
    <t>VCU</t>
  </si>
  <si>
    <t>W&amp;M</t>
  </si>
  <si>
    <t>GMU</t>
  </si>
  <si>
    <t>ODU</t>
  </si>
  <si>
    <t>JMU</t>
  </si>
  <si>
    <t>LC</t>
  </si>
  <si>
    <t>VSU</t>
  </si>
  <si>
    <t>MWC</t>
  </si>
  <si>
    <t>NSU</t>
  </si>
  <si>
    <t>RU</t>
  </si>
  <si>
    <t>CNC</t>
  </si>
  <si>
    <t>CVC</t>
  </si>
  <si>
    <t>RBC</t>
  </si>
  <si>
    <t>All</t>
  </si>
  <si>
    <t>VMI</t>
  </si>
  <si>
    <t>5,941 (3)</t>
  </si>
  <si>
    <t>WVU</t>
  </si>
  <si>
    <t>MU</t>
  </si>
  <si>
    <t>WVIT</t>
  </si>
  <si>
    <t>CC</t>
  </si>
  <si>
    <t>WVSC</t>
  </si>
  <si>
    <t>WLSC</t>
  </si>
  <si>
    <t>FSC</t>
  </si>
  <si>
    <t>GSC</t>
  </si>
  <si>
    <t>BSC</t>
  </si>
  <si>
    <t>PSC</t>
  </si>
  <si>
    <t>PCC</t>
  </si>
  <si>
    <t>WVNCC</t>
  </si>
  <si>
    <t>SWVCC</t>
  </si>
  <si>
    <t>COGS</t>
  </si>
  <si>
    <t>WVSOM</t>
  </si>
  <si>
    <t>CNT</t>
  </si>
  <si>
    <t>Table 7b</t>
  </si>
  <si>
    <t>PRINT MACRO</t>
  </si>
  <si>
    <t>Mean Undergraduate Resident Tuition By Type of Institution</t>
  </si>
  <si>
    <t>\P</t>
  </si>
  <si>
    <t>/PPCRRTAB 7~AGP</t>
  </si>
  <si>
    <t>CRRTAB 8~AGP</t>
  </si>
  <si>
    <t>CRRTAB 9~AGP</t>
  </si>
  <si>
    <t>CRRTAB 10~AGPPQ</t>
  </si>
  <si>
    <t>DI</t>
  </si>
  <si>
    <t>DII</t>
  </si>
  <si>
    <t>DIII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</si>
</sst>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>
      <alignment horizontal="center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left"/>
      <protection locked="0"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Undergraduate Resident Tuition &amp;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Tuit87!$W$44:$W$59</c:f>
              <c:numCache>
                <c:ptCount val="1"/>
                <c:pt idx="0">
                  <c:v>1</c:v>
                </c:pt>
              </c:numCache>
            </c:numRef>
          </c:val>
        </c:ser>
        <c:axId val="12517188"/>
        <c:axId val="45545829"/>
      </c:barChart>
      <c:catAx>
        <c:axId val="1251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5545829"/>
        <c:crosses val="autoZero"/>
        <c:auto val="1"/>
        <c:lblOffset val="100"/>
        <c:noMultiLvlLbl val="0"/>
      </c:catAx>
      <c:valAx>
        <c:axId val="45545829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171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Undergraduate Resident Tuition &amp;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Tuit87!$W$63:$W$81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Tuit87!$X$63:$X$81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Tuit87!$Y$63:$Y$81</c:f>
              <c:numCache>
                <c:ptCount val="1"/>
                <c:pt idx="0">
                  <c:v>1</c:v>
                </c:pt>
              </c:numCache>
            </c:numRef>
          </c:val>
        </c:ser>
        <c:axId val="7259278"/>
        <c:axId val="65333503"/>
      </c:barChart>
      <c:catAx>
        <c:axId val="7259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5333503"/>
        <c:crosses val="autoZero"/>
        <c:auto val="1"/>
        <c:lblOffset val="100"/>
        <c:noMultiLvlLbl val="0"/>
      </c:catAx>
      <c:valAx>
        <c:axId val="6533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592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TUITION &amp; REQUIRED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Und 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Tuit87!$W$44:$W$59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Grd 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Tuit87!$X$44:$X$59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Und N-R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Tuit87!$Y$44:$Y$59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Grd N-R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Tuit87!$Z$44:$Z$59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130616"/>
        <c:axId val="57522361"/>
      </c:lineChart>
      <c:catAx>
        <c:axId val="5113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7522361"/>
        <c:crosses val="autoZero"/>
        <c:auto val="1"/>
        <c:lblOffset val="100"/>
        <c:noMultiLvlLbl val="0"/>
      </c:catAx>
      <c:valAx>
        <c:axId val="57522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3061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Public Institutions,SREB-States,1986-87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Tuit87!$AB$63:$AB$81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Tuit87!$AC$63:$AC$81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Tuit87!$AD$63:$AD$81</c:f>
              <c:numCache>
                <c:ptCount val="1"/>
                <c:pt idx="0">
                  <c:v>1</c:v>
                </c:pt>
              </c:numCache>
            </c:numRef>
          </c:val>
        </c:ser>
        <c:axId val="47939202"/>
        <c:axId val="28799635"/>
      </c:barChart>
      <c:catAx>
        <c:axId val="47939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8799635"/>
        <c:crosses val="autoZero"/>
        <c:auto val="1"/>
        <c:lblOffset val="100"/>
        <c:noMultiLvlLbl val="0"/>
      </c:catAx>
      <c:valAx>
        <c:axId val="2879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392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and Fees Compared to Income    
Public Doctoral Institutions, 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Tuit87!$AB$63:$AB$81</c:f>
              <c:numCache>
                <c:ptCount val="1"/>
                <c:pt idx="0">
                  <c:v>1</c:v>
                </c:pt>
              </c:numCache>
            </c:numRef>
          </c:val>
        </c:ser>
        <c:axId val="57870124"/>
        <c:axId val="51069069"/>
      </c:barChart>
      <c:catAx>
        <c:axId val="57870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069069"/>
        <c:crosses val="autoZero"/>
        <c:auto val="1"/>
        <c:lblOffset val="100"/>
        <c:noMultiLvlLbl val="0"/>
      </c:catAx>
      <c:valAx>
        <c:axId val="51069069"/>
        <c:scaling>
          <c:orientation val="minMax"/>
          <c:max val="0.2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Per Capita Disposable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7012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SREB-States,1986-87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Tuit87!$AC$63:$AC$81</c:f>
              <c:numCache>
                <c:ptCount val="1"/>
                <c:pt idx="0">
                  <c:v>1</c:v>
                </c:pt>
              </c:numCache>
            </c:numRef>
          </c:val>
        </c:ser>
        <c:axId val="56968438"/>
        <c:axId val="42953895"/>
      </c:barChart>
      <c:catAx>
        <c:axId val="5696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Other Public 4-Year Institutions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2953895"/>
        <c:crosses val="autoZero"/>
        <c:auto val="1"/>
        <c:lblOffset val="100"/>
        <c:noMultiLvlLbl val="0"/>
      </c:catAx>
      <c:valAx>
        <c:axId val="42953895"/>
        <c:scaling>
          <c:orientation val="minMax"/>
          <c:max val="0.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684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SREB-States, 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Tuit87!$AD$63:$AD$81</c:f>
              <c:numCache>
                <c:ptCount val="1"/>
                <c:pt idx="0">
                  <c:v>1</c:v>
                </c:pt>
              </c:numCache>
            </c:numRef>
          </c:val>
        </c:ser>
        <c:axId val="51040736"/>
        <c:axId val="56713441"/>
      </c:barChart>
      <c:catAx>
        <c:axId val="5104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Public 2-Year Institutions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6713441"/>
        <c:crosses val="autoZero"/>
        <c:auto val="1"/>
        <c:lblOffset val="100"/>
        <c:noMultiLvlLbl val="0"/>
      </c:catAx>
      <c:valAx>
        <c:axId val="56713441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4073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73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6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6.75390625" style="0" customWidth="1"/>
    <col min="12" max="12" width="7.75390625" style="0" customWidth="1"/>
    <col min="13" max="20" width="6.75390625" style="0" customWidth="1"/>
    <col min="21" max="21" width="4.75390625" style="0" customWidth="1"/>
    <col min="22" max="22" width="14.75390625" style="0" customWidth="1"/>
    <col min="23" max="25" width="8.75390625" style="0" customWidth="1"/>
    <col min="26" max="26" width="11.75390625" style="0" customWidth="1"/>
    <col min="27" max="36" width="8.75390625" style="0" customWidth="1"/>
    <col min="37" max="37" width="1.75390625" style="0" customWidth="1"/>
    <col min="39" max="39" width="18.75390625" style="0" customWidth="1"/>
    <col min="40" max="40" width="8.75390625" style="0" customWidth="1"/>
    <col min="41" max="41" width="7.75390625" style="0" customWidth="1"/>
    <col min="42" max="42" width="8.75390625" style="0" customWidth="1"/>
    <col min="43" max="43" width="7.75390625" style="0" customWidth="1"/>
    <col min="44" max="44" width="8.75390625" style="0" customWidth="1"/>
    <col min="45" max="45" width="7.75390625" style="0" customWidth="1"/>
    <col min="46" max="46" width="8.75390625" style="0" customWidth="1"/>
    <col min="47" max="47" width="7.75390625" style="0" customWidth="1"/>
    <col min="48" max="48" width="8.75390625" style="0" customWidth="1"/>
    <col min="49" max="49" width="7.75390625" style="0" customWidth="1"/>
    <col min="50" max="50" width="8.75390625" style="0" customWidth="1"/>
    <col min="51" max="51" width="7.75390625" style="0" customWidth="1"/>
    <col min="56" max="56" width="18.75390625" style="0" customWidth="1"/>
    <col min="57" max="57" width="8.75390625" style="0" customWidth="1"/>
    <col min="58" max="58" width="7.75390625" style="0" customWidth="1"/>
    <col min="59" max="59" width="8.75390625" style="0" customWidth="1"/>
    <col min="60" max="60" width="7.75390625" style="0" customWidth="1"/>
    <col min="61" max="61" width="8.75390625" style="0" customWidth="1"/>
    <col min="62" max="62" width="7.75390625" style="0" customWidth="1"/>
    <col min="63" max="63" width="8.75390625" style="0" customWidth="1"/>
    <col min="64" max="64" width="7.75390625" style="0" customWidth="1"/>
    <col min="67" max="67" width="18.75390625" style="0" customWidth="1"/>
    <col min="68" max="68" width="8.75390625" style="0" customWidth="1"/>
    <col min="69" max="69" width="7.75390625" style="0" customWidth="1"/>
    <col min="70" max="70" width="8.75390625" style="0" customWidth="1"/>
    <col min="71" max="71" width="7.75390625" style="0" customWidth="1"/>
    <col min="72" max="72" width="8.75390625" style="0" customWidth="1"/>
    <col min="73" max="73" width="7.75390625" style="0" customWidth="1"/>
    <col min="74" max="74" width="8.75390625" style="0" customWidth="1"/>
    <col min="75" max="75" width="7.75390625" style="0" customWidth="1"/>
    <col min="76" max="76" width="8.75390625" style="0" customWidth="1"/>
    <col min="77" max="77" width="7.75390625" style="0" customWidth="1"/>
    <col min="78" max="78" width="8.75390625" style="0" customWidth="1"/>
    <col min="79" max="79" width="7.75390625" style="0" customWidth="1"/>
    <col min="83" max="83" width="18.75390625" style="0" customWidth="1"/>
    <col min="84" max="84" width="8.75390625" style="0" customWidth="1"/>
    <col min="85" max="85" width="7.75390625" style="0" customWidth="1"/>
    <col min="86" max="86" width="8.75390625" style="0" customWidth="1"/>
    <col min="87" max="87" width="7.75390625" style="0" customWidth="1"/>
    <col min="88" max="88" width="8.75390625" style="0" customWidth="1"/>
    <col min="89" max="89" width="7.75390625" style="0" customWidth="1"/>
    <col min="90" max="90" width="8.75390625" style="0" customWidth="1"/>
    <col min="91" max="91" width="7.75390625" style="0" customWidth="1"/>
    <col min="92" max="92" width="8.75390625" style="0" customWidth="1"/>
  </cols>
  <sheetData>
    <row r="1" spans="3:93" ht="12">
      <c r="C1" s="1" t="s">
        <v>0</v>
      </c>
      <c r="AK1" s="2" t="s">
        <v>1</v>
      </c>
      <c r="AM1" s="3">
        <v>18</v>
      </c>
      <c r="AN1" s="3">
        <v>8</v>
      </c>
      <c r="AO1" s="3">
        <v>7</v>
      </c>
      <c r="AP1" s="3">
        <v>8</v>
      </c>
      <c r="AQ1" s="3">
        <v>7</v>
      </c>
      <c r="AR1" s="3">
        <v>8</v>
      </c>
      <c r="AS1" s="3">
        <v>7</v>
      </c>
      <c r="AT1" s="3">
        <v>8</v>
      </c>
      <c r="AU1" s="3">
        <v>7</v>
      </c>
      <c r="AV1" s="3">
        <v>8</v>
      </c>
      <c r="AW1" s="3">
        <v>7</v>
      </c>
      <c r="AX1" s="3">
        <v>8</v>
      </c>
      <c r="AY1" s="3">
        <v>7</v>
      </c>
      <c r="BD1" s="3">
        <v>18</v>
      </c>
      <c r="BE1" s="3">
        <v>8</v>
      </c>
      <c r="BF1" s="3">
        <v>7</v>
      </c>
      <c r="BG1" s="3">
        <v>8</v>
      </c>
      <c r="BH1" s="3">
        <v>7</v>
      </c>
      <c r="BI1" s="3">
        <v>8</v>
      </c>
      <c r="BJ1" s="3">
        <v>7</v>
      </c>
      <c r="BK1" s="3">
        <v>8</v>
      </c>
      <c r="BL1" s="3">
        <v>7</v>
      </c>
      <c r="BO1" s="3">
        <v>18</v>
      </c>
      <c r="BP1" s="3">
        <v>8</v>
      </c>
      <c r="BQ1" s="3">
        <v>7</v>
      </c>
      <c r="BR1" s="3">
        <v>8</v>
      </c>
      <c r="BS1" s="3">
        <v>7</v>
      </c>
      <c r="BT1" s="3">
        <v>8</v>
      </c>
      <c r="BU1" s="3">
        <v>7</v>
      </c>
      <c r="BV1" s="3">
        <v>8</v>
      </c>
      <c r="BW1" s="3">
        <v>7</v>
      </c>
      <c r="BX1" s="3">
        <v>8</v>
      </c>
      <c r="BY1" s="3">
        <v>7</v>
      </c>
      <c r="BZ1" s="3">
        <v>8</v>
      </c>
      <c r="CA1" s="3">
        <v>7</v>
      </c>
      <c r="CE1" s="3">
        <v>18</v>
      </c>
      <c r="CF1" s="3">
        <v>8</v>
      </c>
      <c r="CG1" s="3">
        <v>7</v>
      </c>
      <c r="CH1" s="3">
        <v>8</v>
      </c>
      <c r="CI1" s="3">
        <v>7</v>
      </c>
      <c r="CJ1" s="3">
        <v>8</v>
      </c>
      <c r="CK1" s="3">
        <v>7</v>
      </c>
      <c r="CL1" s="3">
        <v>8</v>
      </c>
      <c r="CM1" s="3">
        <v>7</v>
      </c>
      <c r="CN1" s="3">
        <v>8</v>
      </c>
      <c r="CO1" s="3">
        <v>9</v>
      </c>
    </row>
    <row r="2" spans="5:83" ht="12">
      <c r="E2" s="1" t="s">
        <v>2</v>
      </c>
      <c r="AK2" s="2" t="s">
        <v>1</v>
      </c>
      <c r="AM2" s="3">
        <f>SUM(AM1:AY1)+9</f>
        <v>117</v>
      </c>
      <c r="BD2" s="3">
        <f>SUM(BD1:BO1)+(5*9)</f>
        <v>141</v>
      </c>
      <c r="BO2" s="3">
        <f>SUM(BO1:CA1)+(2*9)</f>
        <v>126</v>
      </c>
      <c r="CE2" s="3">
        <f>SUM(CE1:CO1)+(4*9)</f>
        <v>131</v>
      </c>
    </row>
    <row r="3" spans="37:87" ht="12">
      <c r="AK3" s="2" t="s">
        <v>1</v>
      </c>
      <c r="AR3" s="1" t="s">
        <v>3</v>
      </c>
      <c r="BT3" s="1" t="s">
        <v>4</v>
      </c>
      <c r="CI3" s="1" t="s">
        <v>5</v>
      </c>
    </row>
    <row r="4" spans="2:59" ht="12">
      <c r="B4" s="1" t="s">
        <v>6</v>
      </c>
      <c r="AK4" s="2" t="s">
        <v>1</v>
      </c>
      <c r="BG4" s="1" t="s">
        <v>7</v>
      </c>
    </row>
    <row r="5" spans="2:84" ht="12">
      <c r="B5" s="4" t="s">
        <v>8</v>
      </c>
      <c r="C5" s="4" t="s">
        <v>8</v>
      </c>
      <c r="D5" s="4" t="s">
        <v>8</v>
      </c>
      <c r="E5" s="4" t="s">
        <v>8</v>
      </c>
      <c r="F5" s="4" t="s">
        <v>8</v>
      </c>
      <c r="G5" s="1" t="s">
        <v>9</v>
      </c>
      <c r="H5" s="1" t="s">
        <v>9</v>
      </c>
      <c r="I5" s="1" t="s">
        <v>9</v>
      </c>
      <c r="J5" s="1" t="s">
        <v>9</v>
      </c>
      <c r="AK5" s="2" t="s">
        <v>1</v>
      </c>
      <c r="AP5" s="1" t="s">
        <v>10</v>
      </c>
      <c r="BR5" s="1" t="s">
        <v>10</v>
      </c>
      <c r="CF5" s="1" t="s">
        <v>11</v>
      </c>
    </row>
    <row r="6" spans="2:83" ht="12">
      <c r="B6" s="1" t="s">
        <v>12</v>
      </c>
      <c r="I6" s="1" t="s">
        <v>13</v>
      </c>
      <c r="J6" s="5" t="s">
        <v>8</v>
      </c>
      <c r="AK6" s="2" t="s">
        <v>1</v>
      </c>
      <c r="AO6" s="1" t="s">
        <v>14</v>
      </c>
      <c r="BE6" s="1" t="s">
        <v>10</v>
      </c>
      <c r="BQ6" s="1" t="s">
        <v>15</v>
      </c>
      <c r="CE6" s="1" t="s">
        <v>16</v>
      </c>
    </row>
    <row r="7" spans="9:86" ht="12">
      <c r="I7" s="1" t="s">
        <v>13</v>
      </c>
      <c r="J7" s="5" t="s">
        <v>8</v>
      </c>
      <c r="AK7" s="2" t="s">
        <v>1</v>
      </c>
      <c r="AQ7" s="1" t="s">
        <v>17</v>
      </c>
      <c r="BD7" s="1" t="s">
        <v>18</v>
      </c>
      <c r="BS7" s="1" t="s">
        <v>17</v>
      </c>
      <c r="CH7" s="1" t="s">
        <v>19</v>
      </c>
    </row>
    <row r="8" spans="2:86" ht="12"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1" t="s">
        <v>9</v>
      </c>
      <c r="H8" s="1" t="s">
        <v>9</v>
      </c>
      <c r="I8" s="1" t="s">
        <v>9</v>
      </c>
      <c r="J8" s="1" t="s">
        <v>9</v>
      </c>
      <c r="AK8" s="2" t="s">
        <v>1</v>
      </c>
      <c r="AR8" s="1" t="s">
        <v>20</v>
      </c>
      <c r="BF8" s="1" t="s">
        <v>21</v>
      </c>
      <c r="BT8" s="1" t="s">
        <v>20</v>
      </c>
      <c r="CH8" s="1" t="s">
        <v>22</v>
      </c>
    </row>
    <row r="9" spans="4:87" ht="12">
      <c r="D9" s="5" t="s">
        <v>8</v>
      </c>
      <c r="E9" s="1" t="s">
        <v>23</v>
      </c>
      <c r="G9" s="5" t="s">
        <v>8</v>
      </c>
      <c r="H9" s="1" t="s">
        <v>24</v>
      </c>
      <c r="I9" s="1" t="s">
        <v>13</v>
      </c>
      <c r="J9" s="5" t="s">
        <v>8</v>
      </c>
      <c r="AK9" s="2" t="s">
        <v>1</v>
      </c>
      <c r="AR9" s="1" t="s">
        <v>25</v>
      </c>
      <c r="BG9" s="1" t="s">
        <v>20</v>
      </c>
      <c r="BT9" s="1" t="s">
        <v>25</v>
      </c>
      <c r="CI9" s="1" t="s">
        <v>26</v>
      </c>
    </row>
    <row r="10" spans="2:59" ht="12">
      <c r="B10" s="1" t="s">
        <v>27</v>
      </c>
      <c r="D10" s="5" t="s">
        <v>8</v>
      </c>
      <c r="E10" s="1" t="s">
        <v>28</v>
      </c>
      <c r="G10" s="5" t="s">
        <v>8</v>
      </c>
      <c r="H10" s="1" t="s">
        <v>29</v>
      </c>
      <c r="I10" s="1" t="s">
        <v>13</v>
      </c>
      <c r="J10" s="5" t="s">
        <v>8</v>
      </c>
      <c r="AK10" s="2" t="s">
        <v>1</v>
      </c>
      <c r="BG10" s="1" t="s">
        <v>25</v>
      </c>
    </row>
    <row r="11" spans="4:93" ht="12">
      <c r="D11" s="5" t="s">
        <v>8</v>
      </c>
      <c r="E11" s="1" t="s">
        <v>30</v>
      </c>
      <c r="G11" s="5" t="s">
        <v>8</v>
      </c>
      <c r="I11" s="1" t="s">
        <v>13</v>
      </c>
      <c r="J11" s="5" t="s">
        <v>8</v>
      </c>
      <c r="AK11" s="2" t="s">
        <v>1</v>
      </c>
      <c r="AM11" s="4" t="s">
        <v>31</v>
      </c>
      <c r="AN11" s="4" t="s">
        <v>31</v>
      </c>
      <c r="AO11" s="4" t="s">
        <v>31</v>
      </c>
      <c r="AP11" s="4" t="s">
        <v>31</v>
      </c>
      <c r="AQ11" s="4" t="s">
        <v>31</v>
      </c>
      <c r="AR11" s="4" t="s">
        <v>31</v>
      </c>
      <c r="AS11" s="4" t="s">
        <v>31</v>
      </c>
      <c r="AT11" s="4" t="s">
        <v>31</v>
      </c>
      <c r="AU11" s="4" t="s">
        <v>31</v>
      </c>
      <c r="AV11" s="4" t="s">
        <v>31</v>
      </c>
      <c r="AW11" s="4" t="s">
        <v>31</v>
      </c>
      <c r="AX11" s="4" t="s">
        <v>31</v>
      </c>
      <c r="AY11" s="4" t="s">
        <v>31</v>
      </c>
      <c r="BO11" s="4" t="s">
        <v>31</v>
      </c>
      <c r="BP11" s="4" t="s">
        <v>31</v>
      </c>
      <c r="BQ11" s="4" t="s">
        <v>31</v>
      </c>
      <c r="BR11" s="4" t="s">
        <v>31</v>
      </c>
      <c r="BS11" s="4" t="s">
        <v>31</v>
      </c>
      <c r="BT11" s="4" t="s">
        <v>31</v>
      </c>
      <c r="BU11" s="4" t="s">
        <v>31</v>
      </c>
      <c r="BV11" s="4" t="s">
        <v>31</v>
      </c>
      <c r="BW11" s="4" t="s">
        <v>31</v>
      </c>
      <c r="BX11" s="4" t="s">
        <v>31</v>
      </c>
      <c r="BY11" s="4" t="s">
        <v>31</v>
      </c>
      <c r="BZ11" s="4" t="s">
        <v>31</v>
      </c>
      <c r="CA11" s="4" t="s">
        <v>31</v>
      </c>
      <c r="CE11" s="4" t="s">
        <v>31</v>
      </c>
      <c r="CF11" s="4" t="s">
        <v>31</v>
      </c>
      <c r="CG11" s="4" t="s">
        <v>31</v>
      </c>
      <c r="CH11" s="4" t="s">
        <v>31</v>
      </c>
      <c r="CI11" s="4" t="s">
        <v>31</v>
      </c>
      <c r="CJ11" s="4" t="s">
        <v>31</v>
      </c>
      <c r="CK11" s="4" t="s">
        <v>31</v>
      </c>
      <c r="CL11" s="4" t="s">
        <v>31</v>
      </c>
      <c r="CM11" s="4" t="s">
        <v>31</v>
      </c>
      <c r="CN11" s="4" t="s">
        <v>31</v>
      </c>
      <c r="CO11" s="4" t="s">
        <v>31</v>
      </c>
    </row>
    <row r="12" spans="4:92" ht="12">
      <c r="D12" s="5" t="s">
        <v>8</v>
      </c>
      <c r="G12" s="5" t="s">
        <v>8</v>
      </c>
      <c r="I12" s="1" t="s">
        <v>13</v>
      </c>
      <c r="J12" s="5" t="s">
        <v>8</v>
      </c>
      <c r="AK12" s="2" t="s">
        <v>1</v>
      </c>
      <c r="AP12" s="1" t="s">
        <v>32</v>
      </c>
      <c r="AU12" s="1" t="s">
        <v>33</v>
      </c>
      <c r="BD12" s="4" t="s">
        <v>31</v>
      </c>
      <c r="BE12" s="4" t="s">
        <v>31</v>
      </c>
      <c r="BF12" s="4" t="s">
        <v>31</v>
      </c>
      <c r="BG12" s="4" t="s">
        <v>31</v>
      </c>
      <c r="BH12" s="4" t="s">
        <v>31</v>
      </c>
      <c r="BI12" s="4" t="s">
        <v>31</v>
      </c>
      <c r="BJ12" s="4" t="s">
        <v>31</v>
      </c>
      <c r="BK12" s="4" t="s">
        <v>31</v>
      </c>
      <c r="BL12" s="4" t="s">
        <v>31</v>
      </c>
      <c r="BR12" s="1" t="s">
        <v>32</v>
      </c>
      <c r="BW12" s="1" t="s">
        <v>33</v>
      </c>
      <c r="CF12" s="1" t="s">
        <v>34</v>
      </c>
      <c r="CH12" s="1" t="s">
        <v>35</v>
      </c>
      <c r="CJ12" s="1" t="s">
        <v>36</v>
      </c>
      <c r="CL12" s="1" t="s">
        <v>37</v>
      </c>
      <c r="CN12" s="1" t="s">
        <v>38</v>
      </c>
    </row>
    <row r="13" spans="2:93" ht="12"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1" t="s">
        <v>9</v>
      </c>
      <c r="H13" s="1" t="s">
        <v>9</v>
      </c>
      <c r="I13" s="1" t="s">
        <v>9</v>
      </c>
      <c r="J13" s="1" t="s">
        <v>9</v>
      </c>
      <c r="AK13" s="2" t="s">
        <v>1</v>
      </c>
      <c r="AN13" s="4" t="s">
        <v>39</v>
      </c>
      <c r="AO13" s="4" t="s">
        <v>39</v>
      </c>
      <c r="AP13" s="4" t="s">
        <v>39</v>
      </c>
      <c r="AQ13" s="4" t="s">
        <v>39</v>
      </c>
      <c r="AR13" s="4" t="s">
        <v>39</v>
      </c>
      <c r="AS13" s="1" t="s">
        <v>40</v>
      </c>
      <c r="AT13" s="4" t="s">
        <v>39</v>
      </c>
      <c r="AU13" s="4" t="s">
        <v>39</v>
      </c>
      <c r="AV13" s="4" t="s">
        <v>39</v>
      </c>
      <c r="AW13" s="1" t="s">
        <v>40</v>
      </c>
      <c r="AX13" s="1" t="s">
        <v>41</v>
      </c>
      <c r="BP13" s="4" t="s">
        <v>39</v>
      </c>
      <c r="BQ13" s="4" t="s">
        <v>39</v>
      </c>
      <c r="BR13" s="4" t="s">
        <v>39</v>
      </c>
      <c r="BS13" s="4" t="s">
        <v>39</v>
      </c>
      <c r="BT13" s="4" t="s">
        <v>39</v>
      </c>
      <c r="BU13" s="1" t="s">
        <v>40</v>
      </c>
      <c r="BV13" s="4" t="s">
        <v>39</v>
      </c>
      <c r="BW13" s="4" t="s">
        <v>39</v>
      </c>
      <c r="BX13" s="4" t="s">
        <v>39</v>
      </c>
      <c r="BY13" s="1" t="s">
        <v>40</v>
      </c>
      <c r="BZ13" s="1" t="s">
        <v>41</v>
      </c>
      <c r="CF13" s="4" t="s">
        <v>39</v>
      </c>
      <c r="CG13" s="1" t="s">
        <v>40</v>
      </c>
      <c r="CH13" s="4" t="s">
        <v>39</v>
      </c>
      <c r="CI13" s="1" t="s">
        <v>40</v>
      </c>
      <c r="CJ13" s="4" t="s">
        <v>39</v>
      </c>
      <c r="CK13" s="1" t="s">
        <v>40</v>
      </c>
      <c r="CL13" s="4" t="s">
        <v>39</v>
      </c>
      <c r="CM13" s="1" t="s">
        <v>40</v>
      </c>
      <c r="CN13" s="4" t="s">
        <v>39</v>
      </c>
      <c r="CO13" s="4" t="s">
        <v>39</v>
      </c>
    </row>
    <row r="14" spans="9:92" ht="12">
      <c r="I14" s="1" t="s">
        <v>13</v>
      </c>
      <c r="AK14" s="2" t="s">
        <v>1</v>
      </c>
      <c r="AN14" s="1" t="s">
        <v>42</v>
      </c>
      <c r="AP14" s="1" t="s">
        <v>43</v>
      </c>
      <c r="AR14" s="1" t="s">
        <v>44</v>
      </c>
      <c r="AT14" s="1" t="s">
        <v>42</v>
      </c>
      <c r="AV14" s="1" t="s">
        <v>43</v>
      </c>
      <c r="AX14" s="4" t="s">
        <v>39</v>
      </c>
      <c r="AY14" s="4" t="s">
        <v>39</v>
      </c>
      <c r="BE14" s="1" t="s">
        <v>42</v>
      </c>
      <c r="BG14" s="1" t="s">
        <v>43</v>
      </c>
      <c r="BI14" s="1" t="s">
        <v>45</v>
      </c>
      <c r="BK14" s="1" t="s">
        <v>46</v>
      </c>
      <c r="BP14" s="1" t="s">
        <v>42</v>
      </c>
      <c r="BR14" s="1" t="s">
        <v>43</v>
      </c>
      <c r="BT14" s="1" t="s">
        <v>44</v>
      </c>
      <c r="BV14" s="1" t="s">
        <v>42</v>
      </c>
      <c r="BX14" s="1" t="s">
        <v>43</v>
      </c>
      <c r="BZ14" s="4" t="s">
        <v>39</v>
      </c>
      <c r="CA14" s="4" t="s">
        <v>39</v>
      </c>
      <c r="CF14" s="6" t="s">
        <v>47</v>
      </c>
      <c r="CH14" s="6" t="s">
        <v>47</v>
      </c>
      <c r="CJ14" s="6" t="s">
        <v>47</v>
      </c>
      <c r="CL14" s="6" t="s">
        <v>47</v>
      </c>
      <c r="CN14" s="6" t="s">
        <v>47</v>
      </c>
    </row>
    <row r="15" spans="9:77" ht="12">
      <c r="I15" s="1" t="s">
        <v>13</v>
      </c>
      <c r="AK15" s="2" t="s">
        <v>1</v>
      </c>
      <c r="AN15" s="4" t="s">
        <v>39</v>
      </c>
      <c r="AO15" s="1" t="s">
        <v>40</v>
      </c>
      <c r="AP15" s="4" t="s">
        <v>39</v>
      </c>
      <c r="AQ15" s="1" t="s">
        <v>40</v>
      </c>
      <c r="AR15" s="4" t="s">
        <v>39</v>
      </c>
      <c r="AS15" s="1" t="s">
        <v>40</v>
      </c>
      <c r="AT15" s="4" t="s">
        <v>39</v>
      </c>
      <c r="AU15" s="1" t="s">
        <v>40</v>
      </c>
      <c r="AV15" s="4" t="s">
        <v>39</v>
      </c>
      <c r="AW15" s="1" t="s">
        <v>40</v>
      </c>
      <c r="BE15" s="4" t="s">
        <v>39</v>
      </c>
      <c r="BF15" s="1" t="s">
        <v>40</v>
      </c>
      <c r="BG15" s="4" t="s">
        <v>39</v>
      </c>
      <c r="BH15" s="1" t="s">
        <v>40</v>
      </c>
      <c r="BI15" s="4" t="s">
        <v>39</v>
      </c>
      <c r="BJ15" s="1" t="s">
        <v>40</v>
      </c>
      <c r="BK15" s="4" t="s">
        <v>39</v>
      </c>
      <c r="BL15" s="1" t="s">
        <v>40</v>
      </c>
      <c r="BP15" s="4" t="s">
        <v>39</v>
      </c>
      <c r="BQ15" s="1" t="s">
        <v>40</v>
      </c>
      <c r="BR15" s="4" t="s">
        <v>39</v>
      </c>
      <c r="BS15" s="1" t="s">
        <v>40</v>
      </c>
      <c r="BT15" s="4" t="s">
        <v>39</v>
      </c>
      <c r="BU15" s="1" t="s">
        <v>40</v>
      </c>
      <c r="BV15" s="4" t="s">
        <v>39</v>
      </c>
      <c r="BW15" s="1" t="s">
        <v>40</v>
      </c>
      <c r="BX15" s="4" t="s">
        <v>39</v>
      </c>
      <c r="BY15" s="1" t="s">
        <v>40</v>
      </c>
    </row>
    <row r="16" spans="9:94" ht="12">
      <c r="I16" s="1" t="s">
        <v>13</v>
      </c>
      <c r="AK16" s="2" t="s">
        <v>1</v>
      </c>
      <c r="AN16" s="6" t="s">
        <v>47</v>
      </c>
      <c r="AP16" s="6" t="s">
        <v>47</v>
      </c>
      <c r="AR16" s="6" t="s">
        <v>47</v>
      </c>
      <c r="AT16" s="6" t="s">
        <v>47</v>
      </c>
      <c r="AV16" s="6" t="s">
        <v>47</v>
      </c>
      <c r="AX16" s="6" t="s">
        <v>47</v>
      </c>
      <c r="BE16" s="6" t="s">
        <v>47</v>
      </c>
      <c r="BG16" s="6" t="s">
        <v>47</v>
      </c>
      <c r="BI16" s="6" t="s">
        <v>47</v>
      </c>
      <c r="BK16" s="6" t="s">
        <v>47</v>
      </c>
      <c r="BP16" s="6" t="s">
        <v>47</v>
      </c>
      <c r="BR16" s="6" t="s">
        <v>47</v>
      </c>
      <c r="BT16" s="6" t="s">
        <v>47</v>
      </c>
      <c r="BV16" s="6" t="s">
        <v>47</v>
      </c>
      <c r="BX16" s="6" t="s">
        <v>47</v>
      </c>
      <c r="BZ16" s="6" t="s">
        <v>47</v>
      </c>
      <c r="CP16" s="7"/>
    </row>
    <row r="17" spans="9:94" ht="12">
      <c r="I17" s="1" t="s">
        <v>13</v>
      </c>
      <c r="AK17" s="2" t="s">
        <v>1</v>
      </c>
      <c r="AM17" s="4" t="s">
        <v>31</v>
      </c>
      <c r="AN17" s="4" t="s">
        <v>31</v>
      </c>
      <c r="AO17" s="4" t="s">
        <v>31</v>
      </c>
      <c r="AP17" s="4" t="s">
        <v>31</v>
      </c>
      <c r="AQ17" s="4" t="s">
        <v>31</v>
      </c>
      <c r="AR17" s="4" t="s">
        <v>31</v>
      </c>
      <c r="AS17" s="4" t="s">
        <v>31</v>
      </c>
      <c r="AT17" s="4" t="s">
        <v>31</v>
      </c>
      <c r="AU17" s="4" t="s">
        <v>31</v>
      </c>
      <c r="AV17" s="4" t="s">
        <v>31</v>
      </c>
      <c r="AW17" s="4" t="s">
        <v>31</v>
      </c>
      <c r="AX17" s="4" t="s">
        <v>31</v>
      </c>
      <c r="AY17" s="4" t="s">
        <v>31</v>
      </c>
      <c r="BD17" s="4" t="s">
        <v>31</v>
      </c>
      <c r="BE17" s="4" t="s">
        <v>31</v>
      </c>
      <c r="BF17" s="4" t="s">
        <v>31</v>
      </c>
      <c r="BG17" s="4" t="s">
        <v>31</v>
      </c>
      <c r="BH17" s="4" t="s">
        <v>31</v>
      </c>
      <c r="BI17" s="4" t="s">
        <v>31</v>
      </c>
      <c r="BJ17" s="4" t="s">
        <v>31</v>
      </c>
      <c r="BK17" s="4" t="s">
        <v>31</v>
      </c>
      <c r="BL17" s="4" t="s">
        <v>31</v>
      </c>
      <c r="BO17" s="4" t="s">
        <v>31</v>
      </c>
      <c r="BP17" s="4" t="s">
        <v>31</v>
      </c>
      <c r="BQ17" s="4" t="s">
        <v>31</v>
      </c>
      <c r="BR17" s="4" t="s">
        <v>31</v>
      </c>
      <c r="BS17" s="4" t="s">
        <v>31</v>
      </c>
      <c r="BT17" s="4" t="s">
        <v>31</v>
      </c>
      <c r="BU17" s="4" t="s">
        <v>31</v>
      </c>
      <c r="BV17" s="4" t="s">
        <v>31</v>
      </c>
      <c r="BW17" s="4" t="s">
        <v>31</v>
      </c>
      <c r="BX17" s="4" t="s">
        <v>31</v>
      </c>
      <c r="BY17" s="4" t="s">
        <v>31</v>
      </c>
      <c r="BZ17" s="4" t="s">
        <v>31</v>
      </c>
      <c r="CA17" s="4" t="s">
        <v>31</v>
      </c>
      <c r="CE17" s="4" t="s">
        <v>31</v>
      </c>
      <c r="CF17" s="4" t="s">
        <v>31</v>
      </c>
      <c r="CG17" s="4" t="s">
        <v>31</v>
      </c>
      <c r="CH17" s="4" t="s">
        <v>31</v>
      </c>
      <c r="CI17" s="4" t="s">
        <v>31</v>
      </c>
      <c r="CJ17" s="4" t="s">
        <v>31</v>
      </c>
      <c r="CK17" s="4" t="s">
        <v>31</v>
      </c>
      <c r="CL17" s="4" t="s">
        <v>31</v>
      </c>
      <c r="CM17" s="4" t="s">
        <v>31</v>
      </c>
      <c r="CN17" s="4" t="s">
        <v>31</v>
      </c>
      <c r="CO17" s="4" t="s">
        <v>31</v>
      </c>
      <c r="CP17" s="7"/>
    </row>
    <row r="18" spans="9:94" ht="12">
      <c r="I18" s="1" t="s">
        <v>13</v>
      </c>
      <c r="AK18" s="2" t="s">
        <v>1</v>
      </c>
      <c r="CP18" s="7"/>
    </row>
    <row r="19" spans="9:93" ht="12">
      <c r="I19" s="1" t="s">
        <v>13</v>
      </c>
      <c r="AK19" s="2" t="s">
        <v>1</v>
      </c>
      <c r="AM19" s="1" t="s">
        <v>48</v>
      </c>
      <c r="AN19" s="8">
        <v>1323</v>
      </c>
      <c r="AO19" s="8">
        <v>4000</v>
      </c>
      <c r="AP19" s="8">
        <f>(1340+1379)/2</f>
        <v>1359.5</v>
      </c>
      <c r="AQ19" s="8">
        <f>(4007+3820)/2</f>
        <v>3913.5</v>
      </c>
      <c r="AR19" s="8">
        <f>(1200+1224)/2</f>
        <v>1212</v>
      </c>
      <c r="AS19" s="8">
        <f>(3477+3142)/2</f>
        <v>3309.5</v>
      </c>
      <c r="AT19" s="8">
        <v>882</v>
      </c>
      <c r="AU19" s="8">
        <v>2900</v>
      </c>
      <c r="AV19" s="8">
        <f>(1154+1080)/2</f>
        <v>1117</v>
      </c>
      <c r="AW19" s="8">
        <f>(3003+3022)/2</f>
        <v>3012.5</v>
      </c>
      <c r="AX19" s="8">
        <v>900</v>
      </c>
      <c r="AY19" s="8">
        <v>2520</v>
      </c>
      <c r="AZ19" s="7"/>
      <c r="BA19" s="7"/>
      <c r="BD19" s="1" t="s">
        <v>48</v>
      </c>
      <c r="BE19" s="8">
        <v>842</v>
      </c>
      <c r="BF19" s="8">
        <v>2333</v>
      </c>
      <c r="BG19" s="8">
        <v>600</v>
      </c>
      <c r="BH19" s="8">
        <v>1440</v>
      </c>
      <c r="BI19" s="8">
        <f>(566+765)/2</f>
        <v>665.5</v>
      </c>
      <c r="BJ19" s="8">
        <f>(4251+3645)/2</f>
        <v>3948</v>
      </c>
      <c r="BK19" s="8">
        <f>(200+176)/2</f>
        <v>188</v>
      </c>
      <c r="BL19" s="8">
        <f>(960+400)/2</f>
        <v>680</v>
      </c>
      <c r="BO19" s="1" t="s">
        <v>49</v>
      </c>
      <c r="BP19" s="8">
        <v>1452</v>
      </c>
      <c r="BQ19" s="8">
        <v>4038</v>
      </c>
      <c r="BR19" s="8">
        <f>(1470+1460)/2</f>
        <v>1465</v>
      </c>
      <c r="BS19" s="8">
        <f>(3900+3921)/2</f>
        <v>3910.5</v>
      </c>
      <c r="BT19" s="8">
        <f>(1371+1200)/2</f>
        <v>1285.5</v>
      </c>
      <c r="BU19" s="8">
        <f>(3200+2819)/2</f>
        <v>3009.5</v>
      </c>
      <c r="BV19" s="8">
        <v>1120</v>
      </c>
      <c r="BW19" s="8">
        <v>3200</v>
      </c>
      <c r="BX19" s="8">
        <f>(1155+1199)/2</f>
        <v>1177</v>
      </c>
      <c r="BY19" s="8">
        <f>(3016+2682)/2</f>
        <v>2849</v>
      </c>
      <c r="BZ19" s="8">
        <v>675</v>
      </c>
      <c r="CA19" s="8">
        <v>3171</v>
      </c>
      <c r="CB19" s="7"/>
      <c r="CE19" s="1" t="s">
        <v>48</v>
      </c>
      <c r="CF19" s="8">
        <v>1822</v>
      </c>
      <c r="CG19" s="8">
        <v>4226</v>
      </c>
      <c r="CH19" s="8">
        <v>3700</v>
      </c>
      <c r="CI19" s="8">
        <v>9937</v>
      </c>
      <c r="CJ19" s="8">
        <f>(3326+3200)/2</f>
        <v>3263</v>
      </c>
      <c r="CK19" s="8">
        <f>(7800+6825)/2</f>
        <v>7312.5</v>
      </c>
      <c r="CL19" s="8">
        <v>1595</v>
      </c>
      <c r="CM19" s="8">
        <v>3856</v>
      </c>
      <c r="CN19" s="8">
        <v>2186</v>
      </c>
      <c r="CO19" s="8">
        <v>5073</v>
      </c>
    </row>
    <row r="20" spans="2:94" ht="12"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1" t="s">
        <v>9</v>
      </c>
      <c r="H20" s="1" t="s">
        <v>9</v>
      </c>
      <c r="I20" s="1" t="s">
        <v>50</v>
      </c>
      <c r="AK20" s="2" t="s">
        <v>1</v>
      </c>
      <c r="AZ20" s="7"/>
      <c r="BA20" s="7"/>
      <c r="CB20" s="7"/>
      <c r="CP20" s="7"/>
    </row>
    <row r="21" spans="2:94" ht="12">
      <c r="B21" s="3">
        <v>5</v>
      </c>
      <c r="C21" s="3">
        <v>16</v>
      </c>
      <c r="D21" s="3">
        <v>5</v>
      </c>
      <c r="E21" s="3">
        <v>6</v>
      </c>
      <c r="F21" s="3">
        <v>7</v>
      </c>
      <c r="G21" s="3">
        <v>6</v>
      </c>
      <c r="H21" s="3">
        <v>7</v>
      </c>
      <c r="I21" s="3">
        <v>6</v>
      </c>
      <c r="J21" s="3">
        <v>7</v>
      </c>
      <c r="K21" s="3">
        <v>6</v>
      </c>
      <c r="L21" s="3">
        <v>7</v>
      </c>
      <c r="M21" s="3">
        <v>6</v>
      </c>
      <c r="N21" s="3">
        <v>6</v>
      </c>
      <c r="O21" s="3">
        <v>6</v>
      </c>
      <c r="P21" s="3">
        <v>6</v>
      </c>
      <c r="Q21" s="3">
        <v>6</v>
      </c>
      <c r="R21" s="3">
        <v>6</v>
      </c>
      <c r="S21" s="3">
        <v>6</v>
      </c>
      <c r="T21" s="3">
        <v>6</v>
      </c>
      <c r="U21" s="3">
        <f>SUM(B21:T21)</f>
        <v>126</v>
      </c>
      <c r="V21" s="1" t="s">
        <v>51</v>
      </c>
      <c r="AK21" s="2" t="s">
        <v>1</v>
      </c>
      <c r="AM21" s="1" t="s">
        <v>52</v>
      </c>
      <c r="AN21" s="7"/>
      <c r="AO21" s="7"/>
      <c r="AP21" s="7">
        <v>1379</v>
      </c>
      <c r="AQ21" s="7">
        <v>2993</v>
      </c>
      <c r="AR21" s="7">
        <f>(1491+1395)/2</f>
        <v>1443</v>
      </c>
      <c r="AS21" s="7">
        <f>(2091+2790)/2</f>
        <v>2440.5</v>
      </c>
      <c r="AT21" s="7">
        <f>(980+950)/2</f>
        <v>965</v>
      </c>
      <c r="AU21" s="7">
        <f>(1872+1350)/2</f>
        <v>1611</v>
      </c>
      <c r="AV21" s="7">
        <v>1080</v>
      </c>
      <c r="AW21" s="7">
        <v>1629</v>
      </c>
      <c r="AX21" s="7">
        <v>900</v>
      </c>
      <c r="AY21" s="7">
        <v>1800</v>
      </c>
      <c r="AZ21" s="7"/>
      <c r="BA21" s="7"/>
      <c r="BD21" s="1" t="s">
        <v>52</v>
      </c>
      <c r="BE21" s="7"/>
      <c r="BF21" s="7"/>
      <c r="BG21" s="7">
        <v>600</v>
      </c>
      <c r="BH21" s="7">
        <v>1050</v>
      </c>
      <c r="BI21" s="7"/>
      <c r="BJ21" s="7"/>
      <c r="BK21" s="7">
        <v>600</v>
      </c>
      <c r="BL21" s="7">
        <v>1050</v>
      </c>
      <c r="BO21" s="1" t="s">
        <v>52</v>
      </c>
      <c r="BP21" s="7"/>
      <c r="BQ21" s="7"/>
      <c r="BR21" s="7">
        <v>1379</v>
      </c>
      <c r="BS21" s="7">
        <v>3090</v>
      </c>
      <c r="BT21" s="7">
        <f>(1305+1437)/2</f>
        <v>1371</v>
      </c>
      <c r="BU21" s="7">
        <f>(2610+2037)/2</f>
        <v>2323.5</v>
      </c>
      <c r="BV21" s="7">
        <f>(1560+1000)/2</f>
        <v>1280</v>
      </c>
      <c r="BW21" s="7">
        <f>(2040+1425)/2</f>
        <v>1732.5</v>
      </c>
      <c r="BX21" s="7">
        <v>1155</v>
      </c>
      <c r="BY21" s="7">
        <v>1620</v>
      </c>
      <c r="BZ21" s="7"/>
      <c r="CA21" s="7"/>
      <c r="CB21" s="7"/>
      <c r="CE21" s="1" t="s">
        <v>52</v>
      </c>
      <c r="CF21" s="7">
        <v>1897</v>
      </c>
      <c r="CG21" s="7">
        <v>3511</v>
      </c>
      <c r="CH21" s="7">
        <f>(4262+3771)/2</f>
        <v>4016.5</v>
      </c>
      <c r="CI21" s="7">
        <f>(12483+12441)/2</f>
        <v>12462</v>
      </c>
      <c r="CJ21" s="7">
        <v>3158</v>
      </c>
      <c r="CK21" s="7">
        <v>4358</v>
      </c>
      <c r="CL21" s="7">
        <v>2558</v>
      </c>
      <c r="CM21" s="7">
        <v>6956</v>
      </c>
      <c r="CN21" s="7">
        <v>1556</v>
      </c>
      <c r="CO21" s="7">
        <v>3945</v>
      </c>
      <c r="CP21" s="7"/>
    </row>
    <row r="22" spans="37:94" ht="12">
      <c r="AK22" s="2" t="s">
        <v>1</v>
      </c>
      <c r="AM22" s="1" t="s">
        <v>53</v>
      </c>
      <c r="AN22" s="7">
        <v>1030</v>
      </c>
      <c r="AO22" s="7">
        <v>2542</v>
      </c>
      <c r="AP22" s="7"/>
      <c r="AQ22" s="7"/>
      <c r="AR22" s="7"/>
      <c r="AS22" s="7"/>
      <c r="AT22" s="7">
        <v>872</v>
      </c>
      <c r="AU22" s="7">
        <v>2072</v>
      </c>
      <c r="AV22" s="7">
        <v>912</v>
      </c>
      <c r="AW22" s="7">
        <v>1782</v>
      </c>
      <c r="AX22" s="7">
        <f>(934+930)/2</f>
        <v>932</v>
      </c>
      <c r="AY22" s="7">
        <f>(1200+2190)/2</f>
        <v>1695</v>
      </c>
      <c r="BD22" s="1" t="s">
        <v>53</v>
      </c>
      <c r="BG22" s="7">
        <v>528</v>
      </c>
      <c r="BH22" s="7">
        <f>(1008+972)/2</f>
        <v>990</v>
      </c>
      <c r="BI22" s="7"/>
      <c r="BJ22" s="7"/>
      <c r="BK22" s="7">
        <v>400</v>
      </c>
      <c r="BL22" s="7" t="e">
        <f>NA()</f>
        <v>#N/A</v>
      </c>
      <c r="BO22" s="1" t="s">
        <v>53</v>
      </c>
      <c r="BP22" s="7">
        <v>1350</v>
      </c>
      <c r="BQ22" s="7">
        <v>2862</v>
      </c>
      <c r="BR22" s="7"/>
      <c r="BS22" s="7"/>
      <c r="BT22" s="7"/>
      <c r="BU22" s="7"/>
      <c r="BV22" s="7">
        <v>872</v>
      </c>
      <c r="BW22" s="7">
        <v>2072</v>
      </c>
      <c r="BX22" s="7">
        <v>1056</v>
      </c>
      <c r="BY22" s="7">
        <v>1920</v>
      </c>
      <c r="BZ22" s="7"/>
      <c r="CA22" s="7"/>
      <c r="CE22" s="1" t="s">
        <v>53</v>
      </c>
      <c r="CF22" s="7">
        <f>(1350+1320)/2</f>
        <v>1335</v>
      </c>
      <c r="CG22" s="7">
        <f>(2862+2840)/2</f>
        <v>2851</v>
      </c>
      <c r="CH22" s="7">
        <v>4200</v>
      </c>
      <c r="CI22" s="7">
        <v>8400</v>
      </c>
      <c r="CJ22" s="7"/>
      <c r="CK22" s="7"/>
      <c r="CL22" s="7"/>
      <c r="CM22" s="7"/>
      <c r="CN22" s="7"/>
      <c r="CO22" s="7"/>
      <c r="CP22" s="7"/>
    </row>
    <row r="23" spans="2:93" ht="12">
      <c r="B23" s="6" t="s">
        <v>54</v>
      </c>
      <c r="C23" s="6" t="s">
        <v>55</v>
      </c>
      <c r="D23" s="6" t="s">
        <v>56</v>
      </c>
      <c r="E23" s="6" t="s">
        <v>57</v>
      </c>
      <c r="F23" s="6" t="s">
        <v>58</v>
      </c>
      <c r="G23" s="6" t="s">
        <v>59</v>
      </c>
      <c r="H23" s="6" t="s">
        <v>60</v>
      </c>
      <c r="I23" s="6" t="s">
        <v>61</v>
      </c>
      <c r="J23" s="6" t="s">
        <v>62</v>
      </c>
      <c r="K23" s="6" t="s">
        <v>63</v>
      </c>
      <c r="L23" s="6" t="s">
        <v>64</v>
      </c>
      <c r="M23" s="6" t="s">
        <v>65</v>
      </c>
      <c r="N23" s="6" t="s">
        <v>66</v>
      </c>
      <c r="O23" s="6" t="s">
        <v>67</v>
      </c>
      <c r="P23" s="6" t="s">
        <v>68</v>
      </c>
      <c r="Q23" s="6" t="s">
        <v>69</v>
      </c>
      <c r="R23" s="6" t="s">
        <v>70</v>
      </c>
      <c r="S23" s="6" t="s">
        <v>71</v>
      </c>
      <c r="T23" s="6" t="s">
        <v>72</v>
      </c>
      <c r="W23" s="1" t="s">
        <v>32</v>
      </c>
      <c r="Y23" s="1" t="s">
        <v>73</v>
      </c>
      <c r="Z23" s="1" t="s">
        <v>74</v>
      </c>
      <c r="AB23" s="1" t="s">
        <v>75</v>
      </c>
      <c r="AG23" s="1" t="s">
        <v>76</v>
      </c>
      <c r="AK23" s="2" t="s">
        <v>1</v>
      </c>
      <c r="AM23" s="1" t="s">
        <v>77</v>
      </c>
      <c r="AN23" s="7">
        <v>812</v>
      </c>
      <c r="AO23" s="7">
        <v>3142</v>
      </c>
      <c r="AP23" s="7">
        <v>812</v>
      </c>
      <c r="AQ23" s="7">
        <v>3142</v>
      </c>
      <c r="AR23" s="7">
        <v>812</v>
      </c>
      <c r="AS23" s="7">
        <v>3142</v>
      </c>
      <c r="AT23" s="7">
        <v>812</v>
      </c>
      <c r="AU23" s="7">
        <v>3142</v>
      </c>
      <c r="AV23" s="7">
        <v>812</v>
      </c>
      <c r="AW23" s="7">
        <v>3142</v>
      </c>
      <c r="AX23" s="7"/>
      <c r="AY23" s="7"/>
      <c r="AZ23" s="7"/>
      <c r="BA23" s="7"/>
      <c r="BD23" s="1" t="s">
        <v>77</v>
      </c>
      <c r="BE23" s="7"/>
      <c r="BF23" s="7"/>
      <c r="BG23" s="7">
        <v>593</v>
      </c>
      <c r="BH23" s="7">
        <v>1232</v>
      </c>
      <c r="BI23" s="7"/>
      <c r="BJ23" s="7"/>
      <c r="BK23" s="7">
        <v>200</v>
      </c>
      <c r="BL23" s="7">
        <v>400</v>
      </c>
      <c r="BO23" s="1" t="s">
        <v>77</v>
      </c>
      <c r="BP23" s="7">
        <v>1199</v>
      </c>
      <c r="BQ23" s="7">
        <v>3921</v>
      </c>
      <c r="BR23" s="7">
        <v>1199</v>
      </c>
      <c r="BS23" s="7">
        <v>3921</v>
      </c>
      <c r="BT23" s="7">
        <v>1199</v>
      </c>
      <c r="BU23" s="7">
        <v>3921</v>
      </c>
      <c r="BV23" s="7">
        <v>1199</v>
      </c>
      <c r="BW23" s="7">
        <v>3921</v>
      </c>
      <c r="BX23" s="7">
        <v>1199</v>
      </c>
      <c r="BY23" s="7">
        <v>3921</v>
      </c>
      <c r="BZ23" s="7"/>
      <c r="CA23" s="7"/>
      <c r="CB23" s="7"/>
      <c r="CE23" s="1" t="s">
        <v>77</v>
      </c>
      <c r="CF23" s="7">
        <v>1199</v>
      </c>
      <c r="CG23" s="7">
        <v>3921</v>
      </c>
      <c r="CH23" s="7">
        <v>3355</v>
      </c>
      <c r="CI23" s="7">
        <v>8466</v>
      </c>
      <c r="CJ23" s="7">
        <v>3355</v>
      </c>
      <c r="CK23" s="7">
        <v>8466</v>
      </c>
      <c r="CL23" s="7"/>
      <c r="CM23" s="7"/>
      <c r="CN23" s="7">
        <v>3355</v>
      </c>
      <c r="CO23" s="7">
        <v>8466</v>
      </c>
    </row>
    <row r="24" spans="2:20" ht="12">
      <c r="B24" s="1" t="s">
        <v>78</v>
      </c>
      <c r="C24" s="1" t="s">
        <v>79</v>
      </c>
      <c r="D24" s="1" t="s">
        <v>80</v>
      </c>
      <c r="E24" s="3">
        <v>1220</v>
      </c>
      <c r="F24" s="3">
        <v>3090</v>
      </c>
      <c r="G24" s="3">
        <v>1220</v>
      </c>
      <c r="H24" s="3">
        <v>3090</v>
      </c>
      <c r="Q24" s="3">
        <v>1556</v>
      </c>
      <c r="R24" s="3">
        <v>3945</v>
      </c>
      <c r="S24" s="3">
        <v>1520</v>
      </c>
      <c r="T24" s="3">
        <v>3390</v>
      </c>
    </row>
    <row r="25" spans="2:94" ht="12">
      <c r="B25" s="1" t="s">
        <v>78</v>
      </c>
      <c r="C25" s="9" t="s">
        <v>81</v>
      </c>
      <c r="D25" s="1" t="s">
        <v>80</v>
      </c>
      <c r="E25" s="10">
        <v>1379</v>
      </c>
      <c r="F25" s="10">
        <v>2993</v>
      </c>
      <c r="G25" s="10">
        <v>1379</v>
      </c>
      <c r="H25" s="10">
        <v>2993</v>
      </c>
      <c r="I25" s="10">
        <v>1897</v>
      </c>
      <c r="J25" s="10">
        <v>3511</v>
      </c>
      <c r="K25" s="10">
        <v>3771</v>
      </c>
      <c r="L25" s="10">
        <v>12483</v>
      </c>
      <c r="U25" s="11" t="s">
        <v>1</v>
      </c>
      <c r="W25" s="6" t="s">
        <v>82</v>
      </c>
      <c r="AB25" s="6" t="s">
        <v>82</v>
      </c>
      <c r="AC25" s="6" t="s">
        <v>83</v>
      </c>
      <c r="AG25" s="6" t="s">
        <v>82</v>
      </c>
      <c r="AH25" s="6" t="s">
        <v>83</v>
      </c>
      <c r="AK25" s="2" t="s">
        <v>1</v>
      </c>
      <c r="AM25" s="1" t="s">
        <v>84</v>
      </c>
      <c r="AN25" s="7">
        <v>1662</v>
      </c>
      <c r="AO25" s="7">
        <v>4422</v>
      </c>
      <c r="AP25" s="7">
        <f>(1419+1695)/2</f>
        <v>1557</v>
      </c>
      <c r="AQ25" s="7">
        <f>(4749+5064)/2</f>
        <v>4906.5</v>
      </c>
      <c r="AR25" s="7"/>
      <c r="AS25" s="7"/>
      <c r="AT25" s="7"/>
      <c r="AU25" s="7"/>
      <c r="AV25" s="7">
        <v>1278</v>
      </c>
      <c r="AW25" s="7">
        <v>3360</v>
      </c>
      <c r="AX25" s="7"/>
      <c r="AY25" s="7"/>
      <c r="AZ25" s="7"/>
      <c r="BA25" s="7"/>
      <c r="BD25" s="1" t="s">
        <v>84</v>
      </c>
      <c r="BE25" s="7">
        <f>(849+834)/2</f>
        <v>841.5</v>
      </c>
      <c r="BF25" s="7">
        <f>(2340+2325)/2</f>
        <v>2332.5</v>
      </c>
      <c r="BG25" s="7">
        <f>(824+819)/2</f>
        <v>821.5</v>
      </c>
      <c r="BH25" s="7">
        <f>(2315+2310)/2</f>
        <v>2312.5</v>
      </c>
      <c r="BI25" s="7"/>
      <c r="BJ25" s="7"/>
      <c r="BK25" s="7"/>
      <c r="BL25" s="7"/>
      <c r="BO25" s="1" t="s">
        <v>84</v>
      </c>
      <c r="BP25" s="7">
        <v>1662</v>
      </c>
      <c r="BQ25" s="7">
        <v>4422</v>
      </c>
      <c r="BR25" s="7">
        <v>1695</v>
      </c>
      <c r="BS25" s="7">
        <f>(4749+5064)/2</f>
        <v>4906.5</v>
      </c>
      <c r="BT25" s="7"/>
      <c r="BU25" s="7"/>
      <c r="BV25" s="7"/>
      <c r="BW25" s="7"/>
      <c r="BX25" s="7">
        <v>1278</v>
      </c>
      <c r="BY25" s="7">
        <v>3360</v>
      </c>
      <c r="BZ25" s="7"/>
      <c r="CA25" s="7"/>
      <c r="CB25" s="7"/>
      <c r="CE25" s="1" t="s">
        <v>84</v>
      </c>
      <c r="CF25" s="7">
        <f>(2856+2412)/2</f>
        <v>2634</v>
      </c>
      <c r="CG25" s="7">
        <f>(8004+7019)/2</f>
        <v>7511.5</v>
      </c>
      <c r="CH25" s="7">
        <v>3486</v>
      </c>
      <c r="CI25" s="7">
        <v>10111</v>
      </c>
      <c r="CJ25" s="7">
        <v>3486</v>
      </c>
      <c r="CK25" s="7">
        <v>10111</v>
      </c>
      <c r="CL25" s="7"/>
      <c r="CM25" s="7"/>
      <c r="CN25" s="7">
        <v>2172</v>
      </c>
      <c r="CO25" s="7" t="e">
        <f>NA()</f>
        <v>#N/A</v>
      </c>
      <c r="CP25" s="7"/>
    </row>
    <row r="26" spans="2:94" ht="12">
      <c r="B26" s="1" t="s">
        <v>78</v>
      </c>
      <c r="C26" s="9" t="s">
        <v>85</v>
      </c>
      <c r="D26" s="1" t="s">
        <v>80</v>
      </c>
      <c r="E26" s="10">
        <v>1552</v>
      </c>
      <c r="F26" s="10">
        <v>2862</v>
      </c>
      <c r="G26" s="10">
        <v>1680</v>
      </c>
      <c r="H26" s="10">
        <v>3270</v>
      </c>
      <c r="K26" s="10">
        <v>4262</v>
      </c>
      <c r="L26" s="10">
        <v>12974</v>
      </c>
      <c r="M26" s="3">
        <v>3158</v>
      </c>
      <c r="N26" s="3">
        <v>4358</v>
      </c>
      <c r="O26" s="10">
        <v>2558</v>
      </c>
      <c r="P26" s="10">
        <v>6956</v>
      </c>
      <c r="U26" s="11" t="s">
        <v>1</v>
      </c>
      <c r="AK26" s="2" t="s">
        <v>1</v>
      </c>
      <c r="AM26" s="1" t="s">
        <v>86</v>
      </c>
      <c r="AN26" s="7">
        <v>1332</v>
      </c>
      <c r="AO26" s="7">
        <v>3812</v>
      </c>
      <c r="AP26" s="7">
        <v>1340</v>
      </c>
      <c r="AQ26" s="7">
        <v>3820</v>
      </c>
      <c r="AR26" s="7"/>
      <c r="AS26" s="7"/>
      <c r="AT26" s="7">
        <v>1020</v>
      </c>
      <c r="AU26" s="7">
        <v>2900</v>
      </c>
      <c r="AV26" s="7">
        <v>1052</v>
      </c>
      <c r="AW26" s="7">
        <v>2932</v>
      </c>
      <c r="AX26" s="7"/>
      <c r="AY26" s="7"/>
      <c r="BD26" s="1" t="s">
        <v>86</v>
      </c>
      <c r="BE26" s="7">
        <v>540</v>
      </c>
      <c r="BF26" s="7">
        <v>1620</v>
      </c>
      <c r="BH26" s="7"/>
      <c r="BI26" s="7"/>
      <c r="BJ26" s="7"/>
      <c r="BK26" s="7">
        <v>176</v>
      </c>
      <c r="BL26" s="7">
        <v>960</v>
      </c>
      <c r="BO26" s="1" t="s">
        <v>86</v>
      </c>
      <c r="BP26" s="7">
        <v>1452</v>
      </c>
      <c r="BQ26" s="7">
        <v>4172</v>
      </c>
      <c r="BR26" s="7">
        <v>1460</v>
      </c>
      <c r="BS26" s="7">
        <v>4180</v>
      </c>
      <c r="BT26" s="7"/>
      <c r="BU26" s="7"/>
      <c r="BV26" s="7">
        <v>1120</v>
      </c>
      <c r="BW26" s="7">
        <v>3200</v>
      </c>
      <c r="BX26" s="7">
        <v>1152</v>
      </c>
      <c r="BY26" s="7">
        <v>3232</v>
      </c>
      <c r="BZ26" s="7"/>
      <c r="CA26" s="7"/>
      <c r="CE26" s="1" t="s">
        <v>86</v>
      </c>
      <c r="CF26" s="7">
        <v>1822</v>
      </c>
      <c r="CG26" s="7">
        <v>5792</v>
      </c>
      <c r="CH26" s="7">
        <f>(4020+4012)/2</f>
        <v>4016</v>
      </c>
      <c r="CI26" s="7">
        <f>(11732+11740)/2</f>
        <v>11736</v>
      </c>
      <c r="CJ26" s="7">
        <f>(3322+3330)/2</f>
        <v>3326</v>
      </c>
      <c r="CK26" s="7">
        <f>(10550+10542)/2</f>
        <v>10546</v>
      </c>
      <c r="CL26" s="7"/>
      <c r="CM26" s="7"/>
      <c r="CN26" s="7"/>
      <c r="CO26" s="7"/>
      <c r="CP26" s="7"/>
    </row>
    <row r="27" spans="2:93" ht="12">
      <c r="B27" s="1" t="s">
        <v>78</v>
      </c>
      <c r="C27" s="9" t="s">
        <v>87</v>
      </c>
      <c r="D27" s="1" t="s">
        <v>88</v>
      </c>
      <c r="E27" s="10">
        <v>1395</v>
      </c>
      <c r="F27" s="10">
        <v>2790</v>
      </c>
      <c r="G27" s="10">
        <v>1305</v>
      </c>
      <c r="H27" s="10">
        <v>2610</v>
      </c>
      <c r="K27" s="10">
        <v>3729</v>
      </c>
      <c r="L27" s="10">
        <v>12441</v>
      </c>
      <c r="U27" s="11" t="s">
        <v>1</v>
      </c>
      <c r="V27" s="1" t="s">
        <v>89</v>
      </c>
      <c r="W27" s="8" t="e">
        <f>DAVERAGE(B23:T549,4,#VALUE!)</f>
        <v>#VALUE!</v>
      </c>
      <c r="Y27" s="12">
        <f>DAVERAGE(B23:T549,4,AC39:AC42)</f>
        <v>1108.4960629921259</v>
      </c>
      <c r="Z27" s="8">
        <f>DAVERAGE(B23:T549,4,AD33:AD37)</f>
        <v>780.0325034867503</v>
      </c>
      <c r="AK27" s="2" t="s">
        <v>1</v>
      </c>
      <c r="AM27" s="1" t="s">
        <v>90</v>
      </c>
      <c r="AN27" s="7">
        <v>1724</v>
      </c>
      <c r="AO27" s="7">
        <v>4124</v>
      </c>
      <c r="AP27" s="7"/>
      <c r="AQ27" s="7"/>
      <c r="AR27" s="7">
        <v>1224</v>
      </c>
      <c r="AS27" s="7">
        <v>2554</v>
      </c>
      <c r="AT27" s="7"/>
      <c r="AU27" s="7"/>
      <c r="AV27" s="7">
        <v>1228</v>
      </c>
      <c r="AW27" s="7">
        <v>2646</v>
      </c>
      <c r="AX27" s="7"/>
      <c r="AY27" s="7"/>
      <c r="AZ27" s="7"/>
      <c r="BA27" s="7"/>
      <c r="BD27" s="1" t="s">
        <v>90</v>
      </c>
      <c r="BE27" s="7">
        <f>(700+688)/2</f>
        <v>694</v>
      </c>
      <c r="BF27" s="7">
        <f>(2096+2096)/2</f>
        <v>2096</v>
      </c>
      <c r="BH27" s="7"/>
      <c r="BI27" s="7"/>
      <c r="BJ27" s="7"/>
      <c r="BK27" s="7">
        <v>105</v>
      </c>
      <c r="BL27" s="7">
        <v>105</v>
      </c>
      <c r="BO27" s="1" t="s">
        <v>90</v>
      </c>
      <c r="BP27" s="7">
        <v>1730</v>
      </c>
      <c r="BQ27" s="7">
        <v>4130</v>
      </c>
      <c r="BR27" s="7"/>
      <c r="BS27" s="7"/>
      <c r="BT27" s="7">
        <v>1084</v>
      </c>
      <c r="BU27" s="7">
        <v>2380</v>
      </c>
      <c r="BV27" s="7"/>
      <c r="BW27" s="7"/>
      <c r="BX27" s="7">
        <v>1032</v>
      </c>
      <c r="BY27" s="7">
        <v>2142</v>
      </c>
      <c r="BZ27" s="7"/>
      <c r="CA27" s="7"/>
      <c r="CB27" s="7"/>
      <c r="CE27" s="1" t="s">
        <v>90</v>
      </c>
      <c r="CF27" s="7">
        <v>3000</v>
      </c>
      <c r="CG27" s="7">
        <v>6600</v>
      </c>
      <c r="CH27" s="7">
        <v>3700</v>
      </c>
      <c r="CI27" s="7">
        <v>10300</v>
      </c>
      <c r="CJ27" s="7">
        <v>3200</v>
      </c>
      <c r="CK27" s="7">
        <v>7800</v>
      </c>
      <c r="CL27" s="7"/>
      <c r="CM27" s="7"/>
      <c r="CN27" s="7">
        <v>2200</v>
      </c>
      <c r="CO27" s="7">
        <v>9450</v>
      </c>
    </row>
    <row r="28" spans="2:12" ht="12">
      <c r="B28" s="1" t="s">
        <v>78</v>
      </c>
      <c r="C28" s="1" t="s">
        <v>91</v>
      </c>
      <c r="D28" s="1" t="s">
        <v>88</v>
      </c>
      <c r="E28" s="3">
        <v>1491</v>
      </c>
      <c r="F28" s="3">
        <v>2091</v>
      </c>
      <c r="G28" s="3">
        <v>1437</v>
      </c>
      <c r="H28" s="3">
        <v>2037</v>
      </c>
      <c r="K28" s="3">
        <v>4441</v>
      </c>
      <c r="L28" s="3">
        <v>8041</v>
      </c>
    </row>
    <row r="29" spans="2:94" ht="12">
      <c r="B29" s="1" t="s">
        <v>78</v>
      </c>
      <c r="C29" s="9" t="s">
        <v>92</v>
      </c>
      <c r="D29" s="1" t="s">
        <v>93</v>
      </c>
      <c r="E29" s="10">
        <v>980</v>
      </c>
      <c r="F29" s="10">
        <v>1872</v>
      </c>
      <c r="G29" s="10">
        <v>1560</v>
      </c>
      <c r="H29" s="10">
        <v>2040</v>
      </c>
      <c r="U29" s="11" t="s">
        <v>1</v>
      </c>
      <c r="V29" s="4" t="s">
        <v>31</v>
      </c>
      <c r="W29" s="4" t="s">
        <v>31</v>
      </c>
      <c r="X29" s="4" t="s">
        <v>31</v>
      </c>
      <c r="Y29" s="4" t="s">
        <v>31</v>
      </c>
      <c r="Z29" s="4" t="s">
        <v>31</v>
      </c>
      <c r="AA29" s="4" t="s">
        <v>31</v>
      </c>
      <c r="AB29" s="4" t="s">
        <v>31</v>
      </c>
      <c r="AC29" s="4" t="s">
        <v>31</v>
      </c>
      <c r="AD29" s="4" t="s">
        <v>31</v>
      </c>
      <c r="AE29" s="4" t="s">
        <v>31</v>
      </c>
      <c r="AF29" s="4" t="s">
        <v>31</v>
      </c>
      <c r="AG29" s="4" t="s">
        <v>31</v>
      </c>
      <c r="AH29" s="4" t="s">
        <v>31</v>
      </c>
      <c r="AI29" s="4" t="s">
        <v>31</v>
      </c>
      <c r="AJ29" s="4" t="s">
        <v>31</v>
      </c>
      <c r="AK29" s="2" t="s">
        <v>1</v>
      </c>
      <c r="AM29" s="1" t="s">
        <v>94</v>
      </c>
      <c r="AN29" s="7">
        <v>1601</v>
      </c>
      <c r="AO29" s="7">
        <v>4477</v>
      </c>
      <c r="AP29" s="7"/>
      <c r="AQ29" s="7"/>
      <c r="AR29" s="7">
        <f>(1640+1568)/2</f>
        <v>1604</v>
      </c>
      <c r="AS29" s="7">
        <f>(4516+3103)/2</f>
        <v>3809.5</v>
      </c>
      <c r="AT29" s="7"/>
      <c r="AU29" s="7"/>
      <c r="AV29" s="7">
        <v>1592</v>
      </c>
      <c r="AW29" s="7">
        <v>3003</v>
      </c>
      <c r="AX29" s="7">
        <v>2050</v>
      </c>
      <c r="AY29" s="7">
        <v>3350</v>
      </c>
      <c r="AZ29" s="7"/>
      <c r="BA29" s="7"/>
      <c r="BD29" s="1" t="s">
        <v>94</v>
      </c>
      <c r="BE29" s="7"/>
      <c r="BG29" s="7">
        <v>900</v>
      </c>
      <c r="BH29" s="7">
        <v>3000</v>
      </c>
      <c r="BI29" s="7"/>
      <c r="BJ29" s="7"/>
      <c r="BK29" s="7"/>
      <c r="BL29" s="7"/>
      <c r="BO29" s="1" t="s">
        <v>94</v>
      </c>
      <c r="BP29" s="7">
        <v>2365</v>
      </c>
      <c r="BQ29" s="7">
        <v>4069</v>
      </c>
      <c r="BR29" s="7"/>
      <c r="BS29" s="7"/>
      <c r="BT29" s="7">
        <f>(2278+1415)/2</f>
        <v>1846.5</v>
      </c>
      <c r="BU29" s="7">
        <f>(3982+1655)/2</f>
        <v>2818.5</v>
      </c>
      <c r="BV29" s="7"/>
      <c r="BW29" s="7"/>
      <c r="BX29" s="7">
        <v>1936</v>
      </c>
      <c r="BY29" s="7">
        <v>1936</v>
      </c>
      <c r="BZ29" s="7"/>
      <c r="CA29" s="7"/>
      <c r="CB29" s="7"/>
      <c r="CE29" s="1" t="s">
        <v>94</v>
      </c>
      <c r="CF29" s="7">
        <f>(3444+3130)/2</f>
        <v>3287</v>
      </c>
      <c r="CG29" s="7">
        <f>(6296+5930)/2</f>
        <v>6113</v>
      </c>
      <c r="CH29" s="7">
        <v>5820</v>
      </c>
      <c r="CI29" s="7">
        <v>11544</v>
      </c>
      <c r="CJ29" s="7">
        <v>5030</v>
      </c>
      <c r="CK29" s="7">
        <v>11188</v>
      </c>
      <c r="CL29" s="7"/>
      <c r="CM29" s="7"/>
      <c r="CN29" s="7"/>
      <c r="CO29" s="7"/>
      <c r="CP29" s="7"/>
    </row>
    <row r="30" spans="2:94" ht="12">
      <c r="B30" s="1" t="s">
        <v>78</v>
      </c>
      <c r="C30" s="9" t="s">
        <v>95</v>
      </c>
      <c r="D30" s="1" t="s">
        <v>93</v>
      </c>
      <c r="E30" s="10">
        <v>950</v>
      </c>
      <c r="F30" s="10">
        <v>1350</v>
      </c>
      <c r="G30" s="10">
        <v>1000</v>
      </c>
      <c r="H30" s="10">
        <v>1425</v>
      </c>
      <c r="U30" s="11" t="s">
        <v>1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" t="s">
        <v>1</v>
      </c>
      <c r="AM30" s="1" t="s">
        <v>96</v>
      </c>
      <c r="AN30" s="7"/>
      <c r="AO30" s="7"/>
      <c r="AP30" s="7">
        <v>1700</v>
      </c>
      <c r="AQ30" s="7">
        <v>2882</v>
      </c>
      <c r="AR30" s="7">
        <f>(1350+1472)/2</f>
        <v>1411</v>
      </c>
      <c r="AS30" s="7">
        <f>(2532+2654)/2</f>
        <v>2593</v>
      </c>
      <c r="AT30" s="7"/>
      <c r="AU30" s="7"/>
      <c r="AV30" s="7">
        <v>1500</v>
      </c>
      <c r="AW30" s="7">
        <v>2682</v>
      </c>
      <c r="AX30" s="7"/>
      <c r="AY30" s="7"/>
      <c r="BD30" s="1" t="s">
        <v>96</v>
      </c>
      <c r="BE30" s="7"/>
      <c r="BF30" s="7"/>
      <c r="BG30" s="7">
        <v>600</v>
      </c>
      <c r="BH30" s="7">
        <v>1200</v>
      </c>
      <c r="BI30" s="7"/>
      <c r="BJ30" s="7"/>
      <c r="BK30" s="7"/>
      <c r="BL30" s="7"/>
      <c r="BO30" s="1" t="s">
        <v>96</v>
      </c>
      <c r="BP30" s="7"/>
      <c r="BQ30" s="7"/>
      <c r="BR30" s="7">
        <v>1700</v>
      </c>
      <c r="BS30" s="7">
        <v>2882</v>
      </c>
      <c r="BT30" s="7">
        <f>(1350+1510)/2</f>
        <v>1430</v>
      </c>
      <c r="BU30" s="7">
        <f>(2532+2692)/2</f>
        <v>2612</v>
      </c>
      <c r="BV30" s="7"/>
      <c r="BW30" s="7"/>
      <c r="BX30" s="7">
        <v>1500</v>
      </c>
      <c r="BY30" s="7">
        <v>2682</v>
      </c>
      <c r="BZ30" s="7"/>
      <c r="CA30" s="7"/>
      <c r="CE30" s="1" t="s">
        <v>96</v>
      </c>
      <c r="CF30" s="7">
        <v>2027</v>
      </c>
      <c r="CG30" s="7">
        <v>3209</v>
      </c>
      <c r="CH30" s="7">
        <v>6000</v>
      </c>
      <c r="CI30" s="7">
        <v>12000</v>
      </c>
      <c r="CJ30" s="7">
        <v>4000</v>
      </c>
      <c r="CK30" s="7">
        <v>10000</v>
      </c>
      <c r="CL30" s="7"/>
      <c r="CM30" s="7"/>
      <c r="CN30" s="7">
        <v>2199</v>
      </c>
      <c r="CO30" s="7">
        <v>4199</v>
      </c>
      <c r="CP30" s="7"/>
    </row>
    <row r="31" spans="2:93" ht="12">
      <c r="B31" s="1" t="s">
        <v>78</v>
      </c>
      <c r="C31" s="1" t="s">
        <v>97</v>
      </c>
      <c r="D31" s="1" t="s">
        <v>98</v>
      </c>
      <c r="E31" s="3">
        <v>1025</v>
      </c>
      <c r="F31" s="3">
        <v>2565</v>
      </c>
      <c r="G31" s="3">
        <v>1025</v>
      </c>
      <c r="H31" s="3">
        <v>2565</v>
      </c>
      <c r="W31" s="13" t="s">
        <v>99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" t="s">
        <v>1</v>
      </c>
      <c r="AZ31" s="7"/>
      <c r="BA31" s="7"/>
      <c r="BD31" s="1" t="s">
        <v>100</v>
      </c>
      <c r="BF31" s="7"/>
      <c r="BG31" s="7">
        <v>217</v>
      </c>
      <c r="BH31" s="7">
        <v>1531</v>
      </c>
      <c r="BI31" s="7"/>
      <c r="BJ31" s="7"/>
      <c r="BK31" s="7"/>
      <c r="BL31" s="7"/>
      <c r="CB31" s="7"/>
      <c r="CE31" s="1" t="s">
        <v>100</v>
      </c>
      <c r="CF31" s="7">
        <f>(864+792)/2</f>
        <v>828</v>
      </c>
      <c r="CG31" s="7">
        <f>(4204+4040)/2</f>
        <v>4122</v>
      </c>
      <c r="CH31" s="7">
        <f>(1415+1438)/2</f>
        <v>1426.5</v>
      </c>
      <c r="CI31" s="7">
        <f>(5059+5082)/2</f>
        <v>5070.5</v>
      </c>
      <c r="CJ31" s="7">
        <v>1665</v>
      </c>
      <c r="CK31" s="7">
        <v>5309</v>
      </c>
      <c r="CL31" s="7"/>
      <c r="CM31" s="7"/>
      <c r="CN31" s="7">
        <v>1429</v>
      </c>
      <c r="CO31" s="7">
        <v>5073</v>
      </c>
    </row>
    <row r="32" spans="2:21" ht="12">
      <c r="B32" s="1" t="s">
        <v>78</v>
      </c>
      <c r="C32" s="9" t="s">
        <v>101</v>
      </c>
      <c r="D32" s="1" t="s">
        <v>98</v>
      </c>
      <c r="E32" s="10">
        <v>969</v>
      </c>
      <c r="F32" s="10">
        <v>1929</v>
      </c>
      <c r="G32" s="10">
        <v>1155</v>
      </c>
      <c r="H32" s="10">
        <v>2235</v>
      </c>
      <c r="U32" s="11" t="s">
        <v>1</v>
      </c>
    </row>
    <row r="33" spans="2:94" ht="12">
      <c r="B33" s="1" t="s">
        <v>78</v>
      </c>
      <c r="C33" s="9" t="s">
        <v>102</v>
      </c>
      <c r="D33" s="1" t="s">
        <v>98</v>
      </c>
      <c r="E33" s="10">
        <v>1215</v>
      </c>
      <c r="F33" s="10">
        <v>1215</v>
      </c>
      <c r="G33" s="10">
        <v>1044</v>
      </c>
      <c r="H33" s="10">
        <v>1044</v>
      </c>
      <c r="U33" s="11" t="s">
        <v>1</v>
      </c>
      <c r="W33" s="6" t="s">
        <v>56</v>
      </c>
      <c r="X33" s="6" t="s">
        <v>56</v>
      </c>
      <c r="Y33" s="6" t="s">
        <v>56</v>
      </c>
      <c r="Z33" s="6" t="s">
        <v>56</v>
      </c>
      <c r="AA33" s="6" t="s">
        <v>56</v>
      </c>
      <c r="AB33" s="6" t="s">
        <v>56</v>
      </c>
      <c r="AC33" s="6" t="s">
        <v>56</v>
      </c>
      <c r="AD33" s="6" t="s">
        <v>56</v>
      </c>
      <c r="AE33" s="6" t="s">
        <v>56</v>
      </c>
      <c r="AF33" s="6" t="s">
        <v>56</v>
      </c>
      <c r="AG33" s="6" t="s">
        <v>56</v>
      </c>
      <c r="AI33" s="7"/>
      <c r="AJ33" s="7"/>
      <c r="AK33" s="2" t="s">
        <v>1</v>
      </c>
      <c r="AM33" s="1" t="s">
        <v>103</v>
      </c>
      <c r="AN33" s="7">
        <f>(894+921)/2</f>
        <v>907.5</v>
      </c>
      <c r="AO33" s="7">
        <f>(2727+2700)/2</f>
        <v>2713.5</v>
      </c>
      <c r="AP33" s="7"/>
      <c r="AQ33" s="7"/>
      <c r="AR33" s="7"/>
      <c r="AS33" s="7"/>
      <c r="AT33" s="7"/>
      <c r="AU33" s="7"/>
      <c r="AV33" s="7">
        <f>(657+653)/2</f>
        <v>655</v>
      </c>
      <c r="AW33" s="7">
        <f>(1829+1825)/2</f>
        <v>1827</v>
      </c>
      <c r="AX33" s="7">
        <f>(692+667)/2</f>
        <v>679.5</v>
      </c>
      <c r="AY33" s="7">
        <f>(1839+1836)/2</f>
        <v>1837.5</v>
      </c>
      <c r="AZ33" s="7"/>
      <c r="BA33" s="7"/>
      <c r="BD33" s="1" t="s">
        <v>103</v>
      </c>
      <c r="BE33" s="7"/>
      <c r="BF33" s="7"/>
      <c r="BG33" s="7">
        <v>510</v>
      </c>
      <c r="BH33" s="7">
        <v>1440</v>
      </c>
      <c r="BI33" s="7"/>
      <c r="BJ33" s="7"/>
      <c r="BK33" s="7"/>
      <c r="BL33" s="7"/>
      <c r="BO33" s="1" t="s">
        <v>103</v>
      </c>
      <c r="BP33" s="7">
        <f>(909+944)/2</f>
        <v>926.5</v>
      </c>
      <c r="BQ33" s="7">
        <f>(2841+2876)/2</f>
        <v>2858.5</v>
      </c>
      <c r="BX33" s="7">
        <v>624</v>
      </c>
      <c r="BY33" s="7">
        <v>1749</v>
      </c>
      <c r="CB33" s="7"/>
      <c r="CE33" s="1" t="s">
        <v>103</v>
      </c>
      <c r="CF33" s="7">
        <v>944</v>
      </c>
      <c r="CG33" s="7">
        <v>2876</v>
      </c>
      <c r="CH33" s="7">
        <f>(2768+2716)/2</f>
        <v>2742</v>
      </c>
      <c r="CI33" s="7">
        <f>(6689+6113)/2</f>
        <v>6401</v>
      </c>
      <c r="CJ33" s="7">
        <v>2716</v>
      </c>
      <c r="CK33" s="7">
        <v>6689</v>
      </c>
      <c r="CL33" s="7">
        <v>1595</v>
      </c>
      <c r="CM33" s="7">
        <v>3856</v>
      </c>
      <c r="CN33" s="7">
        <v>1904</v>
      </c>
      <c r="CO33" s="7">
        <v>5981</v>
      </c>
      <c r="CP33" s="7"/>
    </row>
    <row r="34" spans="2:94" ht="12">
      <c r="B34" s="1" t="s">
        <v>78</v>
      </c>
      <c r="C34" s="9" t="s">
        <v>104</v>
      </c>
      <c r="D34" s="1" t="s">
        <v>98</v>
      </c>
      <c r="E34" s="10">
        <v>1080</v>
      </c>
      <c r="F34" s="10">
        <v>1080</v>
      </c>
      <c r="G34" s="10">
        <v>972</v>
      </c>
      <c r="H34" s="10">
        <v>972</v>
      </c>
      <c r="U34" s="11" t="s">
        <v>1</v>
      </c>
      <c r="W34" s="1" t="s">
        <v>105</v>
      </c>
      <c r="X34" s="1" t="s">
        <v>80</v>
      </c>
      <c r="Y34" s="1" t="s">
        <v>88</v>
      </c>
      <c r="Z34" s="1" t="s">
        <v>93</v>
      </c>
      <c r="AA34" s="1" t="s">
        <v>98</v>
      </c>
      <c r="AB34" s="1" t="s">
        <v>106</v>
      </c>
      <c r="AC34" s="1" t="s">
        <v>107</v>
      </c>
      <c r="AD34" s="1" t="s">
        <v>108</v>
      </c>
      <c r="AE34" s="1" t="s">
        <v>109</v>
      </c>
      <c r="AF34" s="1" t="s">
        <v>110</v>
      </c>
      <c r="AH34" s="7"/>
      <c r="AI34" s="7"/>
      <c r="AJ34" s="7"/>
      <c r="AK34" s="2" t="s">
        <v>1</v>
      </c>
      <c r="AM34" s="1" t="s">
        <v>111</v>
      </c>
      <c r="AN34" s="7">
        <v>2028</v>
      </c>
      <c r="AO34" s="7">
        <v>4148</v>
      </c>
      <c r="AP34" s="7">
        <v>1922</v>
      </c>
      <c r="AQ34" s="7">
        <v>4478</v>
      </c>
      <c r="AR34" s="7">
        <v>1200</v>
      </c>
      <c r="AS34" s="7">
        <v>2400</v>
      </c>
      <c r="AT34" s="7"/>
      <c r="AU34" s="7"/>
      <c r="AV34" s="7">
        <v>1748</v>
      </c>
      <c r="AW34" s="7">
        <v>3022</v>
      </c>
      <c r="AX34" s="7">
        <v>1400</v>
      </c>
      <c r="AY34" s="7">
        <v>2940</v>
      </c>
      <c r="BD34" s="1" t="s">
        <v>111</v>
      </c>
      <c r="BE34" s="7">
        <v>1200</v>
      </c>
      <c r="BF34" s="7">
        <v>2570</v>
      </c>
      <c r="BG34" s="7">
        <f>(594+585)/2</f>
        <v>589.5</v>
      </c>
      <c r="BH34" s="7">
        <v>900</v>
      </c>
      <c r="BI34" s="7"/>
      <c r="BJ34" s="7"/>
      <c r="BK34" s="7"/>
      <c r="BL34" s="7"/>
      <c r="BO34" s="1" t="s">
        <v>111</v>
      </c>
      <c r="BP34" s="7">
        <v>2028</v>
      </c>
      <c r="BQ34" s="7">
        <v>2028</v>
      </c>
      <c r="BR34" s="7">
        <v>1922</v>
      </c>
      <c r="BS34" s="7">
        <v>1922</v>
      </c>
      <c r="BT34" s="7">
        <v>1200</v>
      </c>
      <c r="BU34" s="7">
        <v>1200</v>
      </c>
      <c r="BV34" s="7"/>
      <c r="BW34" s="7"/>
      <c r="BX34" s="7">
        <v>1748</v>
      </c>
      <c r="BY34" s="7">
        <v>1748</v>
      </c>
      <c r="BZ34" s="7"/>
      <c r="CA34" s="7"/>
      <c r="CE34" s="1" t="s">
        <v>111</v>
      </c>
      <c r="CF34" s="7">
        <v>2228</v>
      </c>
      <c r="CG34" s="7">
        <v>4448</v>
      </c>
      <c r="CH34" s="7">
        <f>(3300+3600)/2</f>
        <v>3450</v>
      </c>
      <c r="CI34" s="7">
        <f>(6600+7200)/2</f>
        <v>6900</v>
      </c>
      <c r="CJ34" s="7">
        <v>2300</v>
      </c>
      <c r="CK34" s="7">
        <v>4600</v>
      </c>
      <c r="CL34" s="7"/>
      <c r="CM34" s="7"/>
      <c r="CN34" s="7"/>
      <c r="CO34" s="7"/>
      <c r="CP34" s="7"/>
    </row>
    <row r="35" spans="2:94" ht="12">
      <c r="B35" s="1" t="s">
        <v>78</v>
      </c>
      <c r="C35" s="9" t="s">
        <v>112</v>
      </c>
      <c r="D35" s="1" t="s">
        <v>98</v>
      </c>
      <c r="E35" s="10">
        <v>1086</v>
      </c>
      <c r="F35" s="10">
        <v>1629</v>
      </c>
      <c r="G35" s="10">
        <v>1260</v>
      </c>
      <c r="H35" s="10">
        <v>1620</v>
      </c>
      <c r="U35" s="11" t="s">
        <v>1</v>
      </c>
      <c r="AK35" s="2" t="s">
        <v>1</v>
      </c>
      <c r="AM35" s="1" t="s">
        <v>113</v>
      </c>
      <c r="AN35" s="7">
        <v>1323</v>
      </c>
      <c r="AO35" s="7">
        <v>3756</v>
      </c>
      <c r="AP35" s="7">
        <v>1220</v>
      </c>
      <c r="AQ35" s="7">
        <v>3650</v>
      </c>
      <c r="AR35" s="7">
        <f>(1066+1062)/2</f>
        <v>1064</v>
      </c>
      <c r="AS35" s="7">
        <f>(3496+3492)/2</f>
        <v>3494</v>
      </c>
      <c r="AT35" s="7"/>
      <c r="AU35" s="7"/>
      <c r="AV35" s="7">
        <v>1154</v>
      </c>
      <c r="AW35" s="7">
        <v>3586</v>
      </c>
      <c r="AX35" s="7"/>
      <c r="AY35" s="7"/>
      <c r="AZ35" s="7"/>
      <c r="BA35" s="7"/>
      <c r="BD35" s="1" t="s">
        <v>113</v>
      </c>
      <c r="BE35" s="7"/>
      <c r="BF35" s="7"/>
      <c r="BG35" s="7">
        <v>636</v>
      </c>
      <c r="BH35" s="7">
        <v>3066</v>
      </c>
      <c r="BI35" s="7"/>
      <c r="BJ35" s="7"/>
      <c r="BK35" s="7">
        <v>153</v>
      </c>
      <c r="BL35" s="7" t="e">
        <f>NA()</f>
        <v>#N/A</v>
      </c>
      <c r="BO35" s="1" t="s">
        <v>113</v>
      </c>
      <c r="BP35" s="7">
        <v>1605</v>
      </c>
      <c r="BQ35" s="7">
        <v>4038</v>
      </c>
      <c r="BR35" s="7">
        <v>1470</v>
      </c>
      <c r="BS35" s="7">
        <v>3900</v>
      </c>
      <c r="BT35" s="7">
        <v>1376</v>
      </c>
      <c r="BU35" s="7">
        <v>3806</v>
      </c>
      <c r="BV35" s="7"/>
      <c r="BW35" s="7"/>
      <c r="BX35" s="7">
        <v>1464</v>
      </c>
      <c r="BY35" s="7">
        <v>3897</v>
      </c>
      <c r="BZ35" s="7"/>
      <c r="CA35" s="7"/>
      <c r="CB35" s="7"/>
      <c r="CE35" s="1" t="s">
        <v>113</v>
      </c>
      <c r="CF35" s="7">
        <f>(1774+1816)/2</f>
        <v>1795</v>
      </c>
      <c r="CG35" s="7">
        <f>(4206+4246)/2</f>
        <v>4226</v>
      </c>
      <c r="CH35" s="7">
        <f>(5478+5378)/2</f>
        <v>5428</v>
      </c>
      <c r="CI35" s="7">
        <f>(8524+8625)/2</f>
        <v>8574.5</v>
      </c>
      <c r="CJ35" s="7">
        <v>3678</v>
      </c>
      <c r="CK35" s="7">
        <v>6825</v>
      </c>
      <c r="CL35" s="7"/>
      <c r="CM35" s="7"/>
      <c r="CN35" s="7">
        <v>2589</v>
      </c>
      <c r="CO35" s="7">
        <v>5022</v>
      </c>
      <c r="CP35" s="7"/>
    </row>
    <row r="36" spans="2:8" ht="12">
      <c r="B36" s="1" t="s">
        <v>78</v>
      </c>
      <c r="C36" s="1" t="s">
        <v>114</v>
      </c>
      <c r="D36" s="1" t="s">
        <v>98</v>
      </c>
      <c r="E36" s="3">
        <v>1340</v>
      </c>
      <c r="F36" s="3">
        <v>2300</v>
      </c>
      <c r="G36" s="3">
        <v>1202</v>
      </c>
      <c r="H36" s="3">
        <v>2066</v>
      </c>
    </row>
    <row r="37" spans="2:93" ht="12">
      <c r="B37" s="1" t="s">
        <v>78</v>
      </c>
      <c r="C37" s="9" t="s">
        <v>115</v>
      </c>
      <c r="D37" s="1" t="s">
        <v>98</v>
      </c>
      <c r="E37" s="10">
        <v>1050</v>
      </c>
      <c r="F37" s="10">
        <v>1450</v>
      </c>
      <c r="G37" s="10">
        <v>1156</v>
      </c>
      <c r="H37" s="10">
        <v>1556</v>
      </c>
      <c r="U37" s="11" t="s">
        <v>1</v>
      </c>
      <c r="W37" s="7"/>
      <c r="X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" t="s">
        <v>1</v>
      </c>
      <c r="AM37" s="1" t="s">
        <v>116</v>
      </c>
      <c r="AN37" s="7">
        <v>885</v>
      </c>
      <c r="AO37" s="7">
        <v>4000</v>
      </c>
      <c r="AP37" s="7">
        <v>885</v>
      </c>
      <c r="AQ37" s="7">
        <v>4007</v>
      </c>
      <c r="AR37" s="7">
        <v>868</v>
      </c>
      <c r="AS37" s="7">
        <v>3988</v>
      </c>
      <c r="AT37" s="7">
        <v>882</v>
      </c>
      <c r="AU37" s="7">
        <v>4002</v>
      </c>
      <c r="AV37" s="7">
        <v>869</v>
      </c>
      <c r="AW37" s="7">
        <f>(3990+3975)/2</f>
        <v>3982.5</v>
      </c>
      <c r="AX37" s="7">
        <f>(993+695)/2</f>
        <v>844</v>
      </c>
      <c r="AY37" s="7">
        <f>(4113+3815)/2</f>
        <v>3964</v>
      </c>
      <c r="AZ37" s="7"/>
      <c r="BA37" s="7"/>
      <c r="BD37" s="1" t="s">
        <v>116</v>
      </c>
      <c r="BE37" s="7"/>
      <c r="BF37" s="7"/>
      <c r="BG37" s="7">
        <f>(360+356)/2</f>
        <v>358</v>
      </c>
      <c r="BH37" s="7">
        <f>(1030+1035)/2</f>
        <v>1032.5</v>
      </c>
      <c r="BI37" s="7">
        <v>566</v>
      </c>
      <c r="BJ37" s="7">
        <v>4251</v>
      </c>
      <c r="BK37" s="7"/>
      <c r="BL37" s="7"/>
      <c r="BO37" s="1" t="s">
        <v>116</v>
      </c>
      <c r="BP37" s="7">
        <v>708</v>
      </c>
      <c r="BQ37" s="7">
        <v>3200</v>
      </c>
      <c r="BR37" s="7">
        <v>708</v>
      </c>
      <c r="BS37" s="7">
        <v>3206</v>
      </c>
      <c r="BT37" s="7">
        <v>704</v>
      </c>
      <c r="BU37" s="7">
        <v>3200</v>
      </c>
      <c r="BV37" s="7">
        <v>706</v>
      </c>
      <c r="BW37" s="7">
        <v>3202</v>
      </c>
      <c r="BX37" s="7">
        <v>695</v>
      </c>
      <c r="BY37" s="7">
        <v>3186</v>
      </c>
      <c r="BZ37" s="7">
        <f>(794+556)/2</f>
        <v>675</v>
      </c>
      <c r="CA37" s="7">
        <f>(3290+3052)/2</f>
        <v>3171</v>
      </c>
      <c r="CB37" s="7"/>
      <c r="CE37" s="1" t="s">
        <v>116</v>
      </c>
      <c r="CF37" s="7">
        <f>(1530+1517)/2</f>
        <v>1523.5</v>
      </c>
      <c r="CG37" s="7">
        <f>(4950+4903)/2</f>
        <v>4926.5</v>
      </c>
      <c r="CH37" s="7">
        <v>2660</v>
      </c>
      <c r="CI37" s="7">
        <v>9937</v>
      </c>
      <c r="CJ37" s="7">
        <f>(1794+1955)/2</f>
        <v>1874.5</v>
      </c>
      <c r="CK37" s="7">
        <f>(6594+6755)/2</f>
        <v>6674.5</v>
      </c>
      <c r="CL37" s="7">
        <v>1000</v>
      </c>
      <c r="CM37" s="7">
        <v>4888</v>
      </c>
      <c r="CN37" s="7">
        <v>1650</v>
      </c>
      <c r="CO37" s="7">
        <v>5250</v>
      </c>
    </row>
    <row r="38" spans="2:93" ht="12">
      <c r="B38" s="1" t="s">
        <v>78</v>
      </c>
      <c r="C38" s="9" t="s">
        <v>117</v>
      </c>
      <c r="D38" s="1" t="s">
        <v>106</v>
      </c>
      <c r="E38" s="10">
        <v>900</v>
      </c>
      <c r="F38" s="10">
        <v>1800</v>
      </c>
      <c r="U38" s="11" t="s">
        <v>1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" t="s">
        <v>1</v>
      </c>
      <c r="AM38" s="1" t="s">
        <v>118</v>
      </c>
      <c r="AN38" s="7">
        <f>(2238+2187)/2</f>
        <v>2212.5</v>
      </c>
      <c r="AO38" s="7">
        <f>(5468+4407)/2</f>
        <v>4937.5</v>
      </c>
      <c r="AP38" s="7">
        <f>(2110+2540)/2</f>
        <v>2325</v>
      </c>
      <c r="AQ38" s="7">
        <f>(4730+6772)/2</f>
        <v>5751</v>
      </c>
      <c r="AR38" s="7">
        <f>(1680+1986)/2</f>
        <v>1833</v>
      </c>
      <c r="AS38" s="7">
        <f>(3336+3618)/2</f>
        <v>3477</v>
      </c>
      <c r="AT38" s="7"/>
      <c r="AU38" s="7"/>
      <c r="AV38" s="7">
        <f>(1902+1800)/2</f>
        <v>1851</v>
      </c>
      <c r="AW38" s="7">
        <f>(3722+3100)/2</f>
        <v>3411</v>
      </c>
      <c r="AX38" s="7">
        <f>(1770+1404)/2</f>
        <v>1587</v>
      </c>
      <c r="AY38" s="7">
        <f>(2820+2220)/2</f>
        <v>2520</v>
      </c>
      <c r="BD38" s="1" t="s">
        <v>118</v>
      </c>
      <c r="BE38" s="7">
        <v>1180</v>
      </c>
      <c r="BF38" s="7">
        <v>2960</v>
      </c>
      <c r="BG38" s="7">
        <v>765</v>
      </c>
      <c r="BH38" s="7">
        <v>3645</v>
      </c>
      <c r="BI38" s="7">
        <v>765</v>
      </c>
      <c r="BJ38" s="7">
        <v>3645</v>
      </c>
      <c r="BK38" s="7"/>
      <c r="BL38" s="7"/>
      <c r="BO38" s="1" t="s">
        <v>118</v>
      </c>
      <c r="BP38" s="7">
        <f>(2238+2538)/2</f>
        <v>2388</v>
      </c>
      <c r="BQ38" s="7">
        <f>(5468+2808)/2</f>
        <v>4138</v>
      </c>
      <c r="BR38" s="7">
        <f>(2416+2540)/2</f>
        <v>2478</v>
      </c>
      <c r="BS38" s="7">
        <f>(4616+6772)/2</f>
        <v>5694</v>
      </c>
      <c r="BT38" s="7">
        <f>(1680+2322)/2</f>
        <v>2001</v>
      </c>
      <c r="BU38" s="7">
        <f>(3336+4914)/2</f>
        <v>4125</v>
      </c>
      <c r="BV38" s="7"/>
      <c r="BW38" s="7"/>
      <c r="BX38" s="7">
        <f>(1900+1886)/2</f>
        <v>1893</v>
      </c>
      <c r="BY38" s="7">
        <f>(3200+2832)/2</f>
        <v>3016</v>
      </c>
      <c r="BZ38" s="7"/>
      <c r="CA38" s="7"/>
      <c r="CB38" s="7"/>
      <c r="CE38" s="1" t="s">
        <v>118</v>
      </c>
      <c r="CF38" s="7">
        <v>2938</v>
      </c>
      <c r="CG38" s="7">
        <v>7170</v>
      </c>
      <c r="CH38" s="7">
        <f>(5470+5812)/2</f>
        <v>5641</v>
      </c>
      <c r="CI38" s="7">
        <f>(11040+11412)/2</f>
        <v>11226</v>
      </c>
      <c r="CJ38" s="7">
        <v>5112</v>
      </c>
      <c r="CK38" s="7">
        <v>9912</v>
      </c>
      <c r="CN38" s="7">
        <v>4662</v>
      </c>
      <c r="CO38" s="7">
        <v>19662</v>
      </c>
    </row>
    <row r="39" spans="2:93" ht="12">
      <c r="B39" s="1" t="s">
        <v>78</v>
      </c>
      <c r="C39" s="9" t="s">
        <v>119</v>
      </c>
      <c r="D39" s="1" t="s">
        <v>108</v>
      </c>
      <c r="E39" s="10">
        <v>600</v>
      </c>
      <c r="F39" s="10">
        <v>1050</v>
      </c>
      <c r="G39" s="14" t="s">
        <v>120</v>
      </c>
      <c r="H39" s="14" t="s">
        <v>120</v>
      </c>
      <c r="U39" s="11" t="s">
        <v>1</v>
      </c>
      <c r="AC39" s="6" t="s">
        <v>56</v>
      </c>
      <c r="AK39" s="2" t="s">
        <v>1</v>
      </c>
      <c r="AM39" s="1" t="s">
        <v>121</v>
      </c>
      <c r="AN39" s="7">
        <v>1260</v>
      </c>
      <c r="AO39" s="7">
        <v>3240</v>
      </c>
      <c r="AP39" s="7"/>
      <c r="AQ39" s="7"/>
      <c r="AR39" s="7"/>
      <c r="AS39" s="7"/>
      <c r="AT39" s="7">
        <v>1042</v>
      </c>
      <c r="AU39" s="7">
        <v>2772</v>
      </c>
      <c r="AV39" s="7"/>
      <c r="AW39" s="7"/>
      <c r="AX39" s="7">
        <f>(900+896)/2</f>
        <v>898</v>
      </c>
      <c r="AY39" s="7">
        <f>(2410+2406)/2</f>
        <v>2408</v>
      </c>
      <c r="AZ39" s="8"/>
      <c r="BA39" s="8"/>
      <c r="BD39" s="1" t="s">
        <v>121</v>
      </c>
      <c r="BE39" s="7"/>
      <c r="BF39" s="7"/>
      <c r="BG39" s="7">
        <v>600</v>
      </c>
      <c r="BH39" s="7">
        <v>2020</v>
      </c>
      <c r="BI39" s="7"/>
      <c r="BJ39" s="7"/>
      <c r="BK39" s="7"/>
      <c r="BL39" s="7"/>
      <c r="BO39" s="1" t="s">
        <v>121</v>
      </c>
      <c r="BP39" s="7">
        <v>1320</v>
      </c>
      <c r="BQ39" s="7">
        <v>3440</v>
      </c>
      <c r="BR39" s="7"/>
      <c r="BS39" s="7"/>
      <c r="BT39" s="7"/>
      <c r="BU39" s="7"/>
      <c r="BV39" s="7">
        <v>1122</v>
      </c>
      <c r="BW39" s="7">
        <v>3072</v>
      </c>
      <c r="BX39" s="7"/>
      <c r="BY39" s="7"/>
      <c r="BZ39" s="7"/>
      <c r="CA39" s="7"/>
      <c r="CB39" s="8"/>
      <c r="CE39" s="1" t="s">
        <v>121</v>
      </c>
      <c r="CF39" s="7">
        <v>1560</v>
      </c>
      <c r="CG39" s="7">
        <v>3680</v>
      </c>
      <c r="CH39" s="7">
        <f>(2890+2692)/2</f>
        <v>2791</v>
      </c>
      <c r="CI39" s="7">
        <f>(5790+5512)/2</f>
        <v>5651</v>
      </c>
      <c r="CJ39" s="7">
        <v>2190</v>
      </c>
      <c r="CK39" s="7">
        <v>4890</v>
      </c>
      <c r="CL39" s="7"/>
      <c r="CM39" s="7"/>
      <c r="CN39" s="7"/>
      <c r="CO39" s="7"/>
    </row>
    <row r="40" spans="2:93" ht="12">
      <c r="B40" s="1" t="s">
        <v>78</v>
      </c>
      <c r="C40" s="9" t="s">
        <v>122</v>
      </c>
      <c r="D40" s="1" t="s">
        <v>110</v>
      </c>
      <c r="E40" s="10">
        <v>600</v>
      </c>
      <c r="F40" s="10">
        <v>1050</v>
      </c>
      <c r="G40" s="14" t="s">
        <v>120</v>
      </c>
      <c r="H40" s="14" t="s">
        <v>123</v>
      </c>
      <c r="U40" s="11" t="s">
        <v>1</v>
      </c>
      <c r="W40" s="7"/>
      <c r="X40" s="7"/>
      <c r="Y40" s="7"/>
      <c r="Z40" s="7"/>
      <c r="AA40" s="7"/>
      <c r="AB40" s="7"/>
      <c r="AC40" s="1" t="s">
        <v>93</v>
      </c>
      <c r="AD40" s="7"/>
      <c r="AE40" s="7"/>
      <c r="AF40" s="7"/>
      <c r="AG40" s="7"/>
      <c r="AH40" s="7"/>
      <c r="AI40" s="7"/>
      <c r="AJ40" s="7"/>
      <c r="AK40" s="2" t="s">
        <v>1</v>
      </c>
      <c r="AM40" s="4" t="s">
        <v>31</v>
      </c>
      <c r="AN40" s="4" t="s">
        <v>31</v>
      </c>
      <c r="AO40" s="4" t="s">
        <v>31</v>
      </c>
      <c r="AP40" s="4" t="s">
        <v>31</v>
      </c>
      <c r="AQ40" s="4" t="s">
        <v>31</v>
      </c>
      <c r="AR40" s="4" t="s">
        <v>31</v>
      </c>
      <c r="AS40" s="4" t="s">
        <v>31</v>
      </c>
      <c r="AT40" s="4" t="s">
        <v>31</v>
      </c>
      <c r="AU40" s="4" t="s">
        <v>31</v>
      </c>
      <c r="AV40" s="4" t="s">
        <v>31</v>
      </c>
      <c r="AW40" s="4" t="s">
        <v>31</v>
      </c>
      <c r="AX40" s="4" t="s">
        <v>31</v>
      </c>
      <c r="AY40" s="4" t="s">
        <v>31</v>
      </c>
      <c r="BD40" s="4" t="s">
        <v>31</v>
      </c>
      <c r="BE40" s="4" t="s">
        <v>31</v>
      </c>
      <c r="BF40" s="4" t="s">
        <v>31</v>
      </c>
      <c r="BG40" s="4" t="s">
        <v>31</v>
      </c>
      <c r="BH40" s="4" t="s">
        <v>31</v>
      </c>
      <c r="BI40" s="4" t="s">
        <v>31</v>
      </c>
      <c r="BJ40" s="4" t="s">
        <v>31</v>
      </c>
      <c r="BK40" s="4" t="s">
        <v>31</v>
      </c>
      <c r="BL40" s="4" t="s">
        <v>31</v>
      </c>
      <c r="BO40" s="4" t="s">
        <v>31</v>
      </c>
      <c r="BP40" s="4" t="s">
        <v>31</v>
      </c>
      <c r="BQ40" s="4" t="s">
        <v>31</v>
      </c>
      <c r="BR40" s="4" t="s">
        <v>31</v>
      </c>
      <c r="BS40" s="4" t="s">
        <v>31</v>
      </c>
      <c r="BT40" s="4" t="s">
        <v>31</v>
      </c>
      <c r="BU40" s="4" t="s">
        <v>31</v>
      </c>
      <c r="BV40" s="4" t="s">
        <v>31</v>
      </c>
      <c r="BW40" s="4" t="s">
        <v>31</v>
      </c>
      <c r="BX40" s="4" t="s">
        <v>31</v>
      </c>
      <c r="BY40" s="4" t="s">
        <v>31</v>
      </c>
      <c r="BZ40" s="4" t="s">
        <v>31</v>
      </c>
      <c r="CA40" s="4" t="s">
        <v>31</v>
      </c>
      <c r="CE40" s="4" t="s">
        <v>31</v>
      </c>
      <c r="CF40" s="4" t="s">
        <v>31</v>
      </c>
      <c r="CG40" s="4" t="s">
        <v>31</v>
      </c>
      <c r="CH40" s="4" t="s">
        <v>31</v>
      </c>
      <c r="CI40" s="4" t="s">
        <v>31</v>
      </c>
      <c r="CJ40" s="4" t="s">
        <v>31</v>
      </c>
      <c r="CK40" s="4" t="s">
        <v>31</v>
      </c>
      <c r="CL40" s="4" t="s">
        <v>31</v>
      </c>
      <c r="CM40" s="4" t="s">
        <v>31</v>
      </c>
      <c r="CN40" s="4" t="s">
        <v>31</v>
      </c>
      <c r="CO40" s="4" t="s">
        <v>31</v>
      </c>
    </row>
    <row r="41" spans="1:83" ht="12">
      <c r="A41" s="1" t="s">
        <v>124</v>
      </c>
      <c r="B41" s="1" t="s">
        <v>125</v>
      </c>
      <c r="C41" s="1" t="s">
        <v>126</v>
      </c>
      <c r="D41" s="1" t="s">
        <v>105</v>
      </c>
      <c r="E41" s="3">
        <v>1030</v>
      </c>
      <c r="F41" s="3">
        <v>2542</v>
      </c>
      <c r="G41" s="3">
        <v>1350</v>
      </c>
      <c r="H41" s="3">
        <v>2862</v>
      </c>
      <c r="I41" s="3">
        <v>1350</v>
      </c>
      <c r="J41" s="3">
        <v>2862</v>
      </c>
      <c r="U41" s="11" t="s">
        <v>1</v>
      </c>
      <c r="W41" s="3">
        <v>3</v>
      </c>
      <c r="X41" s="3">
        <v>4</v>
      </c>
      <c r="Y41" s="3">
        <v>5</v>
      </c>
      <c r="Z41" s="3">
        <v>6</v>
      </c>
      <c r="AC41" s="1" t="s">
        <v>98</v>
      </c>
      <c r="AK41" s="2" t="s">
        <v>1</v>
      </c>
      <c r="AM41" s="1" t="s">
        <v>127</v>
      </c>
      <c r="BD41" s="1" t="s">
        <v>128</v>
      </c>
      <c r="BO41" s="1" t="s">
        <v>129</v>
      </c>
      <c r="CE41" s="1" t="s">
        <v>130</v>
      </c>
    </row>
    <row r="42" spans="2:83" ht="12">
      <c r="B42" s="1" t="s">
        <v>125</v>
      </c>
      <c r="C42" s="1" t="s">
        <v>131</v>
      </c>
      <c r="D42" s="1" t="s">
        <v>93</v>
      </c>
      <c r="E42" s="3">
        <v>1000</v>
      </c>
      <c r="F42" s="3">
        <v>2520</v>
      </c>
      <c r="G42" s="3">
        <v>1320</v>
      </c>
      <c r="H42" s="3">
        <v>2840</v>
      </c>
      <c r="I42" s="3">
        <v>1320</v>
      </c>
      <c r="J42" s="3">
        <v>2840</v>
      </c>
      <c r="U42" s="11" t="s">
        <v>1</v>
      </c>
      <c r="W42" s="1" t="s">
        <v>132</v>
      </c>
      <c r="X42" s="1" t="s">
        <v>133</v>
      </c>
      <c r="Y42" s="1" t="s">
        <v>132</v>
      </c>
      <c r="Z42" s="1" t="s">
        <v>133</v>
      </c>
      <c r="AC42" s="1" t="s">
        <v>106</v>
      </c>
      <c r="AK42" s="2" t="s">
        <v>1</v>
      </c>
      <c r="AM42" s="1" t="s">
        <v>134</v>
      </c>
      <c r="BD42" s="1" t="s">
        <v>135</v>
      </c>
      <c r="BO42" s="1" t="s">
        <v>136</v>
      </c>
      <c r="CE42" s="1" t="s">
        <v>137</v>
      </c>
    </row>
    <row r="43" spans="2:83" ht="12">
      <c r="B43" s="1" t="s">
        <v>125</v>
      </c>
      <c r="C43" s="1" t="s">
        <v>138</v>
      </c>
      <c r="D43" s="1" t="s">
        <v>93</v>
      </c>
      <c r="E43" s="3">
        <v>872</v>
      </c>
      <c r="F43" s="3">
        <v>2072</v>
      </c>
      <c r="G43" s="3">
        <v>872</v>
      </c>
      <c r="H43" s="3">
        <v>2072</v>
      </c>
      <c r="U43" s="11" t="s">
        <v>1</v>
      </c>
      <c r="W43" s="1" t="s">
        <v>139</v>
      </c>
      <c r="X43" s="1" t="s">
        <v>139</v>
      </c>
      <c r="Y43" s="1" t="s">
        <v>140</v>
      </c>
      <c r="Z43" s="1" t="s">
        <v>140</v>
      </c>
      <c r="AK43" s="2" t="s">
        <v>1</v>
      </c>
      <c r="AM43" s="1" t="s">
        <v>141</v>
      </c>
      <c r="BD43" s="1" t="s">
        <v>142</v>
      </c>
      <c r="BO43" s="1" t="s">
        <v>143</v>
      </c>
      <c r="CE43" s="1" t="s">
        <v>144</v>
      </c>
    </row>
    <row r="44" spans="2:83" ht="12">
      <c r="B44" s="1" t="s">
        <v>125</v>
      </c>
      <c r="C44" s="1" t="s">
        <v>145</v>
      </c>
      <c r="D44" s="1" t="s">
        <v>93</v>
      </c>
      <c r="E44" s="3">
        <v>870</v>
      </c>
      <c r="F44" s="3">
        <v>1740</v>
      </c>
      <c r="G44" s="3">
        <v>870</v>
      </c>
      <c r="H44" s="3">
        <v>1740</v>
      </c>
      <c r="U44" s="11" t="s">
        <v>1</v>
      </c>
      <c r="W44" s="12"/>
      <c r="AK44" s="2" t="s">
        <v>1</v>
      </c>
      <c r="AM44" s="1" t="s">
        <v>146</v>
      </c>
      <c r="BD44" s="1" t="s">
        <v>147</v>
      </c>
      <c r="BO44" s="1" t="s">
        <v>148</v>
      </c>
      <c r="CE44" s="1" t="s">
        <v>149</v>
      </c>
    </row>
    <row r="45" spans="2:83" ht="12">
      <c r="B45" s="1" t="s">
        <v>125</v>
      </c>
      <c r="C45" s="1" t="s">
        <v>150</v>
      </c>
      <c r="D45" s="1" t="s">
        <v>98</v>
      </c>
      <c r="E45" s="3">
        <v>920</v>
      </c>
      <c r="F45" s="3">
        <v>1800</v>
      </c>
      <c r="G45" s="3">
        <v>960</v>
      </c>
      <c r="H45" s="3">
        <v>1920</v>
      </c>
      <c r="U45" s="11" t="s">
        <v>1</v>
      </c>
      <c r="W45" s="12">
        <f>DAVERAGE(B23:T549,4,W33:W34)</f>
        <v>1233.6666666666667</v>
      </c>
      <c r="X45" s="3">
        <f>DAVERAGE(B23:T549,6,W33:W34)</f>
        <v>1320.6666666666667</v>
      </c>
      <c r="Y45" s="3">
        <f>DAVERAGE(B23:T549,5,W33:W34)</f>
        <v>3830.4285714285716</v>
      </c>
      <c r="Z45" s="3">
        <f>DAVERAGE(B23:T549,7,W33:W34)</f>
        <v>3586.904761904762</v>
      </c>
      <c r="AK45" s="2" t="s">
        <v>1</v>
      </c>
      <c r="BD45" s="1" t="s">
        <v>151</v>
      </c>
      <c r="CE45" s="1" t="s">
        <v>152</v>
      </c>
    </row>
    <row r="46" spans="2:56" ht="12">
      <c r="B46" s="1" t="s">
        <v>125</v>
      </c>
      <c r="C46" s="1" t="s">
        <v>153</v>
      </c>
      <c r="D46" s="1" t="s">
        <v>98</v>
      </c>
      <c r="E46" s="3">
        <v>912</v>
      </c>
      <c r="F46" s="3">
        <v>1782</v>
      </c>
      <c r="G46" s="3">
        <v>1104</v>
      </c>
      <c r="H46" s="3">
        <v>2208</v>
      </c>
      <c r="U46" s="11" t="s">
        <v>1</v>
      </c>
      <c r="V46" s="1" t="s">
        <v>154</v>
      </c>
      <c r="W46" s="12">
        <f>DAVERAGE(B23:T549,4,X33:X34)</f>
        <v>1433.861111111111</v>
      </c>
      <c r="X46" s="3">
        <f>DAVERAGE(B23:T549,6,X33:X34)</f>
        <v>1485.9444444444443</v>
      </c>
      <c r="Y46" s="3">
        <f>DAVERAGE(B23:T549,5,X33:X34)</f>
        <v>3917.777777777778</v>
      </c>
      <c r="Z46" s="3">
        <f>DAVERAGE(B23:T549,7,X33:X34)</f>
        <v>3732.277777777778</v>
      </c>
      <c r="AK46" s="2" t="s">
        <v>1</v>
      </c>
      <c r="BD46" s="1" t="s">
        <v>155</v>
      </c>
    </row>
    <row r="47" spans="2:37" ht="12">
      <c r="B47" s="1" t="s">
        <v>125</v>
      </c>
      <c r="C47" s="1" t="s">
        <v>156</v>
      </c>
      <c r="D47" s="1" t="s">
        <v>98</v>
      </c>
      <c r="E47" s="3">
        <v>810</v>
      </c>
      <c r="F47" s="3">
        <v>1290</v>
      </c>
      <c r="G47" s="3">
        <v>1056</v>
      </c>
      <c r="H47" s="3">
        <v>1560</v>
      </c>
      <c r="U47" s="11" t="s">
        <v>1</v>
      </c>
      <c r="W47" s="12">
        <f>DAVERAGE(B23:T549,4,Y33:Y34)</f>
        <v>1180.2380952380952</v>
      </c>
      <c r="X47" s="3">
        <f>DAVERAGE(B23:T549,6,Y33:Y34)</f>
        <v>1203.9285714285713</v>
      </c>
      <c r="Y47" s="3">
        <f>DAVERAGE(B23:T549,5,Y33:Y34)</f>
        <v>3323.2023809523807</v>
      </c>
      <c r="Z47" s="3">
        <f>DAVERAGE(B23:T549,7,Y33:Y34)</f>
        <v>3125.0714285714284</v>
      </c>
      <c r="AK47" s="2" t="s">
        <v>1</v>
      </c>
    </row>
    <row r="48" spans="2:37" ht="12">
      <c r="B48" s="1" t="s">
        <v>125</v>
      </c>
      <c r="C48" s="1" t="s">
        <v>157</v>
      </c>
      <c r="D48" s="1" t="s">
        <v>106</v>
      </c>
      <c r="E48" s="3">
        <v>934</v>
      </c>
      <c r="F48" s="3">
        <v>1200</v>
      </c>
      <c r="U48" s="11" t="s">
        <v>1</v>
      </c>
      <c r="W48" s="12"/>
      <c r="AK48" s="2" t="s">
        <v>1</v>
      </c>
    </row>
    <row r="49" spans="2:37" ht="12">
      <c r="B49" s="1" t="s">
        <v>125</v>
      </c>
      <c r="C49" s="1" t="s">
        <v>158</v>
      </c>
      <c r="D49" s="1" t="s">
        <v>106</v>
      </c>
      <c r="E49" s="3">
        <v>930</v>
      </c>
      <c r="F49" s="3">
        <v>2190</v>
      </c>
      <c r="U49" s="11" t="s">
        <v>1</v>
      </c>
      <c r="W49" s="12">
        <f>DAVERAGE(B23:T549,4,Z33:Z34)</f>
        <v>891.96</v>
      </c>
      <c r="X49" s="3">
        <f>DAVERAGE(B23:T549,6,Z33:Z34)</f>
        <v>917.4</v>
      </c>
      <c r="Y49" s="3">
        <f>DAVERAGE(B23:T549,5,Z33:Z34)</f>
        <v>3342.28</v>
      </c>
      <c r="Z49" s="3">
        <f>DAVERAGE(B23:T549,7,Z33:Z34)</f>
        <v>3191.48</v>
      </c>
      <c r="AK49" s="2" t="s">
        <v>1</v>
      </c>
    </row>
    <row r="50" spans="2:37" ht="12">
      <c r="B50" s="1" t="s">
        <v>125</v>
      </c>
      <c r="C50" s="1" t="s">
        <v>159</v>
      </c>
      <c r="D50" s="1" t="s">
        <v>108</v>
      </c>
      <c r="E50" s="3">
        <v>660</v>
      </c>
      <c r="F50" s="3">
        <v>2070</v>
      </c>
      <c r="U50" s="11" t="s">
        <v>1</v>
      </c>
      <c r="V50" s="1" t="s">
        <v>160</v>
      </c>
      <c r="W50" s="12">
        <f>DAVERAGE(B23:T549,4,AA33:AA34)</f>
        <v>1214.8552631578948</v>
      </c>
      <c r="X50" s="3">
        <f>DAVERAGE(B23:T549,6,AA33:AA34)</f>
        <v>1237.0526315789473</v>
      </c>
      <c r="Y50" s="3">
        <f>DAVERAGE(B23:T549,5,AA33:AA34)</f>
        <v>2945.5131578947367</v>
      </c>
      <c r="Z50" s="3">
        <f>DAVERAGE(B23:T549,7,AA33:AA34)</f>
        <v>2680.5131578947367</v>
      </c>
      <c r="AK50" s="2" t="s">
        <v>1</v>
      </c>
    </row>
    <row r="51" spans="2:37" ht="12">
      <c r="B51" s="1" t="s">
        <v>125</v>
      </c>
      <c r="C51" s="1" t="s">
        <v>161</v>
      </c>
      <c r="D51" s="1" t="s">
        <v>108</v>
      </c>
      <c r="E51" s="3">
        <v>528</v>
      </c>
      <c r="F51" s="3">
        <v>1656</v>
      </c>
      <c r="U51" s="11" t="s">
        <v>1</v>
      </c>
      <c r="W51" s="12">
        <f>DAVERAGE(B23:T549,4,AB33:AB34)</f>
        <v>1005.8076923076923</v>
      </c>
      <c r="Y51" s="3">
        <f>DAVERAGE(B23:T549,5,AB33:AB34)</f>
        <v>2613.653846153846</v>
      </c>
      <c r="AK51" s="2" t="s">
        <v>1</v>
      </c>
    </row>
    <row r="52" spans="2:37" ht="12">
      <c r="B52" s="1" t="s">
        <v>125</v>
      </c>
      <c r="C52" s="1" t="s">
        <v>162</v>
      </c>
      <c r="D52" s="1" t="s">
        <v>108</v>
      </c>
      <c r="E52" s="3">
        <v>528</v>
      </c>
      <c r="F52" s="3">
        <v>1248</v>
      </c>
      <c r="U52" s="11" t="s">
        <v>1</v>
      </c>
      <c r="W52" s="12"/>
      <c r="AK52" s="2" t="s">
        <v>1</v>
      </c>
    </row>
    <row r="53" spans="2:37" ht="12">
      <c r="B53" s="1" t="s">
        <v>125</v>
      </c>
      <c r="C53" s="1" t="s">
        <v>163</v>
      </c>
      <c r="D53" s="1" t="s">
        <v>108</v>
      </c>
      <c r="E53" s="3">
        <v>672</v>
      </c>
      <c r="F53" s="3">
        <v>1122</v>
      </c>
      <c r="U53" s="11" t="s">
        <v>1</v>
      </c>
      <c r="W53" s="12">
        <f>DAVERAGE(B23:T549,4,AC33:AC34)</f>
        <v>926.5652173913044</v>
      </c>
      <c r="Y53" s="3">
        <f>DAVERAGE(B23:T549,5,AC33:AC34)</f>
        <v>2350.4347826086955</v>
      </c>
      <c r="AK53" s="2" t="s">
        <v>1</v>
      </c>
    </row>
    <row r="54" spans="2:37" ht="12">
      <c r="B54" s="1" t="s">
        <v>125</v>
      </c>
      <c r="C54" s="1" t="s">
        <v>164</v>
      </c>
      <c r="D54" s="1" t="s">
        <v>108</v>
      </c>
      <c r="E54" s="3">
        <v>648</v>
      </c>
      <c r="F54" s="3">
        <v>1008</v>
      </c>
      <c r="U54" s="11" t="s">
        <v>1</v>
      </c>
      <c r="V54" s="1" t="s">
        <v>165</v>
      </c>
      <c r="W54" s="12">
        <f>DAVERAGE(B23:T549,4,AD33:AD34)</f>
        <v>470.8129918032787</v>
      </c>
      <c r="Y54" s="3">
        <f>DAVERAGE(B23:T549,5,AD33:AD34)</f>
        <v>1587.4889344262294</v>
      </c>
      <c r="AK54" s="2" t="s">
        <v>1</v>
      </c>
    </row>
    <row r="55" spans="2:37" ht="12">
      <c r="B55" s="1" t="s">
        <v>125</v>
      </c>
      <c r="C55" s="1" t="s">
        <v>166</v>
      </c>
      <c r="D55" s="1" t="s">
        <v>108</v>
      </c>
      <c r="E55" s="3">
        <v>648</v>
      </c>
      <c r="F55" s="3">
        <v>972</v>
      </c>
      <c r="U55" s="11" t="s">
        <v>1</v>
      </c>
      <c r="W55" s="12">
        <f>DAVERAGE(B23:T549,4,AE33:AE34)</f>
        <v>600.6</v>
      </c>
      <c r="Y55" s="3">
        <f>DAVERAGE(B23:T549,5,AE33:AE34)</f>
        <v>4068</v>
      </c>
      <c r="AK55" s="2" t="s">
        <v>1</v>
      </c>
    </row>
    <row r="56" spans="2:37" ht="12">
      <c r="B56" s="1" t="s">
        <v>125</v>
      </c>
      <c r="C56" s="1" t="s">
        <v>167</v>
      </c>
      <c r="D56" s="1" t="s">
        <v>108</v>
      </c>
      <c r="E56" s="3">
        <v>464</v>
      </c>
      <c r="F56" s="3">
        <v>874</v>
      </c>
      <c r="U56" s="11" t="s">
        <v>1</v>
      </c>
      <c r="W56" s="12">
        <f>DAVERAGE(B23:T549,4,AF33:AF34)</f>
        <v>272.3333333333333</v>
      </c>
      <c r="Y56" s="3">
        <f>DAVERAGE(B23:T549,5,AF33:AF34)</f>
        <v>628.75</v>
      </c>
      <c r="AK56" s="2" t="s">
        <v>1</v>
      </c>
    </row>
    <row r="57" spans="2:37" ht="12">
      <c r="B57" s="1" t="s">
        <v>125</v>
      </c>
      <c r="C57" s="1" t="s">
        <v>168</v>
      </c>
      <c r="D57" s="1" t="s">
        <v>108</v>
      </c>
      <c r="E57" s="3">
        <v>480</v>
      </c>
      <c r="F57" s="3">
        <v>864</v>
      </c>
      <c r="U57" s="11" t="s">
        <v>1</v>
      </c>
      <c r="W57" s="12"/>
      <c r="AK57" s="2" t="s">
        <v>1</v>
      </c>
    </row>
    <row r="58" spans="2:37" ht="12">
      <c r="B58" s="1" t="s">
        <v>125</v>
      </c>
      <c r="C58" s="1" t="s">
        <v>169</v>
      </c>
      <c r="D58" s="1" t="s">
        <v>108</v>
      </c>
      <c r="E58" s="3">
        <v>480</v>
      </c>
      <c r="F58" s="3">
        <v>816</v>
      </c>
      <c r="U58" s="11" t="s">
        <v>1</v>
      </c>
      <c r="V58" s="1" t="s">
        <v>170</v>
      </c>
      <c r="W58" s="12">
        <f>DAVERAGE(B23:T549,4,AG33:AG34)</f>
        <v>780.0325034867503</v>
      </c>
      <c r="X58" s="3">
        <f>DAVERAGE(B23:T549,6,AG33:AG34)</f>
        <v>1139.3526315789475</v>
      </c>
      <c r="Y58" s="3">
        <f>DAVERAGE(B23:T549,5,AG33:AG34)</f>
        <v>2333.2163165266106</v>
      </c>
      <c r="Z58" s="3">
        <f>DAVERAGE(B23:T549,7,AG33:AG34)</f>
        <v>2861.3894736842103</v>
      </c>
      <c r="AK58" s="2" t="s">
        <v>1</v>
      </c>
    </row>
    <row r="59" spans="2:37" ht="12">
      <c r="B59" s="1" t="s">
        <v>125</v>
      </c>
      <c r="C59" s="1" t="s">
        <v>171</v>
      </c>
      <c r="D59" s="1" t="s">
        <v>108</v>
      </c>
      <c r="E59" s="3">
        <v>528</v>
      </c>
      <c r="F59" s="3">
        <v>672</v>
      </c>
      <c r="U59" s="11" t="s">
        <v>1</v>
      </c>
      <c r="AK59" s="2" t="s">
        <v>1</v>
      </c>
    </row>
    <row r="60" spans="2:37" ht="12">
      <c r="B60" s="1" t="s">
        <v>125</v>
      </c>
      <c r="C60" s="1" t="s">
        <v>172</v>
      </c>
      <c r="D60" s="1" t="s">
        <v>110</v>
      </c>
      <c r="E60" s="3">
        <v>400</v>
      </c>
      <c r="U60" s="11" t="s">
        <v>1</v>
      </c>
      <c r="V60" s="4" t="s">
        <v>39</v>
      </c>
      <c r="W60" s="4" t="s">
        <v>39</v>
      </c>
      <c r="X60" s="4" t="s">
        <v>39</v>
      </c>
      <c r="Y60" s="4" t="s">
        <v>39</v>
      </c>
      <c r="Z60" s="4" t="s">
        <v>39</v>
      </c>
      <c r="AA60" s="4" t="s">
        <v>39</v>
      </c>
      <c r="AB60" s="4" t="s">
        <v>39</v>
      </c>
      <c r="AC60" s="4" t="s">
        <v>39</v>
      </c>
      <c r="AK60" s="2" t="s">
        <v>1</v>
      </c>
    </row>
    <row r="61" spans="2:37" ht="12">
      <c r="B61" s="1" t="s">
        <v>125</v>
      </c>
      <c r="C61" s="1" t="s">
        <v>173</v>
      </c>
      <c r="D61" s="1" t="s">
        <v>174</v>
      </c>
      <c r="K61" s="3">
        <v>4200</v>
      </c>
      <c r="L61" s="3">
        <v>8400</v>
      </c>
      <c r="U61" s="11" t="s">
        <v>1</v>
      </c>
      <c r="V61" s="1" t="s">
        <v>175</v>
      </c>
      <c r="AB61" s="1" t="s">
        <v>176</v>
      </c>
      <c r="AK61" s="2" t="s">
        <v>1</v>
      </c>
    </row>
    <row r="62" spans="1:37" ht="12">
      <c r="A62" s="1" t="s">
        <v>124</v>
      </c>
      <c r="B62" s="1" t="s">
        <v>177</v>
      </c>
      <c r="C62" s="1" t="s">
        <v>178</v>
      </c>
      <c r="D62" s="1" t="s">
        <v>105</v>
      </c>
      <c r="E62" s="3">
        <f aca="true" t="shared" si="0" ref="E62:E70">(761+862)/2</f>
        <v>811.5</v>
      </c>
      <c r="F62" s="3">
        <f aca="true" t="shared" si="1" ref="F62:F70">(2808+3476)/2</f>
        <v>3142</v>
      </c>
      <c r="G62" s="3">
        <v>1199</v>
      </c>
      <c r="H62" s="3">
        <v>3921</v>
      </c>
      <c r="I62" s="3">
        <v>1199</v>
      </c>
      <c r="J62" s="3">
        <v>3921</v>
      </c>
      <c r="K62" s="3">
        <v>3355</v>
      </c>
      <c r="L62" s="3">
        <v>8466</v>
      </c>
      <c r="M62" s="3">
        <v>3355</v>
      </c>
      <c r="N62" s="3">
        <v>8466</v>
      </c>
      <c r="Q62" s="3">
        <v>3355</v>
      </c>
      <c r="R62" s="3">
        <v>8466</v>
      </c>
      <c r="U62" s="11" t="s">
        <v>1</v>
      </c>
      <c r="W62" s="1" t="s">
        <v>154</v>
      </c>
      <c r="X62" s="1" t="s">
        <v>73</v>
      </c>
      <c r="Y62" s="1" t="s">
        <v>179</v>
      </c>
      <c r="Z62" s="6" t="s">
        <v>180</v>
      </c>
      <c r="AB62" s="1" t="s">
        <v>181</v>
      </c>
      <c r="AC62" s="1" t="s">
        <v>182</v>
      </c>
      <c r="AD62" s="1" t="s">
        <v>183</v>
      </c>
      <c r="AK62" s="2" t="s">
        <v>1</v>
      </c>
    </row>
    <row r="63" spans="2:37" ht="12">
      <c r="B63" s="1" t="s">
        <v>177</v>
      </c>
      <c r="C63" s="1" t="s">
        <v>184</v>
      </c>
      <c r="D63" s="1" t="s">
        <v>105</v>
      </c>
      <c r="E63" s="3">
        <f t="shared" si="0"/>
        <v>811.5</v>
      </c>
      <c r="F63" s="3">
        <f t="shared" si="1"/>
        <v>3142</v>
      </c>
      <c r="G63" s="3">
        <v>1199</v>
      </c>
      <c r="H63" s="3">
        <v>3921</v>
      </c>
      <c r="I63" s="3">
        <v>1199</v>
      </c>
      <c r="J63" s="3">
        <v>3921</v>
      </c>
      <c r="U63" s="11" t="s">
        <v>1</v>
      </c>
      <c r="AE63" s="6" t="s">
        <v>54</v>
      </c>
      <c r="AF63" s="6" t="s">
        <v>56</v>
      </c>
      <c r="AG63" s="6" t="s">
        <v>54</v>
      </c>
      <c r="AH63" s="6" t="s">
        <v>56</v>
      </c>
      <c r="AI63" s="6" t="s">
        <v>54</v>
      </c>
      <c r="AJ63" s="6" t="s">
        <v>56</v>
      </c>
      <c r="AK63" s="2" t="s">
        <v>1</v>
      </c>
    </row>
    <row r="64" spans="2:37" ht="12">
      <c r="B64" s="1" t="s">
        <v>177</v>
      </c>
      <c r="C64" s="1" t="s">
        <v>185</v>
      </c>
      <c r="D64" s="1" t="s">
        <v>80</v>
      </c>
      <c r="E64" s="3">
        <f t="shared" si="0"/>
        <v>811.5</v>
      </c>
      <c r="F64" s="3">
        <f t="shared" si="1"/>
        <v>3142</v>
      </c>
      <c r="G64" s="3">
        <v>1199</v>
      </c>
      <c r="H64" s="3">
        <v>3921</v>
      </c>
      <c r="K64" s="3">
        <v>3355</v>
      </c>
      <c r="L64" s="3">
        <v>8466</v>
      </c>
      <c r="M64" s="3">
        <v>3355</v>
      </c>
      <c r="N64" s="3">
        <v>8466</v>
      </c>
      <c r="Q64" s="3">
        <v>3355</v>
      </c>
      <c r="R64" s="3">
        <v>8466</v>
      </c>
      <c r="U64" s="11" t="s">
        <v>1</v>
      </c>
      <c r="V64" s="1" t="s">
        <v>78</v>
      </c>
      <c r="W64" s="3">
        <f>DAVERAGE(B23:T549,4,AE63:AF66)</f>
        <v>1407.4</v>
      </c>
      <c r="X64" s="3">
        <f>DAVERAGE(B23:T549,4,AG63:AH66)</f>
        <v>1059.5</v>
      </c>
      <c r="Y64" s="3">
        <f>DAVERAGE(B23:T549,4,AI63:AJ67)</f>
        <v>600</v>
      </c>
      <c r="Z64" s="3">
        <v>9119</v>
      </c>
      <c r="AB64" s="15">
        <f aca="true" t="shared" si="2" ref="AB64:AB78">(W64/Z64)</f>
        <v>0.15433709836604892</v>
      </c>
      <c r="AC64" s="15">
        <f aca="true" t="shared" si="3" ref="AC64:AC78">X64/Z64</f>
        <v>0.11618598530540629</v>
      </c>
      <c r="AD64" s="15">
        <f aca="true" t="shared" si="4" ref="AD64:AD78">Y64/Z64</f>
        <v>0.06579668823335892</v>
      </c>
      <c r="AE64" s="1" t="s">
        <v>78</v>
      </c>
      <c r="AF64" s="1" t="s">
        <v>105</v>
      </c>
      <c r="AG64" s="1" t="s">
        <v>78</v>
      </c>
      <c r="AH64" s="1" t="s">
        <v>93</v>
      </c>
      <c r="AI64" s="1" t="s">
        <v>78</v>
      </c>
      <c r="AJ64" s="1" t="s">
        <v>107</v>
      </c>
      <c r="AK64" s="2" t="s">
        <v>1</v>
      </c>
    </row>
    <row r="65" spans="2:37" ht="12">
      <c r="B65" s="1" t="s">
        <v>177</v>
      </c>
      <c r="C65" s="1" t="s">
        <v>186</v>
      </c>
      <c r="D65" s="1" t="s">
        <v>88</v>
      </c>
      <c r="E65" s="3">
        <f t="shared" si="0"/>
        <v>811.5</v>
      </c>
      <c r="F65" s="3">
        <f t="shared" si="1"/>
        <v>3142</v>
      </c>
      <c r="G65" s="3">
        <v>1199</v>
      </c>
      <c r="H65" s="3">
        <v>3921</v>
      </c>
      <c r="U65" s="11" t="s">
        <v>1</v>
      </c>
      <c r="V65" s="1" t="s">
        <v>125</v>
      </c>
      <c r="W65" s="3">
        <f>DAVERAGE(B23:T549,4,AE68:AF71)</f>
        <v>1030</v>
      </c>
      <c r="X65" s="3">
        <f>DAVERAGE(B23:T549,4,AG68:AH71)</f>
        <v>906</v>
      </c>
      <c r="Y65" s="3">
        <f>DAVERAGE(B23:T549,4,AI68:AJ72)</f>
        <v>548.7272727272727</v>
      </c>
      <c r="Z65" s="3">
        <v>8994</v>
      </c>
      <c r="AB65" s="15">
        <f t="shared" si="2"/>
        <v>0.11452079163887036</v>
      </c>
      <c r="AC65" s="15">
        <f t="shared" si="3"/>
        <v>0.10073382254836558</v>
      </c>
      <c r="AD65" s="15">
        <f t="shared" si="4"/>
        <v>0.06101037055006368</v>
      </c>
      <c r="AE65" s="1" t="s">
        <v>78</v>
      </c>
      <c r="AF65" s="1" t="s">
        <v>80</v>
      </c>
      <c r="AG65" s="1" t="s">
        <v>78</v>
      </c>
      <c r="AH65" s="1" t="s">
        <v>98</v>
      </c>
      <c r="AI65" s="1" t="s">
        <v>78</v>
      </c>
      <c r="AJ65" s="1" t="s">
        <v>108</v>
      </c>
      <c r="AK65" s="2" t="s">
        <v>1</v>
      </c>
    </row>
    <row r="66" spans="2:37" ht="12">
      <c r="B66" s="1" t="s">
        <v>177</v>
      </c>
      <c r="C66" s="1" t="s">
        <v>187</v>
      </c>
      <c r="D66" s="1" t="s">
        <v>88</v>
      </c>
      <c r="E66" s="3">
        <f t="shared" si="0"/>
        <v>811.5</v>
      </c>
      <c r="F66" s="3">
        <f t="shared" si="1"/>
        <v>3142</v>
      </c>
      <c r="G66" s="3">
        <v>1199</v>
      </c>
      <c r="H66" s="3">
        <v>3921</v>
      </c>
      <c r="U66" s="11" t="s">
        <v>1</v>
      </c>
      <c r="V66" s="1" t="s">
        <v>177</v>
      </c>
      <c r="W66" s="3">
        <f>DAVERAGE(B23:T549,4,AE73:AF76)</f>
        <v>811.5</v>
      </c>
      <c r="X66" s="3">
        <f>DAVERAGE(B23:T549,4,AG73:AH76)</f>
        <v>811.5</v>
      </c>
      <c r="Y66" s="3">
        <f>DAVERAGE(B23:T549,4,AI73:AJ77)</f>
        <v>572.6551724137931</v>
      </c>
      <c r="Z66" s="3">
        <v>11809</v>
      </c>
      <c r="AB66" s="15">
        <f t="shared" si="2"/>
        <v>0.06871877381658058</v>
      </c>
      <c r="AC66" s="15">
        <f t="shared" si="3"/>
        <v>0.06871877381658058</v>
      </c>
      <c r="AD66" s="15">
        <f t="shared" si="4"/>
        <v>0.048493113084409616</v>
      </c>
      <c r="AE66" s="1" t="s">
        <v>78</v>
      </c>
      <c r="AF66" s="1" t="s">
        <v>88</v>
      </c>
      <c r="AG66" s="1" t="s">
        <v>78</v>
      </c>
      <c r="AH66" s="1" t="s">
        <v>106</v>
      </c>
      <c r="AI66" s="1" t="s">
        <v>78</v>
      </c>
      <c r="AJ66" s="1" t="s">
        <v>109</v>
      </c>
      <c r="AK66" s="2" t="s">
        <v>1</v>
      </c>
    </row>
    <row r="67" spans="2:37" ht="12">
      <c r="B67" s="1" t="s">
        <v>177</v>
      </c>
      <c r="C67" s="1" t="s">
        <v>188</v>
      </c>
      <c r="D67" s="1" t="s">
        <v>93</v>
      </c>
      <c r="E67" s="3">
        <f t="shared" si="0"/>
        <v>811.5</v>
      </c>
      <c r="F67" s="3">
        <f t="shared" si="1"/>
        <v>3142</v>
      </c>
      <c r="G67" s="3">
        <v>1199</v>
      </c>
      <c r="H67" s="3">
        <v>3921</v>
      </c>
      <c r="U67" s="11" t="s">
        <v>1</v>
      </c>
      <c r="V67" s="1" t="s">
        <v>189</v>
      </c>
      <c r="W67" s="3">
        <f>DAVERAGE(B23:T549,4,AE78:AF81)</f>
        <v>1592</v>
      </c>
      <c r="X67" s="3">
        <f>DAVERAGE(B23:T549,4,AG78:AH81)</f>
        <v>1261.8461538461538</v>
      </c>
      <c r="Y67" s="3">
        <f>DAVERAGE(B23:T549,4,AI78:AJ82)</f>
        <v>883.03125</v>
      </c>
      <c r="Z67" s="3">
        <v>10465</v>
      </c>
      <c r="AB67" s="15">
        <f t="shared" si="2"/>
        <v>0.1521261347348304</v>
      </c>
      <c r="AC67" s="15">
        <f t="shared" si="3"/>
        <v>0.12057775000918813</v>
      </c>
      <c r="AD67" s="15">
        <f t="shared" si="4"/>
        <v>0.08437947921643574</v>
      </c>
      <c r="AI67" s="1" t="s">
        <v>78</v>
      </c>
      <c r="AJ67" s="1" t="s">
        <v>110</v>
      </c>
      <c r="AK67" s="2" t="s">
        <v>1</v>
      </c>
    </row>
    <row r="68" spans="2:37" ht="12">
      <c r="B68" s="1" t="s">
        <v>177</v>
      </c>
      <c r="C68" s="1" t="s">
        <v>190</v>
      </c>
      <c r="D68" s="1" t="s">
        <v>93</v>
      </c>
      <c r="E68" s="3">
        <f t="shared" si="0"/>
        <v>811.5</v>
      </c>
      <c r="F68" s="3">
        <f t="shared" si="1"/>
        <v>3142</v>
      </c>
      <c r="G68" s="3">
        <v>1199</v>
      </c>
      <c r="H68" s="3">
        <v>3921</v>
      </c>
      <c r="U68" s="11" t="s">
        <v>1</v>
      </c>
      <c r="V68" s="1" t="s">
        <v>191</v>
      </c>
      <c r="W68" s="3">
        <f>DAVERAGE(B23:T549,4,AE83:AF86)</f>
        <v>1336</v>
      </c>
      <c r="X68" s="3">
        <f>DAVERAGE(B23:T549,4,AG83:AH86)</f>
        <v>1028.6666666666667</v>
      </c>
      <c r="Y68" s="3">
        <f>DAVERAGE(B23:T549,4,AI83:AJ87)</f>
        <v>358</v>
      </c>
      <c r="Z68" s="3">
        <v>9292</v>
      </c>
      <c r="AB68" s="15">
        <f t="shared" si="2"/>
        <v>0.14377959535083942</v>
      </c>
      <c r="AC68" s="15">
        <f t="shared" si="3"/>
        <v>0.11070454871574115</v>
      </c>
      <c r="AD68" s="15">
        <f t="shared" si="4"/>
        <v>0.03852776582006027</v>
      </c>
      <c r="AE68" s="6" t="s">
        <v>54</v>
      </c>
      <c r="AF68" s="6" t="s">
        <v>56</v>
      </c>
      <c r="AG68" s="6" t="s">
        <v>54</v>
      </c>
      <c r="AH68" s="6" t="s">
        <v>56</v>
      </c>
      <c r="AI68" s="6" t="s">
        <v>54</v>
      </c>
      <c r="AJ68" s="6" t="s">
        <v>56</v>
      </c>
      <c r="AK68" s="2" t="s">
        <v>1</v>
      </c>
    </row>
    <row r="69" spans="2:37" ht="12">
      <c r="B69" s="1" t="s">
        <v>177</v>
      </c>
      <c r="C69" s="1" t="s">
        <v>192</v>
      </c>
      <c r="D69" s="1" t="s">
        <v>98</v>
      </c>
      <c r="E69" s="3">
        <f t="shared" si="0"/>
        <v>811.5</v>
      </c>
      <c r="F69" s="3">
        <f t="shared" si="1"/>
        <v>3142</v>
      </c>
      <c r="G69" s="3">
        <v>1199</v>
      </c>
      <c r="H69" s="3">
        <v>3921</v>
      </c>
      <c r="U69" s="11" t="s">
        <v>1</v>
      </c>
      <c r="V69" s="1" t="s">
        <v>193</v>
      </c>
      <c r="W69" s="3">
        <f>DAVERAGE(B23:T549,4,AE88:AF91)</f>
        <v>1351.1666666666667</v>
      </c>
      <c r="X69" s="3">
        <f>DAVERAGE(B23:T549,4,AG88:AH91)</f>
        <v>1207.4285714285713</v>
      </c>
      <c r="Y69" s="3">
        <f>DAVERAGE(B23:T549,4,AI88:AJ92)</f>
        <v>590.6</v>
      </c>
      <c r="Z69" s="3">
        <v>9799</v>
      </c>
      <c r="AB69" s="15">
        <f t="shared" si="2"/>
        <v>0.13788821988638297</v>
      </c>
      <c r="AC69" s="15">
        <f t="shared" si="3"/>
        <v>0.12321957051011036</v>
      </c>
      <c r="AD69" s="15">
        <f t="shared" si="4"/>
        <v>0.06027145627104807</v>
      </c>
      <c r="AE69" s="1" t="s">
        <v>125</v>
      </c>
      <c r="AF69" s="1" t="s">
        <v>105</v>
      </c>
      <c r="AG69" s="1" t="s">
        <v>125</v>
      </c>
      <c r="AH69" s="1" t="s">
        <v>93</v>
      </c>
      <c r="AI69" s="1" t="s">
        <v>125</v>
      </c>
      <c r="AJ69" s="1" t="s">
        <v>107</v>
      </c>
      <c r="AK69" s="2" t="s">
        <v>1</v>
      </c>
    </row>
    <row r="70" spans="2:37" ht="12">
      <c r="B70" s="1" t="s">
        <v>177</v>
      </c>
      <c r="C70" s="1" t="s">
        <v>194</v>
      </c>
      <c r="D70" s="1" t="s">
        <v>98</v>
      </c>
      <c r="E70" s="3">
        <f t="shared" si="0"/>
        <v>811.5</v>
      </c>
      <c r="F70" s="3">
        <f t="shared" si="1"/>
        <v>3142</v>
      </c>
      <c r="G70" s="3">
        <v>1199</v>
      </c>
      <c r="H70" s="3">
        <v>3921</v>
      </c>
      <c r="U70" s="11" t="s">
        <v>1</v>
      </c>
      <c r="V70" s="1" t="s">
        <v>195</v>
      </c>
      <c r="W70" s="3">
        <f>DAVERAGE(B23:T549,4,AE93:AF96)</f>
        <v>1603</v>
      </c>
      <c r="X70" s="3">
        <f>DAVERAGE(B23:T549,4,AG93:AH96)</f>
        <v>1670</v>
      </c>
      <c r="Y70" s="3">
        <f>DAVERAGE(B23:T549,4,AI93:AJ97)</f>
        <v>865.6470588235294</v>
      </c>
      <c r="Z70" s="3">
        <v>13316</v>
      </c>
      <c r="AB70" s="15">
        <f t="shared" si="2"/>
        <v>0.12038149594472815</v>
      </c>
      <c r="AC70" s="15">
        <f t="shared" si="3"/>
        <v>0.12541303694803244</v>
      </c>
      <c r="AD70" s="15">
        <f t="shared" si="4"/>
        <v>0.06500803986358737</v>
      </c>
      <c r="AE70" s="1" t="s">
        <v>125</v>
      </c>
      <c r="AF70" s="1" t="s">
        <v>80</v>
      </c>
      <c r="AG70" s="1" t="s">
        <v>125</v>
      </c>
      <c r="AH70" s="1" t="s">
        <v>98</v>
      </c>
      <c r="AI70" s="1" t="s">
        <v>125</v>
      </c>
      <c r="AJ70" s="1" t="s">
        <v>108</v>
      </c>
      <c r="AK70" s="2" t="s">
        <v>1</v>
      </c>
    </row>
    <row r="71" spans="2:37" ht="12">
      <c r="B71" s="1" t="s">
        <v>177</v>
      </c>
      <c r="C71" s="1" t="s">
        <v>196</v>
      </c>
      <c r="D71" s="1" t="s">
        <v>108</v>
      </c>
      <c r="E71" s="3">
        <f>21.25*30</f>
        <v>637.5</v>
      </c>
      <c r="F71" s="3">
        <f>47.75*30</f>
        <v>1432.5</v>
      </c>
      <c r="G71" s="7"/>
      <c r="H71" s="7"/>
      <c r="I71" s="7"/>
      <c r="J71" s="7"/>
      <c r="K71" s="7"/>
      <c r="L71" s="7"/>
      <c r="M71" s="7"/>
      <c r="N71" s="7"/>
      <c r="O71" s="7"/>
      <c r="P71" s="7"/>
      <c r="U71" s="11" t="s">
        <v>1</v>
      </c>
      <c r="V71" s="1" t="s">
        <v>197</v>
      </c>
      <c r="W71" s="3">
        <f>DAVERAGE(B23:T549,4,AE98:AF101)</f>
        <v>1569.8</v>
      </c>
      <c r="X71" s="3">
        <f>DAVERAGE(B23:T549,4,AG98:AH101)</f>
        <v>1508.3333333333333</v>
      </c>
      <c r="Y71" s="3">
        <f>DAVERAGE(B23:T549,4,AI98:AJ103)</f>
        <v>780.0325034867503</v>
      </c>
      <c r="Z71" s="3">
        <v>7871</v>
      </c>
      <c r="AB71" s="15">
        <f t="shared" si="2"/>
        <v>0.1994409858975988</v>
      </c>
      <c r="AC71" s="15">
        <f t="shared" si="3"/>
        <v>0.1916317282852666</v>
      </c>
      <c r="AD71" s="15">
        <f t="shared" si="4"/>
        <v>0.099102084041005</v>
      </c>
      <c r="AE71" s="1" t="s">
        <v>125</v>
      </c>
      <c r="AF71" s="1" t="s">
        <v>88</v>
      </c>
      <c r="AG71" s="1" t="s">
        <v>125</v>
      </c>
      <c r="AH71" s="1" t="s">
        <v>106</v>
      </c>
      <c r="AI71" s="1" t="s">
        <v>125</v>
      </c>
      <c r="AJ71" s="1" t="s">
        <v>109</v>
      </c>
      <c r="AK71" s="2" t="s">
        <v>1</v>
      </c>
    </row>
    <row r="72" spans="2:37" ht="12">
      <c r="B72" s="1" t="s">
        <v>177</v>
      </c>
      <c r="C72" s="1" t="s">
        <v>198</v>
      </c>
      <c r="D72" s="1" t="s">
        <v>108</v>
      </c>
      <c r="E72" s="3">
        <f>21.25*30</f>
        <v>637.5</v>
      </c>
      <c r="F72" s="3">
        <f>46.7*30</f>
        <v>1401</v>
      </c>
      <c r="G72" s="7"/>
      <c r="H72" s="7"/>
      <c r="I72" s="7"/>
      <c r="J72" s="7"/>
      <c r="K72" s="7"/>
      <c r="L72" s="7"/>
      <c r="M72" s="7"/>
      <c r="N72" s="7"/>
      <c r="O72" s="7"/>
      <c r="P72" s="7"/>
      <c r="U72" s="11" t="s">
        <v>1</v>
      </c>
      <c r="V72" s="1" t="s">
        <v>199</v>
      </c>
      <c r="W72" s="3">
        <f>DAVERAGE(B23:T549,4,AE104:AF107)</f>
        <v>839.75</v>
      </c>
      <c r="X72" s="3">
        <f>DAVERAGE(B23:T549,4,AG104:AH107)</f>
        <v>793.3636363636364</v>
      </c>
      <c r="Y72" s="3">
        <f>DAVERAGE(B23:T549,4,AI104:AJ108)</f>
        <v>217.08620689655172</v>
      </c>
      <c r="Z72" s="3">
        <v>10000</v>
      </c>
      <c r="AB72" s="15">
        <f t="shared" si="2"/>
        <v>0.083975</v>
      </c>
      <c r="AC72" s="15">
        <f t="shared" si="3"/>
        <v>0.07933636363636364</v>
      </c>
      <c r="AD72" s="15">
        <f t="shared" si="4"/>
        <v>0.02170862068965517</v>
      </c>
      <c r="AI72" s="1" t="s">
        <v>125</v>
      </c>
      <c r="AJ72" s="1" t="s">
        <v>110</v>
      </c>
      <c r="AK72" s="2" t="s">
        <v>1</v>
      </c>
    </row>
    <row r="73" spans="2:37" ht="12">
      <c r="B73" s="1" t="s">
        <v>177</v>
      </c>
      <c r="C73" s="1" t="s">
        <v>200</v>
      </c>
      <c r="D73" s="1" t="s">
        <v>108</v>
      </c>
      <c r="E73" s="3">
        <f>21*30</f>
        <v>630</v>
      </c>
      <c r="F73" s="3">
        <f>46.5*30</f>
        <v>1395</v>
      </c>
      <c r="G73" s="7"/>
      <c r="H73" s="7"/>
      <c r="I73" s="7"/>
      <c r="J73" s="7"/>
      <c r="K73" s="7"/>
      <c r="L73" s="7"/>
      <c r="M73" s="7"/>
      <c r="N73" s="7"/>
      <c r="O73" s="7"/>
      <c r="P73" s="7"/>
      <c r="U73" s="11" t="s">
        <v>1</v>
      </c>
      <c r="V73" s="1" t="s">
        <v>201</v>
      </c>
      <c r="W73" s="3">
        <f>DAVERAGE(B23:T549,4,AE109:AF112)</f>
        <v>907.5</v>
      </c>
      <c r="X73" s="3">
        <f>DAVERAGE(B23:T549,4,AG109:AH112)</f>
        <v>660.3</v>
      </c>
      <c r="Y73" s="3">
        <f>DAVERAGE(B23:T549,4,AI109:AJ113)</f>
        <v>526</v>
      </c>
      <c r="Z73" s="3">
        <v>10282</v>
      </c>
      <c r="AB73" s="15">
        <f t="shared" si="2"/>
        <v>0.08826103870842249</v>
      </c>
      <c r="AC73" s="15">
        <f t="shared" si="3"/>
        <v>0.06421902353627698</v>
      </c>
      <c r="AD73" s="15">
        <f t="shared" si="4"/>
        <v>0.05115736238085976</v>
      </c>
      <c r="AE73" s="6" t="s">
        <v>54</v>
      </c>
      <c r="AF73" s="6" t="s">
        <v>56</v>
      </c>
      <c r="AG73" s="6" t="s">
        <v>54</v>
      </c>
      <c r="AH73" s="6" t="s">
        <v>56</v>
      </c>
      <c r="AI73" s="6" t="s">
        <v>54</v>
      </c>
      <c r="AJ73" s="6" t="s">
        <v>56</v>
      </c>
      <c r="AK73" s="2" t="s">
        <v>1</v>
      </c>
    </row>
    <row r="74" spans="2:37" ht="12">
      <c r="B74" s="1" t="s">
        <v>177</v>
      </c>
      <c r="C74" s="1" t="s">
        <v>202</v>
      </c>
      <c r="D74" s="1" t="s">
        <v>108</v>
      </c>
      <c r="E74" s="3">
        <f>20*30</f>
        <v>600</v>
      </c>
      <c r="F74" s="3">
        <f>44*30</f>
        <v>1320</v>
      </c>
      <c r="G74" s="7"/>
      <c r="H74" s="7"/>
      <c r="I74" s="7"/>
      <c r="J74" s="7"/>
      <c r="K74" s="7"/>
      <c r="L74" s="7"/>
      <c r="M74" s="7"/>
      <c r="N74" s="7"/>
      <c r="O74" s="7"/>
      <c r="P74" s="7"/>
      <c r="U74" s="11" t="s">
        <v>1</v>
      </c>
      <c r="V74" s="1" t="s">
        <v>203</v>
      </c>
      <c r="W74" s="3">
        <f>DAVERAGE(B23:T549,4,AE114:AF117)</f>
        <v>1716.6666666666667</v>
      </c>
      <c r="X74" s="3">
        <f>DAVERAGE(B23:T549,4,AG114:AH117)</f>
        <v>1524.125</v>
      </c>
      <c r="Y74" s="3">
        <f>DAVERAGE(B23:T549,4,AI114:AJ118)</f>
        <v>715.6128571428571</v>
      </c>
      <c r="Z74" s="3">
        <v>9137</v>
      </c>
      <c r="AB74" s="15">
        <f t="shared" si="2"/>
        <v>0.18788077778993836</v>
      </c>
      <c r="AC74" s="15">
        <f t="shared" si="3"/>
        <v>0.16680803327131444</v>
      </c>
      <c r="AD74" s="15">
        <f t="shared" si="4"/>
        <v>0.07832033021154176</v>
      </c>
      <c r="AE74" s="1" t="s">
        <v>177</v>
      </c>
      <c r="AF74" s="1" t="s">
        <v>105</v>
      </c>
      <c r="AG74" s="1" t="s">
        <v>177</v>
      </c>
      <c r="AH74" s="1" t="s">
        <v>93</v>
      </c>
      <c r="AI74" s="1" t="s">
        <v>177</v>
      </c>
      <c r="AJ74" s="1" t="s">
        <v>107</v>
      </c>
      <c r="AK74" s="2" t="s">
        <v>1</v>
      </c>
    </row>
    <row r="75" spans="2:37" ht="12">
      <c r="B75" s="1" t="s">
        <v>177</v>
      </c>
      <c r="C75" s="1" t="s">
        <v>204</v>
      </c>
      <c r="D75" s="1" t="s">
        <v>108</v>
      </c>
      <c r="E75" s="3">
        <f>19.75*30</f>
        <v>592.5</v>
      </c>
      <c r="F75" s="3">
        <f>43*30</f>
        <v>1290</v>
      </c>
      <c r="G75" s="7"/>
      <c r="H75" s="7"/>
      <c r="I75" s="7"/>
      <c r="J75" s="7"/>
      <c r="K75" s="7"/>
      <c r="L75" s="7"/>
      <c r="M75" s="7"/>
      <c r="N75" s="7"/>
      <c r="O75" s="7"/>
      <c r="P75" s="7"/>
      <c r="U75" s="11" t="s">
        <v>1</v>
      </c>
      <c r="V75" s="1" t="s">
        <v>205</v>
      </c>
      <c r="W75" s="3">
        <f>DAVERAGE(B23:T549,4,AE119:AF122)</f>
        <v>1133.8333333333333</v>
      </c>
      <c r="X75" s="3">
        <f>DAVERAGE(B23:T549,4,AG119:AH122)</f>
        <v>1150.6666666666667</v>
      </c>
      <c r="Y75" s="3">
        <f>DAVERAGE(B23:T549,4,AI119:AJ123)</f>
        <v>604</v>
      </c>
      <c r="Z75" s="3">
        <v>9649</v>
      </c>
      <c r="AB75" s="15">
        <f t="shared" si="2"/>
        <v>0.11750785919093515</v>
      </c>
      <c r="AC75" s="15">
        <f t="shared" si="3"/>
        <v>0.11925242684906899</v>
      </c>
      <c r="AD75" s="15">
        <f t="shared" si="4"/>
        <v>0.06259716032749507</v>
      </c>
      <c r="AE75" s="1" t="s">
        <v>177</v>
      </c>
      <c r="AF75" s="1" t="s">
        <v>80</v>
      </c>
      <c r="AG75" s="1" t="s">
        <v>177</v>
      </c>
      <c r="AH75" s="1" t="s">
        <v>98</v>
      </c>
      <c r="AI75" s="1" t="s">
        <v>177</v>
      </c>
      <c r="AJ75" s="1" t="s">
        <v>108</v>
      </c>
      <c r="AK75" s="2" t="s">
        <v>1</v>
      </c>
    </row>
    <row r="76" spans="2:37" ht="12">
      <c r="B76" s="1" t="s">
        <v>177</v>
      </c>
      <c r="C76" s="1" t="s">
        <v>206</v>
      </c>
      <c r="D76" s="1" t="s">
        <v>108</v>
      </c>
      <c r="E76" s="3">
        <f>19.8*30</f>
        <v>594</v>
      </c>
      <c r="F76" s="3">
        <f>43*30</f>
        <v>1290</v>
      </c>
      <c r="G76" s="7"/>
      <c r="H76" s="7"/>
      <c r="I76" s="7"/>
      <c r="J76" s="7"/>
      <c r="K76" s="7"/>
      <c r="L76" s="7"/>
      <c r="M76" s="7"/>
      <c r="N76" s="7"/>
      <c r="O76" s="7"/>
      <c r="P76" s="7"/>
      <c r="U76" s="11" t="s">
        <v>1</v>
      </c>
      <c r="V76" s="1" t="s">
        <v>207</v>
      </c>
      <c r="W76" s="3">
        <f>DAVERAGE(B23:T549,4,AE124:AF127)</f>
        <v>886.5111111111111</v>
      </c>
      <c r="X76" s="3">
        <f>DAVERAGE(B23:T549,4,AG124:AH127)</f>
        <v>875.7368421052631</v>
      </c>
      <c r="Y76" s="3">
        <f>DAVERAGE(B23:T549,4,AI124:AJ128)</f>
        <v>387.921875</v>
      </c>
      <c r="Z76" s="3">
        <v>11559</v>
      </c>
      <c r="AB76" s="15">
        <f t="shared" si="2"/>
        <v>0.07669444684757427</v>
      </c>
      <c r="AC76" s="15">
        <f t="shared" si="3"/>
        <v>0.07576233602433283</v>
      </c>
      <c r="AD76" s="15">
        <f t="shared" si="4"/>
        <v>0.033560158750756984</v>
      </c>
      <c r="AE76" s="1" t="s">
        <v>177</v>
      </c>
      <c r="AF76" s="1" t="s">
        <v>88</v>
      </c>
      <c r="AG76" s="1" t="s">
        <v>177</v>
      </c>
      <c r="AH76" s="1" t="s">
        <v>106</v>
      </c>
      <c r="AI76" s="1" t="s">
        <v>177</v>
      </c>
      <c r="AJ76" s="1" t="s">
        <v>109</v>
      </c>
      <c r="AK76" s="2" t="s">
        <v>1</v>
      </c>
    </row>
    <row r="77" spans="2:37" ht="12">
      <c r="B77" s="1" t="s">
        <v>177</v>
      </c>
      <c r="C77" s="1" t="s">
        <v>208</v>
      </c>
      <c r="D77" s="1" t="s">
        <v>108</v>
      </c>
      <c r="E77" s="3">
        <f>21*30</f>
        <v>630</v>
      </c>
      <c r="F77" s="3">
        <f>43*30</f>
        <v>1290</v>
      </c>
      <c r="G77" s="7"/>
      <c r="H77" s="7"/>
      <c r="I77" s="7"/>
      <c r="J77" s="7"/>
      <c r="K77" s="7"/>
      <c r="L77" s="7"/>
      <c r="M77" s="7"/>
      <c r="N77" s="7"/>
      <c r="O77" s="7"/>
      <c r="P77" s="7"/>
      <c r="U77" s="11" t="s">
        <v>1</v>
      </c>
      <c r="V77" s="1" t="s">
        <v>209</v>
      </c>
      <c r="W77" s="3">
        <f>DAVERAGE(B23:T549,4,AE129:AF132)</f>
        <v>2123.5</v>
      </c>
      <c r="X77" s="3">
        <f>DAVERAGE(B23:T549,4,AG129:AH132)</f>
        <v>1862.625</v>
      </c>
      <c r="Y77" s="3">
        <f>DAVERAGE(B23:T549,4,AI129:AJ133)</f>
        <v>903.3333333333334</v>
      </c>
      <c r="Z77" s="3">
        <v>12286</v>
      </c>
      <c r="AB77" s="15">
        <f t="shared" si="2"/>
        <v>0.17283900374409897</v>
      </c>
      <c r="AC77" s="15">
        <f t="shared" si="3"/>
        <v>0.1516054859189321</v>
      </c>
      <c r="AD77" s="15">
        <f t="shared" si="4"/>
        <v>0.07352542188941343</v>
      </c>
      <c r="AI77" s="1" t="s">
        <v>177</v>
      </c>
      <c r="AJ77" s="1" t="s">
        <v>110</v>
      </c>
      <c r="AK77" s="2" t="s">
        <v>1</v>
      </c>
    </row>
    <row r="78" spans="2:37" ht="12">
      <c r="B78" s="1" t="s">
        <v>177</v>
      </c>
      <c r="C78" s="1" t="s">
        <v>210</v>
      </c>
      <c r="D78" s="1" t="s">
        <v>108</v>
      </c>
      <c r="E78" s="3">
        <f>20.5*30</f>
        <v>615</v>
      </c>
      <c r="F78" s="3">
        <f>42.75*30</f>
        <v>1282.5</v>
      </c>
      <c r="G78" s="7"/>
      <c r="H78" s="7"/>
      <c r="I78" s="7"/>
      <c r="J78" s="7"/>
      <c r="K78" s="7"/>
      <c r="L78" s="7"/>
      <c r="M78" s="7"/>
      <c r="N78" s="7"/>
      <c r="O78" s="7"/>
      <c r="P78" s="7"/>
      <c r="U78" s="11" t="s">
        <v>1</v>
      </c>
      <c r="V78" s="1" t="s">
        <v>211</v>
      </c>
      <c r="W78" s="3">
        <f>DAVERAGE(B23:T549,4,AE134:AF137)</f>
        <v>1260</v>
      </c>
      <c r="X78" s="3">
        <f>DAVERAGE(B23:T549,4,AG134:AH137)</f>
        <v>918</v>
      </c>
      <c r="Y78" s="3">
        <f>DAVERAGE(B23:T549,4,AI134:AJ138)</f>
        <v>675</v>
      </c>
      <c r="Z78" s="3">
        <v>8762</v>
      </c>
      <c r="AB78" s="15">
        <f t="shared" si="2"/>
        <v>0.14380278475233965</v>
      </c>
      <c r="AC78" s="15">
        <f t="shared" si="3"/>
        <v>0.10477060031956174</v>
      </c>
      <c r="AD78" s="15">
        <f t="shared" si="4"/>
        <v>0.07703720611732481</v>
      </c>
      <c r="AE78" s="6" t="s">
        <v>54</v>
      </c>
      <c r="AF78" s="6" t="s">
        <v>56</v>
      </c>
      <c r="AG78" s="6" t="s">
        <v>54</v>
      </c>
      <c r="AH78" s="6" t="s">
        <v>56</v>
      </c>
      <c r="AI78" s="6" t="s">
        <v>54</v>
      </c>
      <c r="AJ78" s="6" t="s">
        <v>56</v>
      </c>
      <c r="AK78" s="2" t="s">
        <v>1</v>
      </c>
    </row>
    <row r="79" spans="2:37" ht="12">
      <c r="B79" s="1" t="s">
        <v>177</v>
      </c>
      <c r="C79" s="1" t="s">
        <v>212</v>
      </c>
      <c r="D79" s="1" t="s">
        <v>108</v>
      </c>
      <c r="E79" s="3">
        <f>19.75*30</f>
        <v>592.5</v>
      </c>
      <c r="F79" s="3">
        <f>42.5*30</f>
        <v>1275</v>
      </c>
      <c r="G79" s="7"/>
      <c r="H79" s="7"/>
      <c r="I79" s="7"/>
      <c r="J79" s="7"/>
      <c r="K79" s="7"/>
      <c r="L79" s="7"/>
      <c r="M79" s="7"/>
      <c r="N79" s="7"/>
      <c r="O79" s="7"/>
      <c r="P79" s="7"/>
      <c r="U79" s="11" t="s">
        <v>1</v>
      </c>
      <c r="AB79" s="15"/>
      <c r="AC79" s="15"/>
      <c r="AD79" s="15"/>
      <c r="AE79" s="1" t="s">
        <v>189</v>
      </c>
      <c r="AF79" s="1" t="s">
        <v>105</v>
      </c>
      <c r="AG79" s="1" t="s">
        <v>189</v>
      </c>
      <c r="AH79" s="1" t="s">
        <v>93</v>
      </c>
      <c r="AI79" s="1" t="s">
        <v>189</v>
      </c>
      <c r="AJ79" s="1" t="s">
        <v>107</v>
      </c>
      <c r="AK79" s="2" t="s">
        <v>1</v>
      </c>
    </row>
    <row r="80" spans="2:37" ht="12">
      <c r="B80" s="1" t="s">
        <v>177</v>
      </c>
      <c r="C80" s="1" t="s">
        <v>213</v>
      </c>
      <c r="D80" s="1" t="s">
        <v>108</v>
      </c>
      <c r="E80" s="3">
        <f>19.75*30</f>
        <v>592.5</v>
      </c>
      <c r="F80" s="3">
        <f>42.5*30</f>
        <v>1275</v>
      </c>
      <c r="G80" s="7"/>
      <c r="H80" s="7"/>
      <c r="I80" s="7"/>
      <c r="J80" s="7"/>
      <c r="K80" s="7"/>
      <c r="L80" s="7"/>
      <c r="M80" s="7"/>
      <c r="N80" s="7"/>
      <c r="O80" s="7"/>
      <c r="P80" s="7"/>
      <c r="U80" s="11" t="s">
        <v>1</v>
      </c>
      <c r="V80" s="1" t="s">
        <v>214</v>
      </c>
      <c r="W80" s="3">
        <f>DAVERAGE(B23:T549,4,AE139:AF140)</f>
        <v>1233.6666666666667</v>
      </c>
      <c r="X80" s="3">
        <f>DAVERAGE(B23:T549,4,AG139:AH142)</f>
        <v>1108.4960629921259</v>
      </c>
      <c r="Y80" s="3">
        <f>DAVERAGE(B23:T549,4,AI139:AJ143)</f>
        <v>506.5696762589928</v>
      </c>
      <c r="Z80" s="3">
        <f>((58490+579885+33944+189220)*1000000)/80611000</f>
        <v>10687.610871965364</v>
      </c>
      <c r="AB80" s="15">
        <f>(W80/Z80)</f>
        <v>0.11542960175530843</v>
      </c>
      <c r="AC80" s="15">
        <f>X80/Z80</f>
        <v>0.10371785390314107</v>
      </c>
      <c r="AD80" s="15">
        <f>Y80/Z80</f>
        <v>0.047397840577053006</v>
      </c>
      <c r="AE80" s="1" t="s">
        <v>189</v>
      </c>
      <c r="AF80" s="1" t="s">
        <v>80</v>
      </c>
      <c r="AG80" s="1" t="s">
        <v>189</v>
      </c>
      <c r="AH80" s="1" t="s">
        <v>98</v>
      </c>
      <c r="AI80" s="1" t="s">
        <v>189</v>
      </c>
      <c r="AJ80" s="1" t="s">
        <v>108</v>
      </c>
      <c r="AK80" s="2" t="s">
        <v>1</v>
      </c>
    </row>
    <row r="81" spans="2:37" ht="12">
      <c r="B81" s="1" t="s">
        <v>177</v>
      </c>
      <c r="C81" s="1" t="s">
        <v>215</v>
      </c>
      <c r="D81" s="1" t="s">
        <v>108</v>
      </c>
      <c r="E81" s="3">
        <f>21.25*30</f>
        <v>637.5</v>
      </c>
      <c r="F81" s="3">
        <f>42.5*30</f>
        <v>1275</v>
      </c>
      <c r="G81" s="7"/>
      <c r="H81" s="7"/>
      <c r="I81" s="7"/>
      <c r="J81" s="7"/>
      <c r="K81" s="7"/>
      <c r="L81" s="7"/>
      <c r="M81" s="7"/>
      <c r="N81" s="7"/>
      <c r="O81" s="7"/>
      <c r="P81" s="7"/>
      <c r="U81" s="11" t="s">
        <v>1</v>
      </c>
      <c r="AB81" s="15"/>
      <c r="AC81" s="15"/>
      <c r="AD81" s="15"/>
      <c r="AE81" s="1" t="s">
        <v>189</v>
      </c>
      <c r="AF81" s="1" t="s">
        <v>88</v>
      </c>
      <c r="AG81" s="1" t="s">
        <v>189</v>
      </c>
      <c r="AH81" s="1" t="s">
        <v>106</v>
      </c>
      <c r="AI81" s="1" t="s">
        <v>189</v>
      </c>
      <c r="AJ81" s="1" t="s">
        <v>109</v>
      </c>
      <c r="AK81" s="2" t="s">
        <v>1</v>
      </c>
    </row>
    <row r="82" spans="2:37" ht="12">
      <c r="B82" s="1" t="s">
        <v>177</v>
      </c>
      <c r="C82" s="1" t="s">
        <v>216</v>
      </c>
      <c r="D82" s="1" t="s">
        <v>108</v>
      </c>
      <c r="E82" s="3">
        <f>19.75*30</f>
        <v>592.5</v>
      </c>
      <c r="F82" s="3">
        <f>42.5*30</f>
        <v>1275</v>
      </c>
      <c r="G82" s="7"/>
      <c r="H82" s="7"/>
      <c r="I82" s="7"/>
      <c r="J82" s="7"/>
      <c r="K82" s="7"/>
      <c r="L82" s="7"/>
      <c r="M82" s="7"/>
      <c r="N82" s="7"/>
      <c r="O82" s="7"/>
      <c r="P82" s="7"/>
      <c r="U82" s="11" t="s">
        <v>1</v>
      </c>
      <c r="AB82" s="15"/>
      <c r="AC82" s="15"/>
      <c r="AD82" s="15"/>
      <c r="AI82" s="1" t="s">
        <v>189</v>
      </c>
      <c r="AJ82" s="1" t="s">
        <v>110</v>
      </c>
      <c r="AK82" s="2" t="s">
        <v>1</v>
      </c>
    </row>
    <row r="83" spans="2:37" ht="12">
      <c r="B83" s="1" t="s">
        <v>177</v>
      </c>
      <c r="C83" s="1" t="s">
        <v>217</v>
      </c>
      <c r="D83" s="1" t="s">
        <v>108</v>
      </c>
      <c r="E83" s="3">
        <f>21*30</f>
        <v>630</v>
      </c>
      <c r="F83" s="3">
        <f>42*30</f>
        <v>1260</v>
      </c>
      <c r="G83" s="7"/>
      <c r="H83" s="7"/>
      <c r="I83" s="7"/>
      <c r="J83" s="7"/>
      <c r="K83" s="7"/>
      <c r="L83" s="7"/>
      <c r="M83" s="7"/>
      <c r="N83" s="7"/>
      <c r="O83" s="7"/>
      <c r="P83" s="7"/>
      <c r="U83" s="11" t="s">
        <v>1</v>
      </c>
      <c r="AB83" s="15"/>
      <c r="AC83" s="15"/>
      <c r="AD83" s="15"/>
      <c r="AE83" s="6" t="s">
        <v>54</v>
      </c>
      <c r="AF83" s="6" t="s">
        <v>56</v>
      </c>
      <c r="AG83" s="6" t="s">
        <v>54</v>
      </c>
      <c r="AH83" s="6" t="s">
        <v>56</v>
      </c>
      <c r="AI83" s="6" t="s">
        <v>54</v>
      </c>
      <c r="AJ83" s="6" t="s">
        <v>56</v>
      </c>
      <c r="AK83" s="2" t="s">
        <v>1</v>
      </c>
    </row>
    <row r="84" spans="2:37" ht="12">
      <c r="B84" s="1" t="s">
        <v>177</v>
      </c>
      <c r="C84" s="1" t="s">
        <v>218</v>
      </c>
      <c r="D84" s="1" t="s">
        <v>108</v>
      </c>
      <c r="E84" s="3">
        <f>19.05*30</f>
        <v>571.5</v>
      </c>
      <c r="F84" s="3">
        <f>41.05*30</f>
        <v>1231.5</v>
      </c>
      <c r="G84" s="7"/>
      <c r="H84" s="7"/>
      <c r="I84" s="7"/>
      <c r="J84" s="7"/>
      <c r="K84" s="7"/>
      <c r="L84" s="7"/>
      <c r="M84" s="7"/>
      <c r="N84" s="7"/>
      <c r="O84" s="7"/>
      <c r="P84" s="7"/>
      <c r="U84" s="11" t="s">
        <v>1</v>
      </c>
      <c r="AB84" s="15"/>
      <c r="AC84" s="15"/>
      <c r="AD84" s="15"/>
      <c r="AE84" s="1" t="s">
        <v>191</v>
      </c>
      <c r="AF84" s="1" t="s">
        <v>105</v>
      </c>
      <c r="AG84" s="1" t="s">
        <v>191</v>
      </c>
      <c r="AH84" s="1" t="s">
        <v>93</v>
      </c>
      <c r="AI84" s="1" t="s">
        <v>191</v>
      </c>
      <c r="AJ84" s="1" t="s">
        <v>107</v>
      </c>
      <c r="AK84" s="2" t="s">
        <v>1</v>
      </c>
    </row>
    <row r="85" spans="2:37" ht="12">
      <c r="B85" s="1" t="s">
        <v>177</v>
      </c>
      <c r="C85" s="1" t="s">
        <v>219</v>
      </c>
      <c r="D85" s="1" t="s">
        <v>108</v>
      </c>
      <c r="E85" s="3">
        <f>19.05*30</f>
        <v>571.5</v>
      </c>
      <c r="F85" s="3">
        <f>40.95*30</f>
        <v>1228.5</v>
      </c>
      <c r="G85" s="7"/>
      <c r="H85" s="7"/>
      <c r="I85" s="7"/>
      <c r="J85" s="7"/>
      <c r="K85" s="7"/>
      <c r="L85" s="7"/>
      <c r="M85" s="7"/>
      <c r="N85" s="7"/>
      <c r="O85" s="7"/>
      <c r="P85" s="7"/>
      <c r="U85" s="11" t="s">
        <v>1</v>
      </c>
      <c r="AE85" s="1" t="s">
        <v>191</v>
      </c>
      <c r="AF85" s="1" t="s">
        <v>80</v>
      </c>
      <c r="AG85" s="1" t="s">
        <v>191</v>
      </c>
      <c r="AH85" s="1" t="s">
        <v>98</v>
      </c>
      <c r="AI85" s="1" t="s">
        <v>191</v>
      </c>
      <c r="AJ85" s="1" t="s">
        <v>108</v>
      </c>
      <c r="AK85" s="2" t="s">
        <v>1</v>
      </c>
    </row>
    <row r="86" spans="2:37" ht="12">
      <c r="B86" s="1" t="s">
        <v>177</v>
      </c>
      <c r="C86" s="1" t="s">
        <v>220</v>
      </c>
      <c r="D86" s="1" t="s">
        <v>108</v>
      </c>
      <c r="E86" s="3">
        <f>19.75*30</f>
        <v>592.5</v>
      </c>
      <c r="F86" s="3">
        <f>40.5*30</f>
        <v>1215</v>
      </c>
      <c r="G86" s="7"/>
      <c r="H86" s="7"/>
      <c r="I86" s="7"/>
      <c r="J86" s="7"/>
      <c r="K86" s="7"/>
      <c r="L86" s="7"/>
      <c r="M86" s="7"/>
      <c r="N86" s="7"/>
      <c r="O86" s="7"/>
      <c r="P86" s="7"/>
      <c r="U86" s="11" t="s">
        <v>1</v>
      </c>
      <c r="AE86" s="1" t="s">
        <v>191</v>
      </c>
      <c r="AF86" s="1" t="s">
        <v>88</v>
      </c>
      <c r="AG86" s="1" t="s">
        <v>191</v>
      </c>
      <c r="AH86" s="1" t="s">
        <v>106</v>
      </c>
      <c r="AI86" s="1" t="s">
        <v>191</v>
      </c>
      <c r="AJ86" s="1" t="s">
        <v>109</v>
      </c>
      <c r="AK86" s="2" t="s">
        <v>1</v>
      </c>
    </row>
    <row r="87" spans="2:37" ht="12">
      <c r="B87" s="1" t="s">
        <v>177</v>
      </c>
      <c r="C87" s="1" t="s">
        <v>221</v>
      </c>
      <c r="D87" s="1" t="s">
        <v>108</v>
      </c>
      <c r="E87" s="3">
        <f>19*30</f>
        <v>570</v>
      </c>
      <c r="F87" s="3">
        <f>40*30</f>
        <v>1200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U87" s="11" t="s">
        <v>1</v>
      </c>
      <c r="AI87" s="1" t="s">
        <v>191</v>
      </c>
      <c r="AJ87" s="1" t="s">
        <v>110</v>
      </c>
      <c r="AK87" s="2" t="s">
        <v>1</v>
      </c>
    </row>
    <row r="88" spans="2:37" ht="12">
      <c r="B88" s="1" t="s">
        <v>177</v>
      </c>
      <c r="C88" s="1" t="s">
        <v>222</v>
      </c>
      <c r="D88" s="1" t="s">
        <v>108</v>
      </c>
      <c r="E88" s="3">
        <f>20*30</f>
        <v>600</v>
      </c>
      <c r="F88" s="3">
        <f>40*30</f>
        <v>1200</v>
      </c>
      <c r="G88" s="7"/>
      <c r="H88" s="7"/>
      <c r="I88" s="7"/>
      <c r="J88" s="7"/>
      <c r="K88" s="7"/>
      <c r="L88" s="7"/>
      <c r="M88" s="7"/>
      <c r="N88" s="7"/>
      <c r="O88" s="7"/>
      <c r="P88" s="7"/>
      <c r="U88" s="11" t="s">
        <v>1</v>
      </c>
      <c r="AE88" s="6" t="s">
        <v>54</v>
      </c>
      <c r="AF88" s="6" t="s">
        <v>56</v>
      </c>
      <c r="AG88" s="6" t="s">
        <v>54</v>
      </c>
      <c r="AH88" s="6" t="s">
        <v>56</v>
      </c>
      <c r="AI88" s="6" t="s">
        <v>54</v>
      </c>
      <c r="AJ88" s="6" t="s">
        <v>56</v>
      </c>
      <c r="AK88" s="2" t="s">
        <v>1</v>
      </c>
    </row>
    <row r="89" spans="2:37" ht="12">
      <c r="B89" s="1" t="s">
        <v>177</v>
      </c>
      <c r="C89" s="1" t="s">
        <v>223</v>
      </c>
      <c r="D89" s="1" t="s">
        <v>108</v>
      </c>
      <c r="E89" s="3">
        <f>19.8*30</f>
        <v>594</v>
      </c>
      <c r="F89" s="3">
        <f>39.6*30</f>
        <v>1188</v>
      </c>
      <c r="G89" s="7"/>
      <c r="H89" s="7"/>
      <c r="I89" s="7"/>
      <c r="J89" s="7"/>
      <c r="K89" s="7"/>
      <c r="L89" s="7"/>
      <c r="M89" s="7"/>
      <c r="N89" s="7"/>
      <c r="O89" s="7"/>
      <c r="P89" s="7"/>
      <c r="U89" s="11" t="s">
        <v>1</v>
      </c>
      <c r="AE89" s="1" t="s">
        <v>193</v>
      </c>
      <c r="AF89" s="1" t="s">
        <v>105</v>
      </c>
      <c r="AG89" s="1" t="s">
        <v>193</v>
      </c>
      <c r="AH89" s="1" t="s">
        <v>93</v>
      </c>
      <c r="AI89" s="1" t="s">
        <v>193</v>
      </c>
      <c r="AJ89" s="1" t="s">
        <v>107</v>
      </c>
      <c r="AK89" s="2" t="s">
        <v>1</v>
      </c>
    </row>
    <row r="90" spans="2:37" ht="12">
      <c r="B90" s="1" t="s">
        <v>177</v>
      </c>
      <c r="C90" s="1" t="s">
        <v>224</v>
      </c>
      <c r="D90" s="1" t="s">
        <v>108</v>
      </c>
      <c r="E90" s="3">
        <f>18.61*30</f>
        <v>558.3</v>
      </c>
      <c r="F90" s="3">
        <f>38.13*30</f>
        <v>1143.9</v>
      </c>
      <c r="G90" s="7"/>
      <c r="H90" s="7"/>
      <c r="I90" s="7"/>
      <c r="J90" s="7"/>
      <c r="K90" s="7"/>
      <c r="L90" s="7"/>
      <c r="M90" s="7"/>
      <c r="N90" s="7"/>
      <c r="O90" s="7"/>
      <c r="P90" s="7"/>
      <c r="U90" s="11" t="s">
        <v>1</v>
      </c>
      <c r="AE90" s="1" t="s">
        <v>193</v>
      </c>
      <c r="AF90" s="1" t="s">
        <v>80</v>
      </c>
      <c r="AG90" s="1" t="s">
        <v>193</v>
      </c>
      <c r="AH90" s="1" t="s">
        <v>98</v>
      </c>
      <c r="AI90" s="1" t="s">
        <v>193</v>
      </c>
      <c r="AJ90" s="1" t="s">
        <v>108</v>
      </c>
      <c r="AK90" s="2" t="s">
        <v>1</v>
      </c>
    </row>
    <row r="91" spans="2:37" ht="12">
      <c r="B91" s="1" t="s">
        <v>177</v>
      </c>
      <c r="C91" s="1" t="s">
        <v>225</v>
      </c>
      <c r="D91" s="1" t="s">
        <v>108</v>
      </c>
      <c r="E91" s="3">
        <f>18.1*30</f>
        <v>543</v>
      </c>
      <c r="F91" s="3">
        <f>38.1*30</f>
        <v>1143</v>
      </c>
      <c r="G91" s="7"/>
      <c r="H91" s="7"/>
      <c r="I91" s="7"/>
      <c r="J91" s="7"/>
      <c r="K91" s="7"/>
      <c r="L91" s="7"/>
      <c r="M91" s="7"/>
      <c r="N91" s="7"/>
      <c r="O91" s="7"/>
      <c r="P91" s="7"/>
      <c r="U91" s="11" t="s">
        <v>1</v>
      </c>
      <c r="AE91" s="1" t="s">
        <v>193</v>
      </c>
      <c r="AF91" s="1" t="s">
        <v>88</v>
      </c>
      <c r="AG91" s="1" t="s">
        <v>193</v>
      </c>
      <c r="AH91" s="1" t="s">
        <v>106</v>
      </c>
      <c r="AI91" s="1" t="s">
        <v>193</v>
      </c>
      <c r="AJ91" s="1" t="s">
        <v>109</v>
      </c>
      <c r="AK91" s="2" t="s">
        <v>1</v>
      </c>
    </row>
    <row r="92" spans="2:37" ht="12">
      <c r="B92" s="1" t="s">
        <v>177</v>
      </c>
      <c r="C92" s="1" t="s">
        <v>226</v>
      </c>
      <c r="D92" s="1" t="s">
        <v>108</v>
      </c>
      <c r="E92" s="3">
        <f>19*30</f>
        <v>570</v>
      </c>
      <c r="F92" s="3">
        <f>38*30</f>
        <v>1140</v>
      </c>
      <c r="G92" s="7"/>
      <c r="H92" s="7"/>
      <c r="I92" s="7"/>
      <c r="J92" s="7"/>
      <c r="K92" s="7"/>
      <c r="L92" s="7"/>
      <c r="M92" s="7"/>
      <c r="N92" s="7"/>
      <c r="O92" s="7"/>
      <c r="P92" s="7"/>
      <c r="U92" s="11" t="s">
        <v>1</v>
      </c>
      <c r="AI92" s="1" t="s">
        <v>193</v>
      </c>
      <c r="AJ92" s="1" t="s">
        <v>110</v>
      </c>
      <c r="AK92" s="2" t="s">
        <v>1</v>
      </c>
    </row>
    <row r="93" spans="2:37" ht="12">
      <c r="B93" s="1" t="s">
        <v>177</v>
      </c>
      <c r="C93" s="1" t="s">
        <v>227</v>
      </c>
      <c r="D93" s="1" t="s">
        <v>108</v>
      </c>
      <c r="E93" s="3">
        <f>18*30</f>
        <v>540</v>
      </c>
      <c r="F93" s="3">
        <f>38*30</f>
        <v>1140</v>
      </c>
      <c r="G93" s="7"/>
      <c r="H93" s="7"/>
      <c r="I93" s="7"/>
      <c r="J93" s="7"/>
      <c r="K93" s="7"/>
      <c r="L93" s="7"/>
      <c r="M93" s="7"/>
      <c r="N93" s="7"/>
      <c r="O93" s="7"/>
      <c r="P93" s="7"/>
      <c r="U93" s="11" t="s">
        <v>1</v>
      </c>
      <c r="AE93" s="6" t="s">
        <v>54</v>
      </c>
      <c r="AF93" s="6" t="s">
        <v>56</v>
      </c>
      <c r="AG93" s="6" t="s">
        <v>54</v>
      </c>
      <c r="AH93" s="6" t="s">
        <v>56</v>
      </c>
      <c r="AI93" s="6" t="s">
        <v>54</v>
      </c>
      <c r="AJ93" s="6" t="s">
        <v>56</v>
      </c>
      <c r="AK93" s="2" t="s">
        <v>1</v>
      </c>
    </row>
    <row r="94" spans="2:37" ht="12">
      <c r="B94" s="1" t="s">
        <v>177</v>
      </c>
      <c r="C94" s="1" t="s">
        <v>228</v>
      </c>
      <c r="D94" s="1" t="s">
        <v>108</v>
      </c>
      <c r="E94" s="3">
        <f>19*30</f>
        <v>570</v>
      </c>
      <c r="F94" s="3">
        <f>38*30</f>
        <v>1140</v>
      </c>
      <c r="G94" s="7"/>
      <c r="H94" s="7"/>
      <c r="I94" s="7"/>
      <c r="J94" s="7"/>
      <c r="K94" s="7"/>
      <c r="L94" s="7"/>
      <c r="M94" s="7"/>
      <c r="N94" s="7"/>
      <c r="O94" s="7"/>
      <c r="P94" s="7"/>
      <c r="U94" s="11" t="s">
        <v>1</v>
      </c>
      <c r="AE94" s="1" t="s">
        <v>195</v>
      </c>
      <c r="AF94" s="1" t="s">
        <v>105</v>
      </c>
      <c r="AG94" s="1" t="s">
        <v>195</v>
      </c>
      <c r="AH94" s="1" t="s">
        <v>93</v>
      </c>
      <c r="AI94" s="1" t="s">
        <v>195</v>
      </c>
      <c r="AJ94" s="1" t="s">
        <v>107</v>
      </c>
      <c r="AK94" s="2" t="s">
        <v>1</v>
      </c>
    </row>
    <row r="95" spans="2:37" ht="12">
      <c r="B95" s="1" t="s">
        <v>177</v>
      </c>
      <c r="C95" s="1" t="s">
        <v>229</v>
      </c>
      <c r="D95" s="1" t="s">
        <v>108</v>
      </c>
      <c r="E95" s="3">
        <f>18.1*30</f>
        <v>543</v>
      </c>
      <c r="F95" s="3">
        <f>37.1*30</f>
        <v>1113</v>
      </c>
      <c r="G95" s="7"/>
      <c r="H95" s="7"/>
      <c r="I95" s="7"/>
      <c r="J95" s="7"/>
      <c r="K95" s="7"/>
      <c r="L95" s="7"/>
      <c r="M95" s="7"/>
      <c r="N95" s="7"/>
      <c r="O95" s="7"/>
      <c r="P95" s="7"/>
      <c r="U95" s="11" t="s">
        <v>1</v>
      </c>
      <c r="AE95" s="1" t="s">
        <v>195</v>
      </c>
      <c r="AF95" s="1" t="s">
        <v>80</v>
      </c>
      <c r="AG95" s="1" t="s">
        <v>195</v>
      </c>
      <c r="AH95" s="1" t="s">
        <v>98</v>
      </c>
      <c r="AI95" s="1" t="s">
        <v>195</v>
      </c>
      <c r="AJ95" s="1" t="s">
        <v>108</v>
      </c>
      <c r="AK95" s="2" t="s">
        <v>1</v>
      </c>
    </row>
    <row r="96" spans="2:37" ht="12">
      <c r="B96" s="1" t="s">
        <v>177</v>
      </c>
      <c r="C96" s="1" t="s">
        <v>230</v>
      </c>
      <c r="D96" s="1" t="s">
        <v>108</v>
      </c>
      <c r="E96" s="3">
        <f>18*30</f>
        <v>540</v>
      </c>
      <c r="F96" s="3">
        <f>37*30</f>
        <v>1110</v>
      </c>
      <c r="G96" s="7"/>
      <c r="H96" s="7"/>
      <c r="I96" s="7"/>
      <c r="J96" s="7"/>
      <c r="K96" s="7"/>
      <c r="L96" s="7"/>
      <c r="M96" s="7"/>
      <c r="N96" s="7"/>
      <c r="O96" s="7"/>
      <c r="P96" s="7"/>
      <c r="U96" s="11" t="s">
        <v>1</v>
      </c>
      <c r="AE96" s="1" t="s">
        <v>195</v>
      </c>
      <c r="AF96" s="1" t="s">
        <v>88</v>
      </c>
      <c r="AG96" s="1" t="s">
        <v>195</v>
      </c>
      <c r="AH96" s="1" t="s">
        <v>106</v>
      </c>
      <c r="AI96" s="1" t="s">
        <v>195</v>
      </c>
      <c r="AJ96" s="1" t="s">
        <v>109</v>
      </c>
      <c r="AK96" s="2" t="s">
        <v>1</v>
      </c>
    </row>
    <row r="97" spans="2:37" ht="12">
      <c r="B97" s="1" t="s">
        <v>177</v>
      </c>
      <c r="C97" s="1" t="s">
        <v>231</v>
      </c>
      <c r="D97" s="1" t="s">
        <v>108</v>
      </c>
      <c r="E97" s="3">
        <f>18.25*30</f>
        <v>547.5</v>
      </c>
      <c r="F97" s="3">
        <f>36.5*30</f>
        <v>1095</v>
      </c>
      <c r="G97" s="7"/>
      <c r="H97" s="7"/>
      <c r="I97" s="7"/>
      <c r="J97" s="7"/>
      <c r="K97" s="7"/>
      <c r="L97" s="7"/>
      <c r="M97" s="7"/>
      <c r="N97" s="7"/>
      <c r="O97" s="7"/>
      <c r="P97" s="7"/>
      <c r="U97" s="11" t="s">
        <v>1</v>
      </c>
      <c r="AI97" s="1" t="s">
        <v>195</v>
      </c>
      <c r="AJ97" s="1" t="s">
        <v>110</v>
      </c>
      <c r="AK97" s="2" t="s">
        <v>1</v>
      </c>
    </row>
    <row r="98" spans="2:37" ht="12">
      <c r="B98" s="1" t="s">
        <v>177</v>
      </c>
      <c r="C98" s="1" t="s">
        <v>232</v>
      </c>
      <c r="D98" s="1" t="s">
        <v>108</v>
      </c>
      <c r="E98" s="3">
        <f>17.14*30</f>
        <v>514.2</v>
      </c>
      <c r="F98" s="3">
        <f>34.28*30</f>
        <v>1028.4</v>
      </c>
      <c r="G98" s="7"/>
      <c r="H98" s="7"/>
      <c r="I98" s="7"/>
      <c r="J98" s="7"/>
      <c r="K98" s="7"/>
      <c r="L98" s="7"/>
      <c r="M98" s="7"/>
      <c r="N98" s="7"/>
      <c r="O98" s="7"/>
      <c r="P98" s="7"/>
      <c r="U98" s="11" t="s">
        <v>1</v>
      </c>
      <c r="AE98" s="6" t="s">
        <v>54</v>
      </c>
      <c r="AF98" s="6" t="s">
        <v>56</v>
      </c>
      <c r="AG98" s="6" t="s">
        <v>54</v>
      </c>
      <c r="AH98" s="6" t="s">
        <v>56</v>
      </c>
      <c r="AI98" s="6" t="s">
        <v>54</v>
      </c>
      <c r="AJ98" s="6" t="s">
        <v>56</v>
      </c>
      <c r="AK98" s="2" t="s">
        <v>1</v>
      </c>
    </row>
    <row r="99" spans="2:37" ht="12">
      <c r="B99" s="1" t="s">
        <v>177</v>
      </c>
      <c r="C99" s="1" t="s">
        <v>233</v>
      </c>
      <c r="D99" s="1" t="s">
        <v>234</v>
      </c>
      <c r="E99" s="3">
        <v>200</v>
      </c>
      <c r="F99" s="3">
        <v>400</v>
      </c>
      <c r="U99" s="11" t="s">
        <v>1</v>
      </c>
      <c r="AE99" s="1" t="s">
        <v>197</v>
      </c>
      <c r="AF99" s="1" t="s">
        <v>105</v>
      </c>
      <c r="AG99" s="1" t="s">
        <v>197</v>
      </c>
      <c r="AH99" s="1" t="s">
        <v>93</v>
      </c>
      <c r="AI99" s="1" t="s">
        <v>197</v>
      </c>
      <c r="AJ99" s="1" t="s">
        <v>107</v>
      </c>
      <c r="AK99" s="2" t="s">
        <v>1</v>
      </c>
    </row>
    <row r="100" spans="1:37" ht="12">
      <c r="A100" s="1" t="s">
        <v>124</v>
      </c>
      <c r="B100" s="1" t="s">
        <v>189</v>
      </c>
      <c r="C100" s="9" t="s">
        <v>235</v>
      </c>
      <c r="D100" s="1" t="s">
        <v>105</v>
      </c>
      <c r="E100" s="10">
        <v>1662</v>
      </c>
      <c r="F100" s="10">
        <v>4422</v>
      </c>
      <c r="G100" s="10">
        <v>1662</v>
      </c>
      <c r="H100" s="10">
        <v>4422</v>
      </c>
      <c r="I100" s="10">
        <v>2856</v>
      </c>
      <c r="J100" s="10">
        <v>8004</v>
      </c>
      <c r="Q100" s="10">
        <v>2172</v>
      </c>
      <c r="R100" s="6" t="s">
        <v>236</v>
      </c>
      <c r="U100" s="11" t="s">
        <v>1</v>
      </c>
      <c r="AE100" s="1" t="s">
        <v>197</v>
      </c>
      <c r="AF100" s="1" t="s">
        <v>80</v>
      </c>
      <c r="AG100" s="1" t="s">
        <v>197</v>
      </c>
      <c r="AH100" s="1" t="s">
        <v>98</v>
      </c>
      <c r="AI100" s="1" t="s">
        <v>197</v>
      </c>
      <c r="AJ100" s="1" t="s">
        <v>108</v>
      </c>
      <c r="AK100" s="2" t="s">
        <v>1</v>
      </c>
    </row>
    <row r="101" spans="2:37" ht="12">
      <c r="B101" s="1" t="s">
        <v>189</v>
      </c>
      <c r="C101" s="9" t="s">
        <v>237</v>
      </c>
      <c r="D101" s="1" t="s">
        <v>80</v>
      </c>
      <c r="E101" s="10">
        <v>1419</v>
      </c>
      <c r="F101" s="10">
        <v>4749</v>
      </c>
      <c r="G101" s="10">
        <v>1695</v>
      </c>
      <c r="H101" s="10">
        <v>4749</v>
      </c>
      <c r="I101" s="10">
        <v>2412</v>
      </c>
      <c r="J101" s="10">
        <v>7019</v>
      </c>
      <c r="U101" s="11" t="s">
        <v>1</v>
      </c>
      <c r="AE101" s="1" t="s">
        <v>197</v>
      </c>
      <c r="AF101" s="1" t="s">
        <v>88</v>
      </c>
      <c r="AG101" s="1" t="s">
        <v>197</v>
      </c>
      <c r="AH101" s="1" t="s">
        <v>106</v>
      </c>
      <c r="AI101" s="1" t="s">
        <v>197</v>
      </c>
      <c r="AJ101" s="1" t="s">
        <v>109</v>
      </c>
      <c r="AK101" s="2" t="s">
        <v>1</v>
      </c>
    </row>
    <row r="102" spans="2:37" ht="12">
      <c r="B102" s="1" t="s">
        <v>189</v>
      </c>
      <c r="C102" s="1" t="s">
        <v>238</v>
      </c>
      <c r="D102" s="1" t="s">
        <v>80</v>
      </c>
      <c r="E102" s="10">
        <v>1695</v>
      </c>
      <c r="F102" s="10">
        <v>5064</v>
      </c>
      <c r="G102" s="10">
        <v>1695</v>
      </c>
      <c r="H102" s="10">
        <v>5064</v>
      </c>
      <c r="U102" s="11" t="s">
        <v>1</v>
      </c>
      <c r="AK102" s="2" t="s">
        <v>1</v>
      </c>
    </row>
    <row r="103" spans="2:37" ht="12">
      <c r="B103" s="1" t="s">
        <v>189</v>
      </c>
      <c r="C103" s="9" t="s">
        <v>239</v>
      </c>
      <c r="D103" s="1" t="s">
        <v>98</v>
      </c>
      <c r="E103" s="10">
        <v>1341</v>
      </c>
      <c r="F103" s="10">
        <v>3423</v>
      </c>
      <c r="G103" s="10">
        <v>1341</v>
      </c>
      <c r="H103" s="10">
        <v>3423</v>
      </c>
      <c r="U103" s="11" t="s">
        <v>1</v>
      </c>
      <c r="AI103" s="1" t="s">
        <v>197</v>
      </c>
      <c r="AJ103" s="1" t="s">
        <v>110</v>
      </c>
      <c r="AK103" s="2" t="s">
        <v>1</v>
      </c>
    </row>
    <row r="104" spans="2:37" ht="12">
      <c r="B104" s="1" t="s">
        <v>189</v>
      </c>
      <c r="C104" s="9" t="s">
        <v>240</v>
      </c>
      <c r="D104" s="1" t="s">
        <v>98</v>
      </c>
      <c r="E104" s="10">
        <v>1326</v>
      </c>
      <c r="F104" s="10">
        <v>3408</v>
      </c>
      <c r="G104" s="10">
        <v>1326</v>
      </c>
      <c r="H104" s="10">
        <v>3408</v>
      </c>
      <c r="U104" s="11" t="s">
        <v>1</v>
      </c>
      <c r="AE104" s="6" t="s">
        <v>54</v>
      </c>
      <c r="AF104" s="6" t="s">
        <v>56</v>
      </c>
      <c r="AG104" s="6" t="s">
        <v>54</v>
      </c>
      <c r="AH104" s="6" t="s">
        <v>56</v>
      </c>
      <c r="AI104" s="6" t="s">
        <v>54</v>
      </c>
      <c r="AJ104" s="6" t="s">
        <v>56</v>
      </c>
      <c r="AK104" s="2" t="s">
        <v>1</v>
      </c>
    </row>
    <row r="105" spans="2:37" ht="12">
      <c r="B105" s="1" t="s">
        <v>189</v>
      </c>
      <c r="C105" s="9" t="s">
        <v>241</v>
      </c>
      <c r="D105" s="1" t="s">
        <v>98</v>
      </c>
      <c r="E105" s="10">
        <v>1326</v>
      </c>
      <c r="F105" s="10">
        <v>3408</v>
      </c>
      <c r="G105" s="10">
        <v>1326</v>
      </c>
      <c r="H105" s="10">
        <v>3408</v>
      </c>
      <c r="U105" s="11" t="s">
        <v>1</v>
      </c>
      <c r="AE105" s="1" t="s">
        <v>199</v>
      </c>
      <c r="AF105" s="1" t="s">
        <v>105</v>
      </c>
      <c r="AG105" s="1" t="s">
        <v>199</v>
      </c>
      <c r="AH105" s="1" t="s">
        <v>93</v>
      </c>
      <c r="AI105" s="1" t="s">
        <v>199</v>
      </c>
      <c r="AJ105" s="1" t="s">
        <v>107</v>
      </c>
      <c r="AK105" s="2" t="s">
        <v>1</v>
      </c>
    </row>
    <row r="106" spans="2:37" ht="12">
      <c r="B106" s="1" t="s">
        <v>189</v>
      </c>
      <c r="C106" s="9" t="s">
        <v>242</v>
      </c>
      <c r="D106" s="1" t="s">
        <v>98</v>
      </c>
      <c r="E106" s="10">
        <v>1326</v>
      </c>
      <c r="F106" s="10">
        <v>3408</v>
      </c>
      <c r="G106" s="10">
        <v>1326</v>
      </c>
      <c r="H106" s="10">
        <v>3408</v>
      </c>
      <c r="U106" s="11" t="s">
        <v>1</v>
      </c>
      <c r="AE106" s="1" t="s">
        <v>199</v>
      </c>
      <c r="AF106" s="1" t="s">
        <v>80</v>
      </c>
      <c r="AG106" s="1" t="s">
        <v>199</v>
      </c>
      <c r="AH106" s="1" t="s">
        <v>98</v>
      </c>
      <c r="AI106" s="1" t="s">
        <v>199</v>
      </c>
      <c r="AJ106" s="1" t="s">
        <v>108</v>
      </c>
      <c r="AK106" s="2" t="s">
        <v>1</v>
      </c>
    </row>
    <row r="107" spans="2:37" ht="12">
      <c r="B107" s="1" t="s">
        <v>189</v>
      </c>
      <c r="C107" s="9" t="s">
        <v>243</v>
      </c>
      <c r="D107" s="1" t="s">
        <v>98</v>
      </c>
      <c r="E107" s="10">
        <v>1317</v>
      </c>
      <c r="F107" s="10">
        <v>3399</v>
      </c>
      <c r="G107" s="10">
        <v>1317</v>
      </c>
      <c r="H107" s="10">
        <v>3399</v>
      </c>
      <c r="U107" s="11" t="s">
        <v>1</v>
      </c>
      <c r="AE107" s="1" t="s">
        <v>199</v>
      </c>
      <c r="AF107" s="1" t="s">
        <v>88</v>
      </c>
      <c r="AG107" s="1" t="s">
        <v>199</v>
      </c>
      <c r="AH107" s="1" t="s">
        <v>106</v>
      </c>
      <c r="AI107" s="1" t="s">
        <v>199</v>
      </c>
      <c r="AJ107" s="1" t="s">
        <v>109</v>
      </c>
      <c r="AK107" s="2" t="s">
        <v>1</v>
      </c>
    </row>
    <row r="108" spans="2:37" ht="12">
      <c r="B108" s="1" t="s">
        <v>189</v>
      </c>
      <c r="C108" s="9" t="s">
        <v>244</v>
      </c>
      <c r="D108" s="1" t="s">
        <v>98</v>
      </c>
      <c r="E108" s="10">
        <v>1305</v>
      </c>
      <c r="F108" s="10">
        <v>3387</v>
      </c>
      <c r="G108" s="10">
        <v>1305</v>
      </c>
      <c r="H108" s="10">
        <v>3387</v>
      </c>
      <c r="U108" s="11" t="s">
        <v>1</v>
      </c>
      <c r="AI108" s="1" t="s">
        <v>199</v>
      </c>
      <c r="AJ108" s="1" t="s">
        <v>110</v>
      </c>
      <c r="AK108" s="2" t="s">
        <v>1</v>
      </c>
    </row>
    <row r="109" spans="2:37" ht="12">
      <c r="B109" s="1" t="s">
        <v>189</v>
      </c>
      <c r="C109" s="9" t="s">
        <v>245</v>
      </c>
      <c r="D109" s="1" t="s">
        <v>98</v>
      </c>
      <c r="E109" s="10">
        <v>1278</v>
      </c>
      <c r="F109" s="10">
        <v>3360</v>
      </c>
      <c r="G109" s="10">
        <v>1278</v>
      </c>
      <c r="H109" s="10">
        <v>3360</v>
      </c>
      <c r="U109" s="11" t="s">
        <v>1</v>
      </c>
      <c r="AE109" s="6" t="s">
        <v>54</v>
      </c>
      <c r="AF109" s="6" t="s">
        <v>56</v>
      </c>
      <c r="AG109" s="6" t="s">
        <v>54</v>
      </c>
      <c r="AH109" s="6" t="s">
        <v>56</v>
      </c>
      <c r="AI109" s="6" t="s">
        <v>54</v>
      </c>
      <c r="AJ109" s="6" t="s">
        <v>56</v>
      </c>
      <c r="AK109" s="2" t="s">
        <v>1</v>
      </c>
    </row>
    <row r="110" spans="2:37" ht="12">
      <c r="B110" s="1" t="s">
        <v>189</v>
      </c>
      <c r="C110" s="9" t="s">
        <v>246</v>
      </c>
      <c r="D110" s="1" t="s">
        <v>98</v>
      </c>
      <c r="E110" s="10">
        <v>1257</v>
      </c>
      <c r="F110" s="10">
        <v>3339</v>
      </c>
      <c r="G110" s="10">
        <v>1257</v>
      </c>
      <c r="H110" s="10">
        <v>3339</v>
      </c>
      <c r="U110" s="11" t="s">
        <v>1</v>
      </c>
      <c r="AE110" s="1" t="s">
        <v>201</v>
      </c>
      <c r="AF110" s="1" t="s">
        <v>105</v>
      </c>
      <c r="AG110" s="1" t="s">
        <v>201</v>
      </c>
      <c r="AH110" s="1" t="s">
        <v>93</v>
      </c>
      <c r="AI110" s="1" t="s">
        <v>201</v>
      </c>
      <c r="AJ110" s="1" t="s">
        <v>107</v>
      </c>
      <c r="AK110" s="2" t="s">
        <v>1</v>
      </c>
    </row>
    <row r="111" spans="2:37" ht="12">
      <c r="B111" s="1" t="s">
        <v>189</v>
      </c>
      <c r="C111" s="9" t="s">
        <v>247</v>
      </c>
      <c r="D111" s="1" t="s">
        <v>98</v>
      </c>
      <c r="E111" s="10">
        <v>1218</v>
      </c>
      <c r="F111" s="10">
        <v>3300</v>
      </c>
      <c r="G111" s="10">
        <v>1218</v>
      </c>
      <c r="H111" s="10">
        <v>3300</v>
      </c>
      <c r="U111" s="11" t="s">
        <v>1</v>
      </c>
      <c r="AE111" s="1" t="s">
        <v>201</v>
      </c>
      <c r="AF111" s="1" t="s">
        <v>80</v>
      </c>
      <c r="AG111" s="1" t="s">
        <v>201</v>
      </c>
      <c r="AH111" s="1" t="s">
        <v>98</v>
      </c>
      <c r="AI111" s="1" t="s">
        <v>201</v>
      </c>
      <c r="AJ111" s="1" t="s">
        <v>108</v>
      </c>
      <c r="AK111" s="2" t="s">
        <v>1</v>
      </c>
    </row>
    <row r="112" spans="2:37" ht="12">
      <c r="B112" s="1" t="s">
        <v>189</v>
      </c>
      <c r="C112" s="9" t="s">
        <v>248</v>
      </c>
      <c r="D112" s="1" t="s">
        <v>98</v>
      </c>
      <c r="E112" s="10">
        <v>1206</v>
      </c>
      <c r="F112" s="10">
        <v>3288</v>
      </c>
      <c r="G112" s="10">
        <v>1206</v>
      </c>
      <c r="H112" s="10">
        <v>3288</v>
      </c>
      <c r="U112" s="11" t="s">
        <v>1</v>
      </c>
      <c r="AE112" s="1" t="s">
        <v>201</v>
      </c>
      <c r="AF112" s="1" t="s">
        <v>88</v>
      </c>
      <c r="AG112" s="1" t="s">
        <v>201</v>
      </c>
      <c r="AH112" s="1" t="s">
        <v>106</v>
      </c>
      <c r="AI112" s="1" t="s">
        <v>201</v>
      </c>
      <c r="AJ112" s="1" t="s">
        <v>109</v>
      </c>
      <c r="AK112" s="2" t="s">
        <v>1</v>
      </c>
    </row>
    <row r="113" spans="2:37" ht="12">
      <c r="B113" s="1" t="s">
        <v>189</v>
      </c>
      <c r="C113" s="9" t="s">
        <v>249</v>
      </c>
      <c r="D113" s="1" t="s">
        <v>98</v>
      </c>
      <c r="E113" s="10">
        <v>1191</v>
      </c>
      <c r="F113" s="10">
        <v>3273</v>
      </c>
      <c r="G113" s="10">
        <v>1191</v>
      </c>
      <c r="H113" s="10">
        <v>3273</v>
      </c>
      <c r="U113" s="11" t="s">
        <v>1</v>
      </c>
      <c r="AI113" s="1" t="s">
        <v>201</v>
      </c>
      <c r="AJ113" s="1" t="s">
        <v>110</v>
      </c>
      <c r="AK113" s="2" t="s">
        <v>1</v>
      </c>
    </row>
    <row r="114" spans="2:37" ht="12">
      <c r="B114" s="1" t="s">
        <v>189</v>
      </c>
      <c r="C114" s="9" t="s">
        <v>250</v>
      </c>
      <c r="D114" s="1" t="s">
        <v>98</v>
      </c>
      <c r="E114" s="10">
        <v>1170</v>
      </c>
      <c r="F114" s="10">
        <v>3252</v>
      </c>
      <c r="G114" s="10">
        <v>1170</v>
      </c>
      <c r="H114" s="10">
        <v>3252</v>
      </c>
      <c r="U114" s="11" t="s">
        <v>1</v>
      </c>
      <c r="AE114" s="6" t="s">
        <v>54</v>
      </c>
      <c r="AF114" s="6" t="s">
        <v>56</v>
      </c>
      <c r="AG114" s="6" t="s">
        <v>54</v>
      </c>
      <c r="AH114" s="6" t="s">
        <v>56</v>
      </c>
      <c r="AI114" s="6" t="s">
        <v>54</v>
      </c>
      <c r="AJ114" s="6" t="s">
        <v>56</v>
      </c>
      <c r="AK114" s="2" t="s">
        <v>1</v>
      </c>
    </row>
    <row r="115" spans="2:37" ht="12">
      <c r="B115" s="1" t="s">
        <v>189</v>
      </c>
      <c r="C115" s="9" t="s">
        <v>251</v>
      </c>
      <c r="D115" s="1" t="s">
        <v>98</v>
      </c>
      <c r="E115" s="10">
        <v>1143</v>
      </c>
      <c r="F115" s="10">
        <v>3225</v>
      </c>
      <c r="G115" s="10">
        <v>1143</v>
      </c>
      <c r="H115" s="10">
        <v>3225</v>
      </c>
      <c r="U115" s="11" t="s">
        <v>1</v>
      </c>
      <c r="AE115" s="1" t="s">
        <v>203</v>
      </c>
      <c r="AF115" s="1" t="s">
        <v>105</v>
      </c>
      <c r="AG115" s="1" t="s">
        <v>203</v>
      </c>
      <c r="AH115" s="1" t="s">
        <v>93</v>
      </c>
      <c r="AI115" s="1" t="s">
        <v>203</v>
      </c>
      <c r="AJ115" s="1" t="s">
        <v>107</v>
      </c>
      <c r="AK115" s="2" t="s">
        <v>1</v>
      </c>
    </row>
    <row r="116" spans="2:37" ht="12">
      <c r="B116" s="1" t="s">
        <v>189</v>
      </c>
      <c r="C116" s="9" t="s">
        <v>252</v>
      </c>
      <c r="D116" s="1" t="s">
        <v>107</v>
      </c>
      <c r="E116" s="10">
        <v>1260</v>
      </c>
      <c r="F116" s="10">
        <v>2610</v>
      </c>
      <c r="U116" s="11" t="s">
        <v>1</v>
      </c>
      <c r="AE116" s="1" t="s">
        <v>203</v>
      </c>
      <c r="AF116" s="1" t="s">
        <v>80</v>
      </c>
      <c r="AG116" s="1" t="s">
        <v>203</v>
      </c>
      <c r="AH116" s="1" t="s">
        <v>98</v>
      </c>
      <c r="AI116" s="1" t="s">
        <v>203</v>
      </c>
      <c r="AJ116" s="1" t="s">
        <v>108</v>
      </c>
      <c r="AK116" s="2" t="s">
        <v>1</v>
      </c>
    </row>
    <row r="117" spans="2:37" ht="12">
      <c r="B117" s="1" t="s">
        <v>189</v>
      </c>
      <c r="C117" s="9" t="s">
        <v>253</v>
      </c>
      <c r="D117" s="1" t="s">
        <v>107</v>
      </c>
      <c r="E117" s="10">
        <v>969</v>
      </c>
      <c r="F117" s="10">
        <v>2460</v>
      </c>
      <c r="U117" s="11" t="s">
        <v>1</v>
      </c>
      <c r="AE117" s="1" t="s">
        <v>203</v>
      </c>
      <c r="AF117" s="1" t="s">
        <v>88</v>
      </c>
      <c r="AG117" s="1" t="s">
        <v>203</v>
      </c>
      <c r="AH117" s="1" t="s">
        <v>106</v>
      </c>
      <c r="AI117" s="1" t="s">
        <v>203</v>
      </c>
      <c r="AJ117" s="1" t="s">
        <v>109</v>
      </c>
      <c r="AK117" s="2" t="s">
        <v>1</v>
      </c>
    </row>
    <row r="118" spans="2:37" ht="12">
      <c r="B118" s="1" t="s">
        <v>189</v>
      </c>
      <c r="C118" s="9" t="s">
        <v>254</v>
      </c>
      <c r="D118" s="1" t="s">
        <v>107</v>
      </c>
      <c r="E118" s="10">
        <v>939</v>
      </c>
      <c r="F118" s="10">
        <v>2430</v>
      </c>
      <c r="U118" s="11" t="s">
        <v>1</v>
      </c>
      <c r="AI118" s="1" t="s">
        <v>203</v>
      </c>
      <c r="AJ118" s="1" t="s">
        <v>110</v>
      </c>
      <c r="AK118" s="2" t="s">
        <v>1</v>
      </c>
    </row>
    <row r="119" spans="2:37" ht="12">
      <c r="B119" s="1" t="s">
        <v>189</v>
      </c>
      <c r="C119" s="9" t="s">
        <v>255</v>
      </c>
      <c r="D119" s="1" t="s">
        <v>107</v>
      </c>
      <c r="E119" s="10">
        <v>903</v>
      </c>
      <c r="F119" s="10">
        <v>2394</v>
      </c>
      <c r="U119" s="11" t="s">
        <v>1</v>
      </c>
      <c r="AE119" s="6" t="s">
        <v>54</v>
      </c>
      <c r="AF119" s="6" t="s">
        <v>56</v>
      </c>
      <c r="AG119" s="6" t="s">
        <v>54</v>
      </c>
      <c r="AH119" s="6" t="s">
        <v>56</v>
      </c>
      <c r="AI119" s="6" t="s">
        <v>54</v>
      </c>
      <c r="AJ119" s="6" t="s">
        <v>56</v>
      </c>
      <c r="AK119" s="2" t="s">
        <v>1</v>
      </c>
    </row>
    <row r="120" spans="2:37" ht="12">
      <c r="B120" s="1" t="s">
        <v>189</v>
      </c>
      <c r="C120" s="9" t="s">
        <v>256</v>
      </c>
      <c r="D120" s="1" t="s">
        <v>107</v>
      </c>
      <c r="E120" s="10">
        <v>879</v>
      </c>
      <c r="F120" s="10">
        <v>2370</v>
      </c>
      <c r="U120" s="11" t="s">
        <v>1</v>
      </c>
      <c r="AE120" s="1" t="s">
        <v>205</v>
      </c>
      <c r="AF120" s="1" t="s">
        <v>105</v>
      </c>
      <c r="AG120" s="1" t="s">
        <v>205</v>
      </c>
      <c r="AH120" s="1" t="s">
        <v>93</v>
      </c>
      <c r="AI120" s="1" t="s">
        <v>205</v>
      </c>
      <c r="AJ120" s="1" t="s">
        <v>107</v>
      </c>
      <c r="AK120" s="2" t="s">
        <v>1</v>
      </c>
    </row>
    <row r="121" spans="2:37" ht="12">
      <c r="B121" s="1" t="s">
        <v>189</v>
      </c>
      <c r="C121" s="9" t="s">
        <v>257</v>
      </c>
      <c r="D121" s="1" t="s">
        <v>107</v>
      </c>
      <c r="E121" s="10">
        <v>849</v>
      </c>
      <c r="F121" s="10">
        <v>2340</v>
      </c>
      <c r="U121" s="11" t="s">
        <v>1</v>
      </c>
      <c r="AE121" s="1" t="s">
        <v>205</v>
      </c>
      <c r="AF121" s="1" t="s">
        <v>80</v>
      </c>
      <c r="AG121" s="1" t="s">
        <v>205</v>
      </c>
      <c r="AH121" s="1" t="s">
        <v>98</v>
      </c>
      <c r="AI121" s="1" t="s">
        <v>205</v>
      </c>
      <c r="AJ121" s="1" t="s">
        <v>108</v>
      </c>
      <c r="AK121" s="2" t="s">
        <v>1</v>
      </c>
    </row>
    <row r="122" spans="2:37" ht="12">
      <c r="B122" s="1" t="s">
        <v>189</v>
      </c>
      <c r="C122" s="9" t="s">
        <v>258</v>
      </c>
      <c r="D122" s="1" t="s">
        <v>107</v>
      </c>
      <c r="E122" s="10">
        <v>834</v>
      </c>
      <c r="F122" s="10">
        <v>2325</v>
      </c>
      <c r="U122" s="11" t="s">
        <v>1</v>
      </c>
      <c r="AE122" s="1" t="s">
        <v>205</v>
      </c>
      <c r="AF122" s="1" t="s">
        <v>88</v>
      </c>
      <c r="AG122" s="1" t="s">
        <v>205</v>
      </c>
      <c r="AH122" s="1" t="s">
        <v>106</v>
      </c>
      <c r="AI122" s="1" t="s">
        <v>205</v>
      </c>
      <c r="AJ122" s="1" t="s">
        <v>109</v>
      </c>
      <c r="AK122" s="2" t="s">
        <v>1</v>
      </c>
    </row>
    <row r="123" spans="2:37" ht="12">
      <c r="B123" s="1" t="s">
        <v>189</v>
      </c>
      <c r="C123" s="9" t="s">
        <v>259</v>
      </c>
      <c r="D123" s="1" t="s">
        <v>107</v>
      </c>
      <c r="E123" s="10">
        <v>834</v>
      </c>
      <c r="F123" s="10">
        <v>2325</v>
      </c>
      <c r="U123" s="11" t="s">
        <v>1</v>
      </c>
      <c r="AI123" s="1" t="s">
        <v>205</v>
      </c>
      <c r="AJ123" s="1" t="s">
        <v>110</v>
      </c>
      <c r="AK123" s="2" t="s">
        <v>1</v>
      </c>
    </row>
    <row r="124" spans="2:37" ht="12">
      <c r="B124" s="1" t="s">
        <v>189</v>
      </c>
      <c r="C124" s="9" t="s">
        <v>260</v>
      </c>
      <c r="D124" s="1" t="s">
        <v>107</v>
      </c>
      <c r="E124" s="10">
        <v>819</v>
      </c>
      <c r="F124" s="10">
        <v>2310</v>
      </c>
      <c r="U124" s="11" t="s">
        <v>1</v>
      </c>
      <c r="AE124" s="6" t="s">
        <v>54</v>
      </c>
      <c r="AF124" s="6" t="s">
        <v>56</v>
      </c>
      <c r="AG124" s="6" t="s">
        <v>54</v>
      </c>
      <c r="AH124" s="6" t="s">
        <v>56</v>
      </c>
      <c r="AI124" s="6" t="s">
        <v>54</v>
      </c>
      <c r="AJ124" s="6" t="s">
        <v>56</v>
      </c>
      <c r="AK124" s="2" t="s">
        <v>1</v>
      </c>
    </row>
    <row r="125" spans="2:37" ht="12">
      <c r="B125" s="1" t="s">
        <v>189</v>
      </c>
      <c r="C125" s="9" t="s">
        <v>261</v>
      </c>
      <c r="D125" s="1" t="s">
        <v>107</v>
      </c>
      <c r="E125" s="10">
        <v>819</v>
      </c>
      <c r="F125" s="10">
        <v>2310</v>
      </c>
      <c r="U125" s="11" t="s">
        <v>1</v>
      </c>
      <c r="AE125" s="1" t="s">
        <v>207</v>
      </c>
      <c r="AF125" s="1" t="s">
        <v>105</v>
      </c>
      <c r="AG125" s="1" t="s">
        <v>207</v>
      </c>
      <c r="AH125" s="1" t="s">
        <v>93</v>
      </c>
      <c r="AI125" s="1" t="s">
        <v>207</v>
      </c>
      <c r="AJ125" s="1" t="s">
        <v>107</v>
      </c>
      <c r="AK125" s="2" t="s">
        <v>1</v>
      </c>
    </row>
    <row r="126" spans="2:37" ht="12">
      <c r="B126" s="1" t="s">
        <v>189</v>
      </c>
      <c r="C126" s="9" t="s">
        <v>262</v>
      </c>
      <c r="D126" s="1" t="s">
        <v>107</v>
      </c>
      <c r="E126" s="10">
        <v>819</v>
      </c>
      <c r="F126" s="10">
        <v>2310</v>
      </c>
      <c r="U126" s="11" t="s">
        <v>1</v>
      </c>
      <c r="AE126" s="1" t="s">
        <v>207</v>
      </c>
      <c r="AF126" s="1" t="s">
        <v>80</v>
      </c>
      <c r="AG126" s="1" t="s">
        <v>207</v>
      </c>
      <c r="AH126" s="1" t="s">
        <v>98</v>
      </c>
      <c r="AI126" s="1" t="s">
        <v>207</v>
      </c>
      <c r="AJ126" s="1" t="s">
        <v>108</v>
      </c>
      <c r="AK126" s="2" t="s">
        <v>1</v>
      </c>
    </row>
    <row r="127" spans="2:37" ht="12">
      <c r="B127" s="1" t="s">
        <v>189</v>
      </c>
      <c r="C127" s="9" t="s">
        <v>263</v>
      </c>
      <c r="D127" s="1" t="s">
        <v>107</v>
      </c>
      <c r="E127" s="10">
        <v>819</v>
      </c>
      <c r="F127" s="10">
        <v>2310</v>
      </c>
      <c r="U127" s="11" t="s">
        <v>1</v>
      </c>
      <c r="AE127" s="1" t="s">
        <v>207</v>
      </c>
      <c r="AF127" s="1" t="s">
        <v>88</v>
      </c>
      <c r="AG127" s="1" t="s">
        <v>207</v>
      </c>
      <c r="AH127" s="1" t="s">
        <v>106</v>
      </c>
      <c r="AI127" s="1" t="s">
        <v>207</v>
      </c>
      <c r="AJ127" s="1" t="s">
        <v>109</v>
      </c>
      <c r="AK127" s="2" t="s">
        <v>1</v>
      </c>
    </row>
    <row r="128" spans="2:37" ht="12">
      <c r="B128" s="1" t="s">
        <v>189</v>
      </c>
      <c r="C128" s="9" t="s">
        <v>264</v>
      </c>
      <c r="D128" s="1" t="s">
        <v>108</v>
      </c>
      <c r="E128" s="10">
        <v>823.5</v>
      </c>
      <c r="F128" s="10">
        <v>2314.5</v>
      </c>
      <c r="U128" s="11" t="s">
        <v>1</v>
      </c>
      <c r="AI128" s="1" t="s">
        <v>207</v>
      </c>
      <c r="AJ128" s="1" t="s">
        <v>110</v>
      </c>
      <c r="AK128" s="2" t="s">
        <v>1</v>
      </c>
    </row>
    <row r="129" spans="2:37" ht="12">
      <c r="B129" s="1" t="s">
        <v>189</v>
      </c>
      <c r="C129" s="9" t="s">
        <v>265</v>
      </c>
      <c r="D129" s="1" t="s">
        <v>108</v>
      </c>
      <c r="E129" s="10">
        <v>924</v>
      </c>
      <c r="F129" s="10">
        <v>2415</v>
      </c>
      <c r="U129" s="11" t="s">
        <v>1</v>
      </c>
      <c r="AE129" s="6" t="s">
        <v>54</v>
      </c>
      <c r="AF129" s="6" t="s">
        <v>56</v>
      </c>
      <c r="AG129" s="6" t="s">
        <v>54</v>
      </c>
      <c r="AH129" s="6" t="s">
        <v>56</v>
      </c>
      <c r="AI129" s="6" t="s">
        <v>54</v>
      </c>
      <c r="AJ129" s="6" t="s">
        <v>56</v>
      </c>
      <c r="AK129" s="2" t="s">
        <v>1</v>
      </c>
    </row>
    <row r="130" spans="2:37" ht="12">
      <c r="B130" s="1" t="s">
        <v>189</v>
      </c>
      <c r="C130" s="9" t="s">
        <v>266</v>
      </c>
      <c r="D130" s="1" t="s">
        <v>108</v>
      </c>
      <c r="E130" s="10">
        <v>819</v>
      </c>
      <c r="F130" s="10">
        <v>2310</v>
      </c>
      <c r="U130" s="11" t="s">
        <v>1</v>
      </c>
      <c r="AE130" s="1" t="s">
        <v>209</v>
      </c>
      <c r="AF130" s="1" t="s">
        <v>105</v>
      </c>
      <c r="AG130" s="1" t="s">
        <v>209</v>
      </c>
      <c r="AH130" s="1" t="s">
        <v>93</v>
      </c>
      <c r="AI130" s="1" t="s">
        <v>209</v>
      </c>
      <c r="AJ130" s="1" t="s">
        <v>107</v>
      </c>
      <c r="AK130" s="2" t="s">
        <v>1</v>
      </c>
    </row>
    <row r="131" spans="2:37" ht="12">
      <c r="B131" s="1" t="s">
        <v>189</v>
      </c>
      <c r="C131" s="9" t="s">
        <v>267</v>
      </c>
      <c r="D131" s="1" t="s">
        <v>108</v>
      </c>
      <c r="E131" s="10">
        <v>819</v>
      </c>
      <c r="F131" s="10">
        <v>2310</v>
      </c>
      <c r="U131" s="11" t="s">
        <v>1</v>
      </c>
      <c r="AE131" s="1" t="s">
        <v>209</v>
      </c>
      <c r="AF131" s="1" t="s">
        <v>80</v>
      </c>
      <c r="AG131" s="1" t="s">
        <v>209</v>
      </c>
      <c r="AH131" s="1" t="s">
        <v>98</v>
      </c>
      <c r="AI131" s="1" t="s">
        <v>209</v>
      </c>
      <c r="AJ131" s="1" t="s">
        <v>108</v>
      </c>
      <c r="AK131" s="2" t="s">
        <v>1</v>
      </c>
    </row>
    <row r="132" spans="2:37" ht="12">
      <c r="B132" s="13" t="s">
        <v>189</v>
      </c>
      <c r="C132" s="13" t="s">
        <v>268</v>
      </c>
      <c r="D132" s="13" t="s">
        <v>110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U132" s="11" t="s">
        <v>1</v>
      </c>
      <c r="AE132" s="1" t="s">
        <v>209</v>
      </c>
      <c r="AF132" s="1" t="s">
        <v>88</v>
      </c>
      <c r="AG132" s="1" t="s">
        <v>209</v>
      </c>
      <c r="AH132" s="1" t="s">
        <v>106</v>
      </c>
      <c r="AI132" s="1" t="s">
        <v>209</v>
      </c>
      <c r="AJ132" s="1" t="s">
        <v>109</v>
      </c>
      <c r="AK132" s="2" t="s">
        <v>1</v>
      </c>
    </row>
    <row r="133" spans="2:37" ht="12">
      <c r="B133" s="13" t="s">
        <v>189</v>
      </c>
      <c r="C133" s="13" t="s">
        <v>269</v>
      </c>
      <c r="D133" s="13" t="s">
        <v>110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U133" s="11" t="s">
        <v>1</v>
      </c>
      <c r="AI133" s="1" t="s">
        <v>209</v>
      </c>
      <c r="AJ133" s="1" t="s">
        <v>110</v>
      </c>
      <c r="AK133" s="2" t="s">
        <v>1</v>
      </c>
    </row>
    <row r="134" spans="2:37" ht="12">
      <c r="B134" s="13" t="s">
        <v>189</v>
      </c>
      <c r="C134" s="13" t="s">
        <v>270</v>
      </c>
      <c r="D134" s="13" t="s">
        <v>110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U134" s="11" t="s">
        <v>1</v>
      </c>
      <c r="AE134" s="6" t="s">
        <v>54</v>
      </c>
      <c r="AF134" s="6" t="s">
        <v>56</v>
      </c>
      <c r="AG134" s="6" t="s">
        <v>54</v>
      </c>
      <c r="AH134" s="6" t="s">
        <v>56</v>
      </c>
      <c r="AI134" s="6" t="s">
        <v>54</v>
      </c>
      <c r="AJ134" s="6" t="s">
        <v>56</v>
      </c>
      <c r="AK134" s="2" t="s">
        <v>1</v>
      </c>
    </row>
    <row r="135" spans="2:37" ht="12">
      <c r="B135" s="13" t="s">
        <v>189</v>
      </c>
      <c r="C135" s="13" t="s">
        <v>271</v>
      </c>
      <c r="D135" s="13" t="s">
        <v>110</v>
      </c>
      <c r="I135" s="7"/>
      <c r="J135" s="7"/>
      <c r="K135" s="7"/>
      <c r="L135" s="7"/>
      <c r="M135" s="7"/>
      <c r="N135" s="7"/>
      <c r="O135" s="7"/>
      <c r="P135" s="7"/>
      <c r="U135" s="11" t="s">
        <v>1</v>
      </c>
      <c r="AE135" s="1" t="s">
        <v>211</v>
      </c>
      <c r="AF135" s="1" t="s">
        <v>105</v>
      </c>
      <c r="AG135" s="1" t="s">
        <v>211</v>
      </c>
      <c r="AH135" s="1" t="s">
        <v>93</v>
      </c>
      <c r="AI135" s="1" t="s">
        <v>211</v>
      </c>
      <c r="AJ135" s="1" t="s">
        <v>107</v>
      </c>
      <c r="AK135" s="2" t="s">
        <v>1</v>
      </c>
    </row>
    <row r="136" spans="2:37" ht="12">
      <c r="B136" s="13" t="s">
        <v>189</v>
      </c>
      <c r="C136" s="13" t="s">
        <v>272</v>
      </c>
      <c r="D136" s="13" t="s">
        <v>110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U136" s="11" t="s">
        <v>1</v>
      </c>
      <c r="AE136" s="1" t="s">
        <v>211</v>
      </c>
      <c r="AF136" s="1" t="s">
        <v>80</v>
      </c>
      <c r="AG136" s="1" t="s">
        <v>211</v>
      </c>
      <c r="AH136" s="1" t="s">
        <v>98</v>
      </c>
      <c r="AI136" s="1" t="s">
        <v>211</v>
      </c>
      <c r="AJ136" s="1" t="s">
        <v>108</v>
      </c>
      <c r="AK136" s="2" t="s">
        <v>1</v>
      </c>
    </row>
    <row r="137" spans="2:37" ht="12">
      <c r="B137" s="13" t="s">
        <v>189</v>
      </c>
      <c r="C137" s="13" t="s">
        <v>273</v>
      </c>
      <c r="D137" s="13" t="s">
        <v>110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U137" s="11" t="s">
        <v>1</v>
      </c>
      <c r="AE137" s="1" t="s">
        <v>211</v>
      </c>
      <c r="AF137" s="1" t="s">
        <v>88</v>
      </c>
      <c r="AG137" s="1" t="s">
        <v>211</v>
      </c>
      <c r="AH137" s="1" t="s">
        <v>106</v>
      </c>
      <c r="AI137" s="1" t="s">
        <v>211</v>
      </c>
      <c r="AJ137" s="1" t="s">
        <v>109</v>
      </c>
      <c r="AK137" s="2" t="s">
        <v>1</v>
      </c>
    </row>
    <row r="138" spans="2:37" ht="12">
      <c r="B138" s="13" t="s">
        <v>189</v>
      </c>
      <c r="C138" s="13" t="s">
        <v>274</v>
      </c>
      <c r="D138" s="13" t="s">
        <v>110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U138" s="11" t="s">
        <v>1</v>
      </c>
      <c r="AI138" s="1" t="s">
        <v>211</v>
      </c>
      <c r="AJ138" s="1" t="s">
        <v>110</v>
      </c>
      <c r="AK138" s="2" t="s">
        <v>1</v>
      </c>
    </row>
    <row r="139" spans="2:37" ht="12">
      <c r="B139" s="13" t="s">
        <v>189</v>
      </c>
      <c r="C139" s="13" t="s">
        <v>275</v>
      </c>
      <c r="D139" s="13" t="s">
        <v>110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U139" s="11" t="s">
        <v>1</v>
      </c>
      <c r="AE139" s="6" t="s">
        <v>54</v>
      </c>
      <c r="AF139" s="6" t="s">
        <v>56</v>
      </c>
      <c r="AG139" s="6" t="s">
        <v>54</v>
      </c>
      <c r="AH139" s="6" t="s">
        <v>56</v>
      </c>
      <c r="AI139" s="6" t="s">
        <v>54</v>
      </c>
      <c r="AJ139" s="6" t="s">
        <v>56</v>
      </c>
      <c r="AK139" s="2" t="s">
        <v>1</v>
      </c>
    </row>
    <row r="140" spans="2:37" ht="12">
      <c r="B140" s="13" t="s">
        <v>189</v>
      </c>
      <c r="C140" s="13" t="s">
        <v>276</v>
      </c>
      <c r="D140" s="13" t="s">
        <v>110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U140" s="11" t="s">
        <v>1</v>
      </c>
      <c r="AF140" s="1" t="s">
        <v>105</v>
      </c>
      <c r="AH140" s="1" t="s">
        <v>93</v>
      </c>
      <c r="AJ140" s="1" t="s">
        <v>107</v>
      </c>
      <c r="AK140" s="2" t="s">
        <v>1</v>
      </c>
    </row>
    <row r="141" spans="2:37" ht="12">
      <c r="B141" s="13" t="s">
        <v>189</v>
      </c>
      <c r="C141" s="13" t="s">
        <v>277</v>
      </c>
      <c r="D141" s="13" t="s">
        <v>110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U141" s="11" t="s">
        <v>1</v>
      </c>
      <c r="AF141" s="1" t="s">
        <v>80</v>
      </c>
      <c r="AH141" s="1" t="s">
        <v>98</v>
      </c>
      <c r="AJ141" s="1" t="s">
        <v>108</v>
      </c>
      <c r="AK141" s="2" t="s">
        <v>1</v>
      </c>
    </row>
    <row r="142" spans="2:37" ht="12">
      <c r="B142" s="13" t="s">
        <v>189</v>
      </c>
      <c r="C142" s="13" t="s">
        <v>278</v>
      </c>
      <c r="D142" s="13" t="s">
        <v>110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U142" s="11" t="s">
        <v>1</v>
      </c>
      <c r="AF142" s="1" t="s">
        <v>88</v>
      </c>
      <c r="AH142" s="1" t="s">
        <v>106</v>
      </c>
      <c r="AJ142" s="1" t="s">
        <v>109</v>
      </c>
      <c r="AK142" s="2" t="s">
        <v>1</v>
      </c>
    </row>
    <row r="143" spans="2:37" ht="12">
      <c r="B143" s="13" t="s">
        <v>189</v>
      </c>
      <c r="C143" s="13" t="s">
        <v>279</v>
      </c>
      <c r="D143" s="13" t="s">
        <v>110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U143" s="11" t="s">
        <v>1</v>
      </c>
      <c r="AJ143" s="1" t="s">
        <v>110</v>
      </c>
      <c r="AK143" s="2" t="s">
        <v>1</v>
      </c>
    </row>
    <row r="144" spans="2:37" ht="12">
      <c r="B144" s="13" t="s">
        <v>189</v>
      </c>
      <c r="C144" s="13" t="s">
        <v>280</v>
      </c>
      <c r="D144" s="13" t="s">
        <v>110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U144" s="11" t="s">
        <v>1</v>
      </c>
      <c r="AK144" s="2" t="s">
        <v>1</v>
      </c>
    </row>
    <row r="145" spans="2:21" ht="12">
      <c r="B145" s="13" t="s">
        <v>189</v>
      </c>
      <c r="C145" s="13" t="s">
        <v>281</v>
      </c>
      <c r="D145" s="13" t="s">
        <v>110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U145" s="11" t="s">
        <v>1</v>
      </c>
    </row>
    <row r="146" spans="2:21" ht="12">
      <c r="B146" s="13" t="s">
        <v>189</v>
      </c>
      <c r="C146" s="13" t="s">
        <v>282</v>
      </c>
      <c r="D146" s="13" t="s">
        <v>110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U146" s="11" t="s">
        <v>1</v>
      </c>
    </row>
    <row r="147" spans="2:21" ht="12">
      <c r="B147" s="13" t="s">
        <v>189</v>
      </c>
      <c r="C147" s="13" t="s">
        <v>283</v>
      </c>
      <c r="D147" s="13" t="s">
        <v>110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U147" s="11" t="s">
        <v>1</v>
      </c>
    </row>
    <row r="148" spans="2:21" ht="12">
      <c r="B148" s="13" t="s">
        <v>189</v>
      </c>
      <c r="C148" s="13" t="s">
        <v>284</v>
      </c>
      <c r="D148" s="13" t="s">
        <v>110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U148" s="11" t="s">
        <v>1</v>
      </c>
    </row>
    <row r="149" spans="2:21" ht="12">
      <c r="B149" s="13" t="s">
        <v>189</v>
      </c>
      <c r="C149" s="13" t="s">
        <v>285</v>
      </c>
      <c r="D149" s="13" t="s">
        <v>110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U149" s="11" t="s">
        <v>1</v>
      </c>
    </row>
    <row r="150" spans="2:21" ht="12">
      <c r="B150" s="13" t="s">
        <v>189</v>
      </c>
      <c r="C150" s="13" t="s">
        <v>286</v>
      </c>
      <c r="D150" s="13" t="s">
        <v>110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U150" s="11" t="s">
        <v>1</v>
      </c>
    </row>
    <row r="151" spans="2:21" ht="12">
      <c r="B151" s="13" t="s">
        <v>189</v>
      </c>
      <c r="C151" s="13" t="s">
        <v>287</v>
      </c>
      <c r="D151" s="13" t="s">
        <v>110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U151" s="11" t="s">
        <v>1</v>
      </c>
    </row>
    <row r="152" spans="2:21" ht="12">
      <c r="B152" s="13" t="s">
        <v>189</v>
      </c>
      <c r="C152" s="13" t="s">
        <v>288</v>
      </c>
      <c r="D152" s="13" t="s">
        <v>110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U152" s="11" t="s">
        <v>1</v>
      </c>
    </row>
    <row r="153" spans="2:21" ht="12">
      <c r="B153" s="13" t="s">
        <v>189</v>
      </c>
      <c r="C153" s="13" t="s">
        <v>289</v>
      </c>
      <c r="D153" s="13" t="s">
        <v>110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U153" s="11" t="s">
        <v>1</v>
      </c>
    </row>
    <row r="154" spans="2:21" ht="12">
      <c r="B154" s="13" t="s">
        <v>189</v>
      </c>
      <c r="C154" s="13" t="s">
        <v>290</v>
      </c>
      <c r="D154" s="13" t="s">
        <v>110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U154" s="11" t="s">
        <v>1</v>
      </c>
    </row>
    <row r="155" spans="2:21" ht="12">
      <c r="B155" s="13" t="s">
        <v>189</v>
      </c>
      <c r="C155" s="13" t="s">
        <v>291</v>
      </c>
      <c r="D155" s="13" t="s">
        <v>110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U155" s="11" t="s">
        <v>1</v>
      </c>
    </row>
    <row r="156" spans="2:21" ht="12">
      <c r="B156" s="13" t="s">
        <v>189</v>
      </c>
      <c r="C156" s="13" t="s">
        <v>292</v>
      </c>
      <c r="D156" s="13" t="s">
        <v>110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U156" s="11" t="s">
        <v>1</v>
      </c>
    </row>
    <row r="157" spans="2:21" ht="12">
      <c r="B157" s="13" t="s">
        <v>189</v>
      </c>
      <c r="C157" s="13" t="s">
        <v>293</v>
      </c>
      <c r="D157" s="13" t="s">
        <v>110</v>
      </c>
      <c r="I157" s="7"/>
      <c r="J157" s="7"/>
      <c r="K157" s="7"/>
      <c r="L157" s="7"/>
      <c r="M157" s="7"/>
      <c r="N157" s="7"/>
      <c r="O157" s="7"/>
      <c r="P157" s="7"/>
      <c r="U157" s="11" t="s">
        <v>1</v>
      </c>
    </row>
    <row r="158" spans="2:21" ht="12">
      <c r="B158" s="13" t="s">
        <v>189</v>
      </c>
      <c r="C158" s="13" t="s">
        <v>294</v>
      </c>
      <c r="D158" s="13" t="s">
        <v>110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U158" s="11" t="s">
        <v>1</v>
      </c>
    </row>
    <row r="159" spans="2:21" ht="12">
      <c r="B159" s="13" t="s">
        <v>189</v>
      </c>
      <c r="C159" s="13" t="s">
        <v>295</v>
      </c>
      <c r="D159" s="13" t="s">
        <v>110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U159" s="11" t="s">
        <v>1</v>
      </c>
    </row>
    <row r="160" spans="2:21" ht="12">
      <c r="B160" s="13" t="s">
        <v>189</v>
      </c>
      <c r="C160" s="13" t="s">
        <v>296</v>
      </c>
      <c r="D160" s="13" t="s">
        <v>110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U160" s="11" t="s">
        <v>1</v>
      </c>
    </row>
    <row r="161" spans="2:21" ht="12">
      <c r="B161" s="13" t="s">
        <v>189</v>
      </c>
      <c r="C161" s="13" t="s">
        <v>297</v>
      </c>
      <c r="D161" s="13" t="s">
        <v>110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U161" s="11" t="s">
        <v>1</v>
      </c>
    </row>
    <row r="162" spans="2:21" ht="12">
      <c r="B162" s="13" t="s">
        <v>189</v>
      </c>
      <c r="C162" s="13" t="s">
        <v>298</v>
      </c>
      <c r="D162" s="13" t="s">
        <v>110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U162" s="11" t="s">
        <v>1</v>
      </c>
    </row>
    <row r="163" spans="2:21" ht="12">
      <c r="B163" s="13" t="s">
        <v>189</v>
      </c>
      <c r="C163" s="13" t="s">
        <v>299</v>
      </c>
      <c r="D163" s="13" t="s">
        <v>174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U163" s="11" t="s">
        <v>1</v>
      </c>
    </row>
    <row r="164" spans="2:21" ht="12">
      <c r="B164" s="1" t="s">
        <v>189</v>
      </c>
      <c r="C164" s="9" t="s">
        <v>300</v>
      </c>
      <c r="D164" s="1" t="s">
        <v>174</v>
      </c>
      <c r="E164" s="10">
        <v>1551</v>
      </c>
      <c r="F164" s="10">
        <v>4311</v>
      </c>
      <c r="G164" s="10">
        <v>1551</v>
      </c>
      <c r="H164" s="10">
        <v>4311</v>
      </c>
      <c r="K164" s="10">
        <v>3486</v>
      </c>
      <c r="L164" s="10">
        <v>10111</v>
      </c>
      <c r="M164" s="10">
        <v>3486</v>
      </c>
      <c r="N164" s="10">
        <v>10111</v>
      </c>
      <c r="U164" s="11" t="s">
        <v>1</v>
      </c>
    </row>
    <row r="165" spans="2:21" ht="12">
      <c r="B165" s="1" t="s">
        <v>189</v>
      </c>
      <c r="C165" s="9" t="s">
        <v>301</v>
      </c>
      <c r="D165" s="1" t="s">
        <v>174</v>
      </c>
      <c r="E165" s="10">
        <v>1212</v>
      </c>
      <c r="F165" s="10">
        <v>3294</v>
      </c>
      <c r="G165" s="10">
        <v>1212</v>
      </c>
      <c r="H165" s="10">
        <v>3294</v>
      </c>
      <c r="U165" s="11" t="s">
        <v>1</v>
      </c>
    </row>
    <row r="166" spans="1:21" ht="12">
      <c r="A166" s="1" t="s">
        <v>124</v>
      </c>
      <c r="B166" s="1" t="s">
        <v>191</v>
      </c>
      <c r="C166" s="9" t="s">
        <v>302</v>
      </c>
      <c r="D166" s="1" t="s">
        <v>105</v>
      </c>
      <c r="E166" s="10">
        <v>1332</v>
      </c>
      <c r="F166" s="10">
        <v>3812</v>
      </c>
      <c r="G166" s="10">
        <v>1452</v>
      </c>
      <c r="H166" s="10">
        <v>4172</v>
      </c>
      <c r="I166" s="10">
        <v>1822</v>
      </c>
      <c r="J166" s="10">
        <v>5792</v>
      </c>
      <c r="K166" s="10">
        <v>4012</v>
      </c>
      <c r="L166" s="10">
        <v>11732</v>
      </c>
      <c r="M166" s="10">
        <v>3322</v>
      </c>
      <c r="N166" s="10">
        <v>10542</v>
      </c>
      <c r="S166" s="3">
        <v>1392</v>
      </c>
      <c r="T166" s="3">
        <v>3992</v>
      </c>
      <c r="U166" s="11" t="s">
        <v>1</v>
      </c>
    </row>
    <row r="167" spans="2:21" ht="12">
      <c r="B167" s="1" t="s">
        <v>191</v>
      </c>
      <c r="C167" s="9" t="s">
        <v>303</v>
      </c>
      <c r="D167" s="1" t="s">
        <v>80</v>
      </c>
      <c r="E167" s="10">
        <v>1340</v>
      </c>
      <c r="F167" s="10">
        <v>3820</v>
      </c>
      <c r="G167" s="10">
        <v>1460</v>
      </c>
      <c r="H167" s="10">
        <v>4180</v>
      </c>
      <c r="I167" s="10">
        <v>1830</v>
      </c>
      <c r="J167" s="10">
        <v>5800</v>
      </c>
      <c r="K167" s="10">
        <v>4020</v>
      </c>
      <c r="L167" s="10">
        <v>11740</v>
      </c>
      <c r="M167" s="10">
        <v>3330</v>
      </c>
      <c r="N167" s="10">
        <v>10550</v>
      </c>
      <c r="U167" s="11" t="s">
        <v>1</v>
      </c>
    </row>
    <row r="168" spans="2:21" ht="12">
      <c r="B168" s="1" t="s">
        <v>191</v>
      </c>
      <c r="C168" s="9" t="s">
        <v>304</v>
      </c>
      <c r="D168" s="1" t="s">
        <v>93</v>
      </c>
      <c r="E168" s="10">
        <v>1030</v>
      </c>
      <c r="F168" s="10">
        <v>2910</v>
      </c>
      <c r="G168" s="10">
        <v>1130</v>
      </c>
      <c r="H168" s="10">
        <v>3210</v>
      </c>
      <c r="U168" s="11" t="s">
        <v>1</v>
      </c>
    </row>
    <row r="169" spans="2:21" ht="12">
      <c r="B169" s="1" t="s">
        <v>191</v>
      </c>
      <c r="C169" s="9" t="s">
        <v>305</v>
      </c>
      <c r="D169" s="1" t="s">
        <v>93</v>
      </c>
      <c r="E169" s="10">
        <v>1000</v>
      </c>
      <c r="F169" s="10">
        <v>2880</v>
      </c>
      <c r="G169" s="10">
        <v>1100</v>
      </c>
      <c r="H169" s="10">
        <v>3180</v>
      </c>
      <c r="U169" s="11" t="s">
        <v>1</v>
      </c>
    </row>
    <row r="170" spans="2:21" ht="12">
      <c r="B170" s="1" t="s">
        <v>191</v>
      </c>
      <c r="C170" s="9" t="s">
        <v>306</v>
      </c>
      <c r="D170" s="1" t="s">
        <v>93</v>
      </c>
      <c r="E170" s="10">
        <v>1020</v>
      </c>
      <c r="F170" s="10">
        <v>2900</v>
      </c>
      <c r="G170" s="10">
        <v>1120</v>
      </c>
      <c r="H170" s="10">
        <v>3200</v>
      </c>
      <c r="U170" s="11" t="s">
        <v>1</v>
      </c>
    </row>
    <row r="171" spans="2:21" ht="12">
      <c r="B171" s="1" t="s">
        <v>191</v>
      </c>
      <c r="C171" s="9" t="s">
        <v>307</v>
      </c>
      <c r="D171" s="1" t="s">
        <v>98</v>
      </c>
      <c r="E171" s="10">
        <v>1000</v>
      </c>
      <c r="F171" s="10">
        <v>2880</v>
      </c>
      <c r="G171" s="10">
        <v>1100</v>
      </c>
      <c r="H171" s="10">
        <v>3180</v>
      </c>
      <c r="I171" s="10">
        <v>1790</v>
      </c>
      <c r="J171" s="10">
        <v>5760</v>
      </c>
      <c r="U171" s="11" t="s">
        <v>1</v>
      </c>
    </row>
    <row r="172" spans="2:21" ht="12">
      <c r="B172" s="1" t="s">
        <v>191</v>
      </c>
      <c r="C172" s="9" t="s">
        <v>308</v>
      </c>
      <c r="D172" s="1" t="s">
        <v>98</v>
      </c>
      <c r="E172" s="10">
        <v>1070</v>
      </c>
      <c r="F172" s="10">
        <v>2950</v>
      </c>
      <c r="G172" s="10">
        <v>1170</v>
      </c>
      <c r="H172" s="10">
        <v>3250</v>
      </c>
      <c r="U172" s="11" t="s">
        <v>1</v>
      </c>
    </row>
    <row r="173" spans="2:21" ht="12">
      <c r="B173" s="1" t="s">
        <v>191</v>
      </c>
      <c r="C173" s="9" t="s">
        <v>309</v>
      </c>
      <c r="D173" s="1" t="s">
        <v>98</v>
      </c>
      <c r="E173" s="10">
        <v>1052</v>
      </c>
      <c r="F173" s="10">
        <v>2932</v>
      </c>
      <c r="G173" s="10">
        <v>1152</v>
      </c>
      <c r="H173" s="10">
        <v>3232</v>
      </c>
      <c r="U173" s="11" t="s">
        <v>1</v>
      </c>
    </row>
    <row r="174" spans="2:21" ht="12">
      <c r="B174" s="1" t="s">
        <v>191</v>
      </c>
      <c r="C174" s="9" t="s">
        <v>310</v>
      </c>
      <c r="D174" s="1" t="s">
        <v>107</v>
      </c>
      <c r="E174" s="10">
        <v>540</v>
      </c>
      <c r="F174" s="10">
        <v>1620</v>
      </c>
      <c r="U174" s="11" t="s">
        <v>1</v>
      </c>
    </row>
    <row r="175" spans="2:21" ht="12">
      <c r="B175" s="1" t="s">
        <v>191</v>
      </c>
      <c r="C175" s="1" t="s">
        <v>311</v>
      </c>
      <c r="D175" s="1" t="s">
        <v>110</v>
      </c>
      <c r="E175" s="3">
        <v>176</v>
      </c>
      <c r="F175" s="3">
        <v>960</v>
      </c>
      <c r="H175" s="7"/>
      <c r="I175" s="7"/>
      <c r="J175" s="7"/>
      <c r="K175" s="7"/>
      <c r="L175" s="7"/>
      <c r="M175" s="7"/>
      <c r="N175" s="7"/>
      <c r="O175" s="7"/>
      <c r="P175" s="7"/>
      <c r="U175" s="11" t="s">
        <v>1</v>
      </c>
    </row>
    <row r="176" spans="1:21" ht="12">
      <c r="A176" s="1" t="s">
        <v>124</v>
      </c>
      <c r="B176" s="1" t="s">
        <v>193</v>
      </c>
      <c r="C176" s="1" t="s">
        <v>312</v>
      </c>
      <c r="D176" s="1" t="s">
        <v>105</v>
      </c>
      <c r="E176" s="3">
        <v>1724</v>
      </c>
      <c r="F176" s="3">
        <v>4124</v>
      </c>
      <c r="G176" s="3">
        <v>1730</v>
      </c>
      <c r="H176" s="3">
        <v>4130</v>
      </c>
      <c r="Q176" s="3">
        <v>2200</v>
      </c>
      <c r="R176" s="3">
        <v>9450</v>
      </c>
      <c r="U176" s="11" t="s">
        <v>1</v>
      </c>
    </row>
    <row r="177" spans="2:21" ht="12">
      <c r="B177" s="1" t="s">
        <v>193</v>
      </c>
      <c r="C177" s="1" t="s">
        <v>313</v>
      </c>
      <c r="D177" s="1" t="s">
        <v>88</v>
      </c>
      <c r="E177" s="3">
        <v>1224</v>
      </c>
      <c r="F177" s="3">
        <v>3600</v>
      </c>
      <c r="G177" s="3">
        <v>1224</v>
      </c>
      <c r="H177" s="3">
        <v>3600</v>
      </c>
      <c r="U177" s="11" t="s">
        <v>1</v>
      </c>
    </row>
    <row r="178" spans="2:21" ht="12">
      <c r="B178" s="1" t="s">
        <v>193</v>
      </c>
      <c r="C178" s="1" t="s">
        <v>314</v>
      </c>
      <c r="D178" s="1" t="s">
        <v>88</v>
      </c>
      <c r="E178" s="3">
        <v>1322</v>
      </c>
      <c r="F178" s="3">
        <v>2672</v>
      </c>
      <c r="G178" s="3">
        <v>1084</v>
      </c>
      <c r="H178" s="3">
        <v>2380</v>
      </c>
      <c r="U178" s="11" t="s">
        <v>1</v>
      </c>
    </row>
    <row r="179" spans="2:21" ht="12">
      <c r="B179" s="1" t="s">
        <v>193</v>
      </c>
      <c r="C179" s="1" t="s">
        <v>315</v>
      </c>
      <c r="D179" s="1" t="s">
        <v>88</v>
      </c>
      <c r="E179" s="3">
        <v>1204</v>
      </c>
      <c r="F179" s="3">
        <v>2554</v>
      </c>
      <c r="G179" s="3">
        <v>1006</v>
      </c>
      <c r="H179" s="3">
        <v>2356</v>
      </c>
      <c r="U179" s="11" t="s">
        <v>1</v>
      </c>
    </row>
    <row r="180" spans="2:21" ht="12">
      <c r="B180" s="1" t="s">
        <v>193</v>
      </c>
      <c r="C180" s="1" t="s">
        <v>316</v>
      </c>
      <c r="D180" s="1" t="s">
        <v>88</v>
      </c>
      <c r="E180" s="3">
        <v>1415</v>
      </c>
      <c r="F180" s="3">
        <v>2360</v>
      </c>
      <c r="G180" s="3">
        <v>1205</v>
      </c>
      <c r="H180" s="3">
        <v>2150</v>
      </c>
      <c r="U180" s="11" t="s">
        <v>1</v>
      </c>
    </row>
    <row r="181" spans="2:21" ht="12">
      <c r="B181" s="1" t="s">
        <v>193</v>
      </c>
      <c r="C181" s="1" t="s">
        <v>317</v>
      </c>
      <c r="D181" s="1" t="s">
        <v>88</v>
      </c>
      <c r="E181" s="3">
        <v>1218</v>
      </c>
      <c r="F181" s="3">
        <v>2358</v>
      </c>
      <c r="G181" s="3">
        <v>1008</v>
      </c>
      <c r="H181" s="3">
        <v>2376</v>
      </c>
      <c r="U181" s="11" t="s">
        <v>1</v>
      </c>
    </row>
    <row r="182" spans="2:21" ht="12">
      <c r="B182" s="1" t="s">
        <v>193</v>
      </c>
      <c r="C182" s="1" t="s">
        <v>318</v>
      </c>
      <c r="D182" s="1" t="s">
        <v>98</v>
      </c>
      <c r="E182" s="3">
        <v>1200</v>
      </c>
      <c r="F182" s="3">
        <v>2880</v>
      </c>
      <c r="G182" s="3">
        <v>1200</v>
      </c>
      <c r="H182" s="3">
        <v>2880</v>
      </c>
      <c r="U182" s="11" t="s">
        <v>1</v>
      </c>
    </row>
    <row r="183" spans="2:21" ht="12">
      <c r="B183" s="1" t="s">
        <v>193</v>
      </c>
      <c r="C183" s="1" t="s">
        <v>319</v>
      </c>
      <c r="D183" s="1" t="s">
        <v>98</v>
      </c>
      <c r="E183" s="3">
        <v>1124</v>
      </c>
      <c r="F183" s="3">
        <v>2646</v>
      </c>
      <c r="G183" s="3">
        <v>1144</v>
      </c>
      <c r="H183" s="3">
        <v>2300</v>
      </c>
      <c r="U183" s="11" t="s">
        <v>1</v>
      </c>
    </row>
    <row r="184" spans="2:21" ht="12">
      <c r="B184" s="1" t="s">
        <v>193</v>
      </c>
      <c r="C184" s="1" t="s">
        <v>320</v>
      </c>
      <c r="D184" s="1" t="s">
        <v>98</v>
      </c>
      <c r="E184" s="3">
        <v>1242</v>
      </c>
      <c r="F184" s="3">
        <v>2592</v>
      </c>
      <c r="G184" s="3">
        <v>1032</v>
      </c>
      <c r="H184" s="3">
        <v>2112</v>
      </c>
      <c r="U184" s="11" t="s">
        <v>1</v>
      </c>
    </row>
    <row r="185" spans="2:21" ht="12">
      <c r="B185" s="1" t="s">
        <v>193</v>
      </c>
      <c r="C185" s="1" t="s">
        <v>321</v>
      </c>
      <c r="D185" s="1" t="s">
        <v>98</v>
      </c>
      <c r="E185" s="3">
        <v>1228</v>
      </c>
      <c r="F185" s="3">
        <v>2578</v>
      </c>
      <c r="G185" s="3">
        <v>1018</v>
      </c>
      <c r="H185" s="3">
        <v>2098</v>
      </c>
      <c r="U185" s="11" t="s">
        <v>1</v>
      </c>
    </row>
    <row r="186" spans="2:21" ht="12">
      <c r="B186" s="1" t="s">
        <v>193</v>
      </c>
      <c r="C186" s="1" t="s">
        <v>322</v>
      </c>
      <c r="D186" s="1" t="s">
        <v>98</v>
      </c>
      <c r="E186" s="3">
        <v>1326</v>
      </c>
      <c r="F186" s="3">
        <v>2676</v>
      </c>
      <c r="G186" s="3">
        <v>1116</v>
      </c>
      <c r="H186" s="3">
        <v>2196</v>
      </c>
      <c r="U186" s="11" t="s">
        <v>1</v>
      </c>
    </row>
    <row r="187" spans="2:21" ht="12">
      <c r="B187" s="1" t="s">
        <v>193</v>
      </c>
      <c r="C187" s="1" t="s">
        <v>323</v>
      </c>
      <c r="D187" s="1" t="s">
        <v>98</v>
      </c>
      <c r="E187" s="3">
        <v>930</v>
      </c>
      <c r="F187" s="3">
        <v>2488</v>
      </c>
      <c r="G187" s="3">
        <v>950</v>
      </c>
      <c r="H187" s="3">
        <v>2142</v>
      </c>
      <c r="U187" s="11" t="s">
        <v>1</v>
      </c>
    </row>
    <row r="188" spans="2:21" ht="12">
      <c r="B188" s="1" t="s">
        <v>193</v>
      </c>
      <c r="C188" s="1" t="s">
        <v>324</v>
      </c>
      <c r="D188" s="1" t="s">
        <v>98</v>
      </c>
      <c r="E188" s="3">
        <v>1402</v>
      </c>
      <c r="F188" s="3">
        <v>2752</v>
      </c>
      <c r="G188" s="3">
        <v>896</v>
      </c>
      <c r="H188" s="3">
        <v>1976</v>
      </c>
      <c r="U188" s="11" t="s">
        <v>1</v>
      </c>
    </row>
    <row r="189" spans="2:21" ht="12">
      <c r="B189" s="1" t="s">
        <v>193</v>
      </c>
      <c r="C189" s="1" t="s">
        <v>325</v>
      </c>
      <c r="D189" s="1" t="s">
        <v>107</v>
      </c>
      <c r="E189" s="3">
        <v>688</v>
      </c>
      <c r="F189" s="3">
        <v>2096</v>
      </c>
      <c r="U189" s="11" t="s">
        <v>1</v>
      </c>
    </row>
    <row r="190" spans="2:21" ht="12">
      <c r="B190" s="1" t="s">
        <v>193</v>
      </c>
      <c r="C190" s="1" t="s">
        <v>326</v>
      </c>
      <c r="D190" s="1" t="s">
        <v>107</v>
      </c>
      <c r="E190" s="3">
        <v>700</v>
      </c>
      <c r="F190" s="3">
        <v>1730</v>
      </c>
      <c r="U190" s="11" t="s">
        <v>1</v>
      </c>
    </row>
    <row r="191" spans="2:21" ht="12">
      <c r="B191" s="1" t="s">
        <v>193</v>
      </c>
      <c r="C191" s="1" t="s">
        <v>327</v>
      </c>
      <c r="D191" s="1" t="s">
        <v>107</v>
      </c>
      <c r="E191" s="3">
        <v>680</v>
      </c>
      <c r="F191" s="3">
        <v>2180</v>
      </c>
      <c r="U191" s="11" t="s">
        <v>1</v>
      </c>
    </row>
    <row r="192" spans="2:21" ht="12">
      <c r="B192" s="1" t="s">
        <v>193</v>
      </c>
      <c r="C192" s="1" t="s">
        <v>328</v>
      </c>
      <c r="D192" s="1" t="s">
        <v>107</v>
      </c>
      <c r="E192" s="3">
        <v>780</v>
      </c>
      <c r="F192" s="3">
        <v>2130</v>
      </c>
      <c r="U192" s="11" t="s">
        <v>1</v>
      </c>
    </row>
    <row r="193" spans="2:21" ht="12">
      <c r="B193" s="1" t="s">
        <v>193</v>
      </c>
      <c r="C193" s="1" t="s">
        <v>329</v>
      </c>
      <c r="D193" s="1" t="s">
        <v>110</v>
      </c>
      <c r="E193" s="3">
        <v>105</v>
      </c>
      <c r="F193" s="3">
        <v>105</v>
      </c>
      <c r="U193" s="11" t="s">
        <v>1</v>
      </c>
    </row>
    <row r="194" spans="2:21" ht="12">
      <c r="B194" s="1" t="s">
        <v>193</v>
      </c>
      <c r="C194" s="1" t="s">
        <v>330</v>
      </c>
      <c r="D194" s="1" t="s">
        <v>174</v>
      </c>
      <c r="I194" s="3">
        <v>3000</v>
      </c>
      <c r="J194" s="3">
        <v>6600</v>
      </c>
      <c r="U194" s="11" t="s">
        <v>1</v>
      </c>
    </row>
    <row r="195" spans="2:21" ht="12">
      <c r="B195" s="1" t="s">
        <v>193</v>
      </c>
      <c r="C195" s="1" t="s">
        <v>331</v>
      </c>
      <c r="D195" s="1" t="s">
        <v>174</v>
      </c>
      <c r="K195" s="3">
        <v>3700</v>
      </c>
      <c r="L195" s="3">
        <v>10300</v>
      </c>
      <c r="M195" s="3">
        <v>3200</v>
      </c>
      <c r="N195" s="3">
        <v>7800</v>
      </c>
      <c r="U195" s="11" t="s">
        <v>1</v>
      </c>
    </row>
    <row r="196" spans="1:21" ht="12">
      <c r="A196" s="1" t="s">
        <v>124</v>
      </c>
      <c r="B196" s="1" t="s">
        <v>195</v>
      </c>
      <c r="C196" s="1" t="s">
        <v>332</v>
      </c>
      <c r="D196" s="1" t="s">
        <v>105</v>
      </c>
      <c r="E196" s="3">
        <v>1601</v>
      </c>
      <c r="F196" s="3">
        <v>4477</v>
      </c>
      <c r="G196" s="3">
        <v>2365</v>
      </c>
      <c r="H196" s="3">
        <v>4069</v>
      </c>
      <c r="U196" s="11" t="s">
        <v>1</v>
      </c>
    </row>
    <row r="197" spans="2:21" ht="12">
      <c r="B197" s="1" t="s">
        <v>195</v>
      </c>
      <c r="C197" s="1" t="s">
        <v>333</v>
      </c>
      <c r="D197" s="1" t="s">
        <v>88</v>
      </c>
      <c r="E197" s="3">
        <v>1640</v>
      </c>
      <c r="F197" s="3">
        <v>4516</v>
      </c>
      <c r="G197" s="3">
        <v>2278</v>
      </c>
      <c r="H197" s="3">
        <v>3982</v>
      </c>
      <c r="U197" s="11" t="s">
        <v>1</v>
      </c>
    </row>
    <row r="198" spans="2:21" ht="12">
      <c r="B198" s="1" t="s">
        <v>195</v>
      </c>
      <c r="C198" s="1" t="s">
        <v>334</v>
      </c>
      <c r="D198" s="1" t="s">
        <v>88</v>
      </c>
      <c r="E198" s="3">
        <v>1568</v>
      </c>
      <c r="F198" s="3">
        <v>3103</v>
      </c>
      <c r="G198" s="3">
        <v>1415</v>
      </c>
      <c r="H198" s="3">
        <v>1655</v>
      </c>
      <c r="U198" s="11" t="s">
        <v>1</v>
      </c>
    </row>
    <row r="199" spans="2:21" ht="12">
      <c r="B199" s="1" t="s">
        <v>195</v>
      </c>
      <c r="C199" s="1" t="s">
        <v>335</v>
      </c>
      <c r="D199" s="1" t="s">
        <v>98</v>
      </c>
      <c r="E199" s="3">
        <v>1492</v>
      </c>
      <c r="F199" s="3">
        <v>4188</v>
      </c>
      <c r="G199" s="3">
        <v>2208</v>
      </c>
      <c r="H199" s="3">
        <v>3912</v>
      </c>
      <c r="U199" s="11" t="s">
        <v>1</v>
      </c>
    </row>
    <row r="200" spans="2:21" ht="12">
      <c r="B200" s="1" t="s">
        <v>195</v>
      </c>
      <c r="C200" s="1" t="s">
        <v>336</v>
      </c>
      <c r="D200" s="1" t="s">
        <v>98</v>
      </c>
      <c r="E200" s="3">
        <v>1592</v>
      </c>
      <c r="F200" s="3">
        <v>3070</v>
      </c>
      <c r="G200" s="3">
        <v>2311</v>
      </c>
      <c r="H200" s="3">
        <v>2311</v>
      </c>
      <c r="I200" s="3">
        <v>3130</v>
      </c>
      <c r="J200" s="3">
        <v>5930</v>
      </c>
      <c r="U200" s="11" t="s">
        <v>1</v>
      </c>
    </row>
    <row r="201" spans="2:21" ht="12">
      <c r="B201" s="1" t="s">
        <v>195</v>
      </c>
      <c r="C201" s="1" t="s">
        <v>337</v>
      </c>
      <c r="D201" s="1" t="s">
        <v>98</v>
      </c>
      <c r="E201" s="3">
        <v>1530</v>
      </c>
      <c r="F201" s="3">
        <v>2850</v>
      </c>
      <c r="G201" s="3">
        <v>2006</v>
      </c>
      <c r="H201" s="3">
        <v>2006</v>
      </c>
      <c r="U201" s="11" t="s">
        <v>1</v>
      </c>
    </row>
    <row r="202" spans="2:21" ht="12">
      <c r="B202" s="1" t="s">
        <v>195</v>
      </c>
      <c r="C202" s="1" t="s">
        <v>338</v>
      </c>
      <c r="D202" s="1" t="s">
        <v>98</v>
      </c>
      <c r="E202" s="3">
        <v>1683</v>
      </c>
      <c r="F202" s="3">
        <v>3003</v>
      </c>
      <c r="G202" s="3">
        <v>1936</v>
      </c>
      <c r="H202" s="3">
        <v>1936</v>
      </c>
      <c r="U202" s="11" t="s">
        <v>1</v>
      </c>
    </row>
    <row r="203" spans="2:21" ht="12">
      <c r="B203" s="1" t="s">
        <v>195</v>
      </c>
      <c r="C203" s="1" t="s">
        <v>339</v>
      </c>
      <c r="D203" s="1" t="s">
        <v>98</v>
      </c>
      <c r="E203" s="3">
        <v>1604</v>
      </c>
      <c r="F203" s="3">
        <v>2924</v>
      </c>
      <c r="G203" s="3">
        <v>1813</v>
      </c>
      <c r="H203" s="3">
        <v>1813</v>
      </c>
      <c r="U203" s="11" t="s">
        <v>1</v>
      </c>
    </row>
    <row r="204" spans="2:21" ht="12">
      <c r="B204" s="1" t="s">
        <v>195</v>
      </c>
      <c r="C204" s="1" t="s">
        <v>340</v>
      </c>
      <c r="D204" s="1" t="s">
        <v>98</v>
      </c>
      <c r="E204" s="3">
        <v>1886</v>
      </c>
      <c r="F204" s="3">
        <v>3206</v>
      </c>
      <c r="G204" s="3">
        <v>1716</v>
      </c>
      <c r="H204" s="3">
        <v>1812</v>
      </c>
      <c r="U204" s="11" t="s">
        <v>1</v>
      </c>
    </row>
    <row r="205" spans="2:21" ht="12">
      <c r="B205" s="1" t="s">
        <v>195</v>
      </c>
      <c r="C205" s="1" t="s">
        <v>341</v>
      </c>
      <c r="D205" s="1" t="s">
        <v>98</v>
      </c>
      <c r="E205" s="3">
        <v>1523</v>
      </c>
      <c r="F205" s="3">
        <v>2843</v>
      </c>
      <c r="G205" s="3">
        <v>1764</v>
      </c>
      <c r="H205" s="3">
        <v>1764</v>
      </c>
      <c r="U205" s="11" t="s">
        <v>1</v>
      </c>
    </row>
    <row r="206" spans="2:21" ht="12">
      <c r="B206" s="1" t="s">
        <v>195</v>
      </c>
      <c r="C206" s="1" t="s">
        <v>342</v>
      </c>
      <c r="D206" s="1" t="s">
        <v>106</v>
      </c>
      <c r="E206" s="3">
        <v>2050</v>
      </c>
      <c r="F206" s="3">
        <v>3350</v>
      </c>
      <c r="U206" s="11" t="s">
        <v>1</v>
      </c>
    </row>
    <row r="207" spans="2:21" ht="12">
      <c r="B207" s="1" t="s">
        <v>195</v>
      </c>
      <c r="C207" s="1" t="s">
        <v>343</v>
      </c>
      <c r="D207" s="1" t="s">
        <v>108</v>
      </c>
      <c r="E207" s="3">
        <v>1050</v>
      </c>
      <c r="F207" s="3">
        <v>4290</v>
      </c>
      <c r="U207" s="11" t="s">
        <v>1</v>
      </c>
    </row>
    <row r="208" spans="2:21" ht="12">
      <c r="B208" s="1" t="s">
        <v>195</v>
      </c>
      <c r="C208" s="1" t="s">
        <v>344</v>
      </c>
      <c r="D208" s="1" t="s">
        <v>108</v>
      </c>
      <c r="E208" s="3">
        <v>750</v>
      </c>
      <c r="F208" s="3">
        <v>3600</v>
      </c>
      <c r="U208" s="11" t="s">
        <v>1</v>
      </c>
    </row>
    <row r="209" spans="2:21" ht="12">
      <c r="B209" s="1" t="s">
        <v>195</v>
      </c>
      <c r="C209" s="1" t="s">
        <v>345</v>
      </c>
      <c r="D209" s="1" t="s">
        <v>108</v>
      </c>
      <c r="E209" s="3">
        <v>900</v>
      </c>
      <c r="F209" s="3">
        <v>3600</v>
      </c>
      <c r="U209" s="11" t="s">
        <v>1</v>
      </c>
    </row>
    <row r="210" spans="2:21" ht="12">
      <c r="B210" s="1" t="s">
        <v>195</v>
      </c>
      <c r="C210" s="1" t="s">
        <v>346</v>
      </c>
      <c r="D210" s="1" t="s">
        <v>108</v>
      </c>
      <c r="E210" s="3">
        <v>840</v>
      </c>
      <c r="F210" s="3">
        <v>3360</v>
      </c>
      <c r="U210" s="11" t="s">
        <v>1</v>
      </c>
    </row>
    <row r="211" spans="2:21" ht="12">
      <c r="B211" s="1" t="s">
        <v>195</v>
      </c>
      <c r="C211" s="1" t="s">
        <v>347</v>
      </c>
      <c r="D211" s="1" t="s">
        <v>108</v>
      </c>
      <c r="E211" s="3">
        <v>900</v>
      </c>
      <c r="F211" s="3">
        <v>3150</v>
      </c>
      <c r="U211" s="11" t="s">
        <v>1</v>
      </c>
    </row>
    <row r="212" spans="2:21" ht="12">
      <c r="B212" s="1" t="s">
        <v>195</v>
      </c>
      <c r="C212" s="1" t="s">
        <v>348</v>
      </c>
      <c r="D212" s="1" t="s">
        <v>108</v>
      </c>
      <c r="E212" s="3">
        <v>980</v>
      </c>
      <c r="F212" s="3">
        <v>3150</v>
      </c>
      <c r="U212" s="11" t="s">
        <v>1</v>
      </c>
    </row>
    <row r="213" spans="2:21" ht="12">
      <c r="B213" s="1" t="s">
        <v>195</v>
      </c>
      <c r="C213" s="1" t="s">
        <v>349</v>
      </c>
      <c r="D213" s="1" t="s">
        <v>108</v>
      </c>
      <c r="E213" s="3">
        <v>900</v>
      </c>
      <c r="F213" s="3">
        <v>3150</v>
      </c>
      <c r="U213" s="11" t="s">
        <v>1</v>
      </c>
    </row>
    <row r="214" spans="2:21" ht="12">
      <c r="B214" s="1" t="s">
        <v>195</v>
      </c>
      <c r="C214" s="1" t="s">
        <v>350</v>
      </c>
      <c r="D214" s="1" t="s">
        <v>108</v>
      </c>
      <c r="E214" s="3">
        <v>780</v>
      </c>
      <c r="F214" s="3">
        <v>3090</v>
      </c>
      <c r="U214" s="11" t="s">
        <v>1</v>
      </c>
    </row>
    <row r="215" spans="2:21" ht="12">
      <c r="B215" s="1" t="s">
        <v>195</v>
      </c>
      <c r="C215" s="1" t="s">
        <v>351</v>
      </c>
      <c r="D215" s="1" t="s">
        <v>108</v>
      </c>
      <c r="E215" s="3">
        <v>750</v>
      </c>
      <c r="F215" s="3">
        <v>3000</v>
      </c>
      <c r="U215" s="11" t="s">
        <v>1</v>
      </c>
    </row>
    <row r="216" spans="2:21" ht="12">
      <c r="B216" s="1" t="s">
        <v>195</v>
      </c>
      <c r="C216" s="1" t="s">
        <v>352</v>
      </c>
      <c r="D216" s="1" t="s">
        <v>108</v>
      </c>
      <c r="E216" s="3">
        <v>780</v>
      </c>
      <c r="F216" s="3">
        <v>2940</v>
      </c>
      <c r="U216" s="11" t="s">
        <v>1</v>
      </c>
    </row>
    <row r="217" spans="2:21" ht="12">
      <c r="B217" s="1" t="s">
        <v>195</v>
      </c>
      <c r="C217" s="1" t="s">
        <v>353</v>
      </c>
      <c r="D217" s="1" t="s">
        <v>108</v>
      </c>
      <c r="E217" s="3">
        <v>540</v>
      </c>
      <c r="F217" s="3">
        <v>2880</v>
      </c>
      <c r="U217" s="11" t="s">
        <v>1</v>
      </c>
    </row>
    <row r="218" spans="2:21" ht="12">
      <c r="B218" s="1" t="s">
        <v>195</v>
      </c>
      <c r="C218" s="1" t="s">
        <v>354</v>
      </c>
      <c r="D218" s="1" t="s">
        <v>108</v>
      </c>
      <c r="E218" s="3">
        <v>960</v>
      </c>
      <c r="F218" s="3">
        <v>2880</v>
      </c>
      <c r="U218" s="11" t="s">
        <v>1</v>
      </c>
    </row>
    <row r="219" spans="2:21" ht="12">
      <c r="B219" s="1" t="s">
        <v>195</v>
      </c>
      <c r="C219" s="1" t="s">
        <v>355</v>
      </c>
      <c r="D219" s="1" t="s">
        <v>108</v>
      </c>
      <c r="E219" s="3">
        <v>1080</v>
      </c>
      <c r="F219" s="3">
        <v>2790</v>
      </c>
      <c r="U219" s="11" t="s">
        <v>1</v>
      </c>
    </row>
    <row r="220" spans="2:21" ht="12">
      <c r="B220" s="1" t="s">
        <v>195</v>
      </c>
      <c r="C220" s="1" t="s">
        <v>356</v>
      </c>
      <c r="D220" s="1" t="s">
        <v>108</v>
      </c>
      <c r="E220" s="3">
        <v>930</v>
      </c>
      <c r="F220" s="3">
        <v>2790</v>
      </c>
      <c r="U220" s="11" t="s">
        <v>1</v>
      </c>
    </row>
    <row r="221" spans="2:21" ht="12">
      <c r="B221" s="1" t="s">
        <v>195</v>
      </c>
      <c r="C221" s="1" t="s">
        <v>357</v>
      </c>
      <c r="D221" s="1" t="s">
        <v>108</v>
      </c>
      <c r="E221" s="3">
        <v>1020</v>
      </c>
      <c r="F221" s="3">
        <v>2536</v>
      </c>
      <c r="U221" s="11" t="s">
        <v>1</v>
      </c>
    </row>
    <row r="222" spans="2:21" ht="12">
      <c r="B222" s="1" t="s">
        <v>195</v>
      </c>
      <c r="C222" s="1" t="s">
        <v>358</v>
      </c>
      <c r="D222" s="1" t="s">
        <v>108</v>
      </c>
      <c r="E222" s="3">
        <v>896</v>
      </c>
      <c r="F222" s="3">
        <v>2464</v>
      </c>
      <c r="U222" s="11" t="s">
        <v>1</v>
      </c>
    </row>
    <row r="223" spans="2:21" ht="12">
      <c r="B223" s="1" t="s">
        <v>195</v>
      </c>
      <c r="C223" s="1" t="s">
        <v>359</v>
      </c>
      <c r="D223" s="1" t="s">
        <v>108</v>
      </c>
      <c r="E223" s="3">
        <v>660</v>
      </c>
      <c r="F223" s="3">
        <v>1830</v>
      </c>
      <c r="U223" s="11" t="s">
        <v>1</v>
      </c>
    </row>
    <row r="224" spans="2:21" ht="12">
      <c r="B224" s="1" t="s">
        <v>195</v>
      </c>
      <c r="C224" s="1" t="s">
        <v>360</v>
      </c>
      <c r="D224" s="1" t="s">
        <v>174</v>
      </c>
      <c r="G224" s="3">
        <v>2406</v>
      </c>
      <c r="H224" s="3">
        <v>4110</v>
      </c>
      <c r="I224" s="3">
        <v>3444</v>
      </c>
      <c r="J224" s="3">
        <v>6296</v>
      </c>
      <c r="K224" s="3">
        <v>5820</v>
      </c>
      <c r="L224" s="3">
        <v>11544</v>
      </c>
      <c r="M224" s="3">
        <v>5030</v>
      </c>
      <c r="N224" s="3">
        <v>11188</v>
      </c>
      <c r="S224" s="3">
        <f>(1560+1548+1674+2548+2158+1574+4152)/7</f>
        <v>2173.4285714285716</v>
      </c>
      <c r="T224" s="3">
        <f>(4436+4424+4602+5634+4652+4450+8160)/7</f>
        <v>5194</v>
      </c>
      <c r="U224" s="11" t="s">
        <v>1</v>
      </c>
    </row>
    <row r="225" spans="1:21" ht="12">
      <c r="A225" s="1" t="s">
        <v>124</v>
      </c>
      <c r="B225" s="1" t="s">
        <v>197</v>
      </c>
      <c r="C225" s="1" t="s">
        <v>361</v>
      </c>
      <c r="D225" s="1" t="s">
        <v>80</v>
      </c>
      <c r="E225" s="3">
        <v>1700</v>
      </c>
      <c r="F225" s="3">
        <v>2882</v>
      </c>
      <c r="G225" s="3">
        <v>1700</v>
      </c>
      <c r="H225" s="3">
        <v>2882</v>
      </c>
      <c r="Q225" s="3">
        <v>2199</v>
      </c>
      <c r="R225" s="3">
        <v>4199</v>
      </c>
      <c r="U225" s="11" t="s">
        <v>1</v>
      </c>
    </row>
    <row r="226" spans="2:21" ht="12">
      <c r="B226" s="1" t="s">
        <v>197</v>
      </c>
      <c r="C226" s="1" t="s">
        <v>114</v>
      </c>
      <c r="D226" s="1" t="s">
        <v>80</v>
      </c>
      <c r="E226" s="3">
        <v>1727</v>
      </c>
      <c r="F226" s="3">
        <v>2909</v>
      </c>
      <c r="G226" s="3">
        <v>1727</v>
      </c>
      <c r="H226" s="3">
        <v>2909</v>
      </c>
      <c r="I226" s="3">
        <v>2027</v>
      </c>
      <c r="J226" s="3">
        <v>3209</v>
      </c>
      <c r="U226" s="11" t="s">
        <v>1</v>
      </c>
    </row>
    <row r="227" spans="2:21" ht="12">
      <c r="B227" s="1" t="s">
        <v>197</v>
      </c>
      <c r="C227" s="1" t="s">
        <v>362</v>
      </c>
      <c r="D227" s="1" t="s">
        <v>80</v>
      </c>
      <c r="E227" s="3">
        <v>1600</v>
      </c>
      <c r="F227" s="3">
        <v>2782</v>
      </c>
      <c r="G227" s="3">
        <v>1600</v>
      </c>
      <c r="H227" s="3">
        <v>2782</v>
      </c>
      <c r="U227" s="11" t="s">
        <v>1</v>
      </c>
    </row>
    <row r="228" spans="2:21" ht="12">
      <c r="B228" s="1" t="s">
        <v>197</v>
      </c>
      <c r="C228" s="1" t="s">
        <v>363</v>
      </c>
      <c r="D228" s="1" t="s">
        <v>88</v>
      </c>
      <c r="E228" s="3">
        <v>1350</v>
      </c>
      <c r="F228" s="3">
        <v>2532</v>
      </c>
      <c r="G228" s="3">
        <v>1350</v>
      </c>
      <c r="H228" s="3">
        <v>2532</v>
      </c>
      <c r="U228" s="11" t="s">
        <v>1</v>
      </c>
    </row>
    <row r="229" spans="2:21" ht="12">
      <c r="B229" s="1" t="s">
        <v>197</v>
      </c>
      <c r="C229" s="1" t="s">
        <v>95</v>
      </c>
      <c r="D229" s="1" t="s">
        <v>88</v>
      </c>
      <c r="E229" s="3">
        <v>1472</v>
      </c>
      <c r="F229" s="3">
        <v>2654</v>
      </c>
      <c r="G229" s="3">
        <v>1510</v>
      </c>
      <c r="H229" s="3">
        <v>2692</v>
      </c>
      <c r="U229" s="11" t="s">
        <v>1</v>
      </c>
    </row>
    <row r="230" spans="2:21" ht="12">
      <c r="B230" s="1" t="s">
        <v>197</v>
      </c>
      <c r="C230" s="1" t="s">
        <v>364</v>
      </c>
      <c r="D230" s="1" t="s">
        <v>98</v>
      </c>
      <c r="E230" s="3">
        <v>1475</v>
      </c>
      <c r="F230" s="3">
        <v>2657</v>
      </c>
      <c r="G230" s="3">
        <v>1475</v>
      </c>
      <c r="H230" s="3">
        <v>2657</v>
      </c>
      <c r="U230" s="11" t="s">
        <v>1</v>
      </c>
    </row>
    <row r="231" spans="2:21" ht="12">
      <c r="B231" s="1" t="s">
        <v>197</v>
      </c>
      <c r="C231" s="1" t="s">
        <v>101</v>
      </c>
      <c r="D231" s="1" t="s">
        <v>98</v>
      </c>
      <c r="E231" s="3">
        <v>1550</v>
      </c>
      <c r="F231" s="3">
        <v>2732</v>
      </c>
      <c r="G231" s="3">
        <v>1550</v>
      </c>
      <c r="H231" s="3">
        <v>2732</v>
      </c>
      <c r="U231" s="11" t="s">
        <v>1</v>
      </c>
    </row>
    <row r="232" spans="2:21" ht="12">
      <c r="B232" s="1" t="s">
        <v>197</v>
      </c>
      <c r="C232" s="1" t="s">
        <v>365</v>
      </c>
      <c r="D232" s="1" t="s">
        <v>98</v>
      </c>
      <c r="E232" s="3">
        <v>1500</v>
      </c>
      <c r="F232" s="3">
        <v>2682</v>
      </c>
      <c r="G232" s="3">
        <v>1500</v>
      </c>
      <c r="H232" s="3">
        <v>2682</v>
      </c>
      <c r="U232" s="11" t="s">
        <v>1</v>
      </c>
    </row>
    <row r="233" spans="2:21" ht="12">
      <c r="B233" s="1" t="s">
        <v>197</v>
      </c>
      <c r="C233" s="1" t="s">
        <v>366</v>
      </c>
      <c r="D233" s="1" t="s">
        <v>108</v>
      </c>
      <c r="E233" s="3">
        <v>750</v>
      </c>
      <c r="F233" s="3">
        <v>2150</v>
      </c>
      <c r="U233" s="11" t="s">
        <v>1</v>
      </c>
    </row>
    <row r="234" spans="2:21" ht="12">
      <c r="B234" s="1" t="s">
        <v>197</v>
      </c>
      <c r="C234" s="1" t="s">
        <v>367</v>
      </c>
      <c r="D234" s="1" t="s">
        <v>108</v>
      </c>
      <c r="E234" s="3">
        <v>604</v>
      </c>
      <c r="F234" s="3">
        <v>1404</v>
      </c>
      <c r="U234" s="11" t="s">
        <v>1</v>
      </c>
    </row>
    <row r="235" spans="2:21" ht="12">
      <c r="B235" s="1" t="s">
        <v>197</v>
      </c>
      <c r="C235" s="1" t="s">
        <v>368</v>
      </c>
      <c r="D235" s="1" t="s">
        <v>108</v>
      </c>
      <c r="E235" s="3">
        <v>754</v>
      </c>
      <c r="F235" s="3">
        <v>1354</v>
      </c>
      <c r="U235" s="11" t="s">
        <v>1</v>
      </c>
    </row>
    <row r="236" spans="2:21" ht="12">
      <c r="B236" s="1" t="s">
        <v>197</v>
      </c>
      <c r="C236" s="1" t="s">
        <v>369</v>
      </c>
      <c r="D236" s="1" t="s">
        <v>108</v>
      </c>
      <c r="E236" s="3">
        <v>600</v>
      </c>
      <c r="F236" s="3">
        <v>1300</v>
      </c>
      <c r="U236" s="11" t="s">
        <v>1</v>
      </c>
    </row>
    <row r="237" spans="2:21" ht="12">
      <c r="B237" s="1" t="s">
        <v>197</v>
      </c>
      <c r="C237" s="1" t="s">
        <v>370</v>
      </c>
      <c r="D237" s="1" t="s">
        <v>108</v>
      </c>
      <c r="E237" s="3">
        <v>610</v>
      </c>
      <c r="F237" s="3">
        <v>1270</v>
      </c>
      <c r="U237" s="11" t="s">
        <v>1</v>
      </c>
    </row>
    <row r="238" spans="2:21" ht="12">
      <c r="B238" s="1" t="s">
        <v>197</v>
      </c>
      <c r="C238" s="1" t="s">
        <v>371</v>
      </c>
      <c r="D238" s="1" t="s">
        <v>108</v>
      </c>
      <c r="E238" s="3">
        <v>600</v>
      </c>
      <c r="F238" s="3">
        <v>1264</v>
      </c>
      <c r="U238" s="11" t="s">
        <v>1</v>
      </c>
    </row>
    <row r="239" spans="2:21" ht="12">
      <c r="B239" s="1" t="s">
        <v>197</v>
      </c>
      <c r="C239" s="1" t="s">
        <v>372</v>
      </c>
      <c r="D239" s="1" t="s">
        <v>108</v>
      </c>
      <c r="E239" s="3">
        <v>600</v>
      </c>
      <c r="F239" s="3">
        <v>1200</v>
      </c>
      <c r="U239" s="11" t="s">
        <v>1</v>
      </c>
    </row>
    <row r="240" spans="2:21" ht="12">
      <c r="B240" s="1" t="s">
        <v>197</v>
      </c>
      <c r="C240" s="1" t="s">
        <v>373</v>
      </c>
      <c r="D240" s="1" t="s">
        <v>108</v>
      </c>
      <c r="E240" s="3">
        <v>500</v>
      </c>
      <c r="F240" s="3">
        <v>1200</v>
      </c>
      <c r="U240" s="11" t="s">
        <v>1</v>
      </c>
    </row>
    <row r="241" spans="2:21" ht="12">
      <c r="B241" s="1" t="s">
        <v>197</v>
      </c>
      <c r="C241" s="1" t="s">
        <v>374</v>
      </c>
      <c r="D241" s="1" t="s">
        <v>108</v>
      </c>
      <c r="E241" s="3">
        <v>550</v>
      </c>
      <c r="F241" s="3">
        <v>1150</v>
      </c>
      <c r="U241" s="11" t="s">
        <v>1</v>
      </c>
    </row>
    <row r="242" spans="2:21" ht="12">
      <c r="B242" s="1" t="s">
        <v>197</v>
      </c>
      <c r="C242" s="1" t="s">
        <v>375</v>
      </c>
      <c r="D242" s="1" t="s">
        <v>108</v>
      </c>
      <c r="E242" s="3">
        <v>536</v>
      </c>
      <c r="F242" s="3">
        <v>1136</v>
      </c>
      <c r="U242" s="11" t="s">
        <v>1</v>
      </c>
    </row>
    <row r="243" spans="2:21" ht="12">
      <c r="B243" s="1" t="s">
        <v>197</v>
      </c>
      <c r="C243" s="1" t="s">
        <v>376</v>
      </c>
      <c r="D243" s="1" t="s">
        <v>108</v>
      </c>
      <c r="E243" s="3">
        <v>620</v>
      </c>
      <c r="F243" s="3">
        <v>1130</v>
      </c>
      <c r="U243" s="11" t="s">
        <v>1</v>
      </c>
    </row>
    <row r="244" spans="2:21" ht="12">
      <c r="B244" s="1" t="s">
        <v>197</v>
      </c>
      <c r="C244" s="1" t="s">
        <v>377</v>
      </c>
      <c r="D244" s="1" t="s">
        <v>108</v>
      </c>
      <c r="E244" s="3">
        <v>644</v>
      </c>
      <c r="F244" s="3">
        <v>1124</v>
      </c>
      <c r="U244" s="11" t="s">
        <v>1</v>
      </c>
    </row>
    <row r="245" spans="2:21" ht="12">
      <c r="B245" s="1" t="s">
        <v>197</v>
      </c>
      <c r="C245" s="1" t="s">
        <v>378</v>
      </c>
      <c r="D245" s="1" t="s">
        <v>108</v>
      </c>
      <c r="E245" s="3">
        <v>600</v>
      </c>
      <c r="F245" s="3">
        <v>1090</v>
      </c>
      <c r="U245" s="11" t="s">
        <v>1</v>
      </c>
    </row>
    <row r="246" spans="2:21" ht="12">
      <c r="B246" s="1" t="s">
        <v>197</v>
      </c>
      <c r="C246" s="1" t="s">
        <v>379</v>
      </c>
      <c r="D246" s="1" t="s">
        <v>108</v>
      </c>
      <c r="E246" s="3">
        <v>670</v>
      </c>
      <c r="F246" s="3">
        <v>1070</v>
      </c>
      <c r="U246" s="11" t="s">
        <v>1</v>
      </c>
    </row>
    <row r="247" spans="2:21" ht="12">
      <c r="B247" s="1" t="s">
        <v>197</v>
      </c>
      <c r="C247" s="1" t="s">
        <v>380</v>
      </c>
      <c r="D247" s="1" t="s">
        <v>108</v>
      </c>
      <c r="E247" s="3">
        <v>500</v>
      </c>
      <c r="F247" s="3">
        <v>1050</v>
      </c>
      <c r="U247" s="11" t="s">
        <v>1</v>
      </c>
    </row>
    <row r="248" spans="2:21" ht="12">
      <c r="B248" s="1" t="s">
        <v>197</v>
      </c>
      <c r="C248" s="1" t="s">
        <v>381</v>
      </c>
      <c r="D248" s="1" t="s">
        <v>174</v>
      </c>
      <c r="K248" s="3">
        <v>6000</v>
      </c>
      <c r="L248" s="3">
        <v>12000</v>
      </c>
      <c r="M248" s="3">
        <v>4000</v>
      </c>
      <c r="N248" s="3">
        <v>10000</v>
      </c>
      <c r="U248" s="11" t="s">
        <v>1</v>
      </c>
    </row>
    <row r="249" spans="1:21" ht="12">
      <c r="A249" s="1" t="s">
        <v>124</v>
      </c>
      <c r="B249" s="1" t="s">
        <v>199</v>
      </c>
      <c r="C249" s="9" t="s">
        <v>382</v>
      </c>
      <c r="D249" s="1" t="s">
        <v>105</v>
      </c>
      <c r="E249" s="10">
        <v>839</v>
      </c>
      <c r="F249" s="10">
        <v>4179</v>
      </c>
      <c r="G249" s="10">
        <v>839</v>
      </c>
      <c r="H249" s="10">
        <v>4179</v>
      </c>
      <c r="Q249" s="10">
        <v>1429</v>
      </c>
      <c r="R249" s="10">
        <v>5073</v>
      </c>
      <c r="U249" s="11" t="s">
        <v>1</v>
      </c>
    </row>
    <row r="250" spans="2:21" ht="12">
      <c r="B250" s="1" t="s">
        <v>199</v>
      </c>
      <c r="C250" s="9" t="s">
        <v>383</v>
      </c>
      <c r="D250" s="1" t="s">
        <v>105</v>
      </c>
      <c r="E250" s="10">
        <v>820</v>
      </c>
      <c r="F250" s="10">
        <v>4160</v>
      </c>
      <c r="G250" s="10">
        <v>816</v>
      </c>
      <c r="H250" s="10">
        <v>4156</v>
      </c>
      <c r="I250" s="10">
        <v>864</v>
      </c>
      <c r="J250" s="10">
        <v>4204</v>
      </c>
      <c r="K250" s="10">
        <v>1415</v>
      </c>
      <c r="L250" s="10">
        <v>5059</v>
      </c>
      <c r="M250" s="10">
        <v>1665</v>
      </c>
      <c r="N250" s="10">
        <v>5309</v>
      </c>
      <c r="S250" s="10">
        <v>1406</v>
      </c>
      <c r="T250" s="10">
        <v>5050</v>
      </c>
      <c r="U250" s="11" t="s">
        <v>1</v>
      </c>
    </row>
    <row r="251" spans="2:21" ht="12">
      <c r="B251" s="1" t="s">
        <v>199</v>
      </c>
      <c r="C251" s="9" t="s">
        <v>384</v>
      </c>
      <c r="D251" s="1" t="s">
        <v>80</v>
      </c>
      <c r="E251" s="10">
        <v>922</v>
      </c>
      <c r="F251" s="10">
        <v>4262</v>
      </c>
      <c r="G251" s="10">
        <v>922</v>
      </c>
      <c r="H251" s="10">
        <v>4262</v>
      </c>
      <c r="U251" s="11" t="s">
        <v>1</v>
      </c>
    </row>
    <row r="252" spans="2:21" ht="12">
      <c r="B252" s="1" t="s">
        <v>199</v>
      </c>
      <c r="C252" s="9" t="s">
        <v>385</v>
      </c>
      <c r="D252" s="1" t="s">
        <v>88</v>
      </c>
      <c r="E252" s="10">
        <v>778</v>
      </c>
      <c r="F252" s="10">
        <v>4026</v>
      </c>
      <c r="G252" s="10">
        <v>778</v>
      </c>
      <c r="H252" s="10">
        <v>4026</v>
      </c>
      <c r="K252" s="10">
        <v>1438</v>
      </c>
      <c r="L252" s="10">
        <v>5082</v>
      </c>
      <c r="U252" s="11" t="s">
        <v>1</v>
      </c>
    </row>
    <row r="253" spans="2:21" ht="12">
      <c r="B253" s="1" t="s">
        <v>199</v>
      </c>
      <c r="C253" s="9" t="s">
        <v>101</v>
      </c>
      <c r="D253" s="1" t="s">
        <v>93</v>
      </c>
      <c r="E253" s="10">
        <v>819</v>
      </c>
      <c r="F253" s="10">
        <v>4067</v>
      </c>
      <c r="G253" s="10">
        <v>914</v>
      </c>
      <c r="H253" s="10">
        <v>4162</v>
      </c>
      <c r="U253" s="11" t="s">
        <v>1</v>
      </c>
    </row>
    <row r="254" spans="2:21" ht="12">
      <c r="B254" s="1" t="s">
        <v>199</v>
      </c>
      <c r="C254" s="9" t="s">
        <v>386</v>
      </c>
      <c r="D254" s="1" t="s">
        <v>93</v>
      </c>
      <c r="E254" s="10">
        <v>849</v>
      </c>
      <c r="F254" s="10">
        <v>4097</v>
      </c>
      <c r="G254" s="10">
        <v>849</v>
      </c>
      <c r="H254" s="10">
        <v>4097</v>
      </c>
      <c r="U254" s="11" t="s">
        <v>1</v>
      </c>
    </row>
    <row r="255" spans="2:21" ht="12">
      <c r="B255" s="1" t="s">
        <v>199</v>
      </c>
      <c r="C255" s="9" t="s">
        <v>387</v>
      </c>
      <c r="D255" s="1" t="s">
        <v>93</v>
      </c>
      <c r="E255" s="10">
        <v>808</v>
      </c>
      <c r="F255" s="10">
        <v>4056</v>
      </c>
      <c r="G255" s="10">
        <v>844</v>
      </c>
      <c r="H255" s="10">
        <v>4092</v>
      </c>
      <c r="U255" s="11" t="s">
        <v>1</v>
      </c>
    </row>
    <row r="256" spans="2:21" ht="12">
      <c r="B256" s="1" t="s">
        <v>199</v>
      </c>
      <c r="C256" s="9" t="s">
        <v>388</v>
      </c>
      <c r="D256" s="1" t="s">
        <v>93</v>
      </c>
      <c r="E256" s="10">
        <v>822</v>
      </c>
      <c r="F256" s="10">
        <v>4070</v>
      </c>
      <c r="G256" s="10">
        <v>795</v>
      </c>
      <c r="H256" s="10">
        <v>4043</v>
      </c>
      <c r="I256" s="10">
        <v>792</v>
      </c>
      <c r="J256" s="10">
        <v>4040</v>
      </c>
      <c r="U256" s="11" t="s">
        <v>1</v>
      </c>
    </row>
    <row r="257" spans="2:21" ht="12">
      <c r="B257" s="1" t="s">
        <v>199</v>
      </c>
      <c r="C257" s="9" t="s">
        <v>389</v>
      </c>
      <c r="D257" s="1" t="s">
        <v>93</v>
      </c>
      <c r="E257" s="10">
        <v>747</v>
      </c>
      <c r="F257" s="10">
        <v>3995</v>
      </c>
      <c r="G257" s="10">
        <v>747</v>
      </c>
      <c r="H257" s="10">
        <v>3995</v>
      </c>
      <c r="U257" s="11" t="s">
        <v>1</v>
      </c>
    </row>
    <row r="258" spans="2:21" ht="12">
      <c r="B258" s="1" t="s">
        <v>199</v>
      </c>
      <c r="C258" s="9" t="s">
        <v>390</v>
      </c>
      <c r="D258" s="1" t="s">
        <v>98</v>
      </c>
      <c r="E258" s="10">
        <v>674</v>
      </c>
      <c r="F258" s="10">
        <v>3528</v>
      </c>
      <c r="G258" s="10">
        <v>674</v>
      </c>
      <c r="H258" s="10">
        <v>3528</v>
      </c>
      <c r="U258" s="11" t="s">
        <v>1</v>
      </c>
    </row>
    <row r="259" spans="2:21" ht="12">
      <c r="B259" s="1" t="s">
        <v>199</v>
      </c>
      <c r="C259" s="9" t="s">
        <v>184</v>
      </c>
      <c r="D259" s="1" t="s">
        <v>98</v>
      </c>
      <c r="E259" s="10">
        <v>780</v>
      </c>
      <c r="F259" s="10">
        <v>4028</v>
      </c>
      <c r="G259" s="10">
        <v>595</v>
      </c>
      <c r="H259" s="10">
        <v>3843</v>
      </c>
      <c r="U259" s="11" t="s">
        <v>1</v>
      </c>
    </row>
    <row r="260" spans="2:21" ht="12">
      <c r="B260" s="1" t="s">
        <v>199</v>
      </c>
      <c r="C260" s="9" t="s">
        <v>391</v>
      </c>
      <c r="D260" s="1" t="s">
        <v>98</v>
      </c>
      <c r="E260" s="10">
        <v>866</v>
      </c>
      <c r="F260" s="10">
        <v>4114</v>
      </c>
      <c r="G260" s="10">
        <v>866</v>
      </c>
      <c r="H260" s="10">
        <v>4114</v>
      </c>
      <c r="U260" s="11" t="s">
        <v>1</v>
      </c>
    </row>
    <row r="261" spans="2:21" ht="12">
      <c r="B261" s="1" t="s">
        <v>199</v>
      </c>
      <c r="C261" s="9" t="s">
        <v>392</v>
      </c>
      <c r="D261" s="1" t="s">
        <v>106</v>
      </c>
      <c r="E261" s="10">
        <v>770</v>
      </c>
      <c r="F261" s="10">
        <v>3624</v>
      </c>
      <c r="U261" s="11" t="s">
        <v>1</v>
      </c>
    </row>
    <row r="262" spans="2:21" ht="12">
      <c r="B262" s="1" t="s">
        <v>199</v>
      </c>
      <c r="C262" s="9" t="s">
        <v>393</v>
      </c>
      <c r="D262" s="1" t="s">
        <v>106</v>
      </c>
      <c r="E262" s="10">
        <v>834</v>
      </c>
      <c r="F262" s="10">
        <v>3688</v>
      </c>
      <c r="U262" s="11" t="s">
        <v>1</v>
      </c>
    </row>
    <row r="263" spans="2:21" ht="12">
      <c r="B263" s="1" t="s">
        <v>199</v>
      </c>
      <c r="C263" s="9" t="s">
        <v>394</v>
      </c>
      <c r="D263" s="1" t="s">
        <v>106</v>
      </c>
      <c r="E263" s="10">
        <v>758</v>
      </c>
      <c r="F263" s="10">
        <v>3612</v>
      </c>
      <c r="U263" s="11" t="s">
        <v>1</v>
      </c>
    </row>
    <row r="264" spans="2:21" ht="12">
      <c r="B264" s="1" t="s">
        <v>199</v>
      </c>
      <c r="C264" s="1" t="s">
        <v>395</v>
      </c>
      <c r="D264" s="1" t="s">
        <v>108</v>
      </c>
      <c r="E264" s="10">
        <v>226</v>
      </c>
      <c r="F264" s="10">
        <v>1540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U264" s="11" t="s">
        <v>1</v>
      </c>
    </row>
    <row r="265" spans="2:21" ht="12">
      <c r="B265" s="1" t="s">
        <v>199</v>
      </c>
      <c r="C265" s="9" t="s">
        <v>396</v>
      </c>
      <c r="D265" s="1" t="s">
        <v>108</v>
      </c>
      <c r="E265" s="10">
        <v>226</v>
      </c>
      <c r="F265" s="10">
        <v>1540</v>
      </c>
      <c r="U265" s="11" t="s">
        <v>1</v>
      </c>
    </row>
    <row r="266" spans="2:21" ht="12">
      <c r="B266" s="1" t="s">
        <v>199</v>
      </c>
      <c r="C266" s="9" t="s">
        <v>397</v>
      </c>
      <c r="D266" s="1" t="s">
        <v>108</v>
      </c>
      <c r="E266" s="10">
        <v>226</v>
      </c>
      <c r="F266" s="10">
        <v>1540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U266" s="11" t="s">
        <v>1</v>
      </c>
    </row>
    <row r="267" spans="2:21" ht="12">
      <c r="B267" s="1" t="s">
        <v>199</v>
      </c>
      <c r="C267" s="9" t="s">
        <v>398</v>
      </c>
      <c r="D267" s="1" t="s">
        <v>108</v>
      </c>
      <c r="E267" s="10">
        <v>226</v>
      </c>
      <c r="F267" s="10">
        <v>1540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U267" s="11" t="s">
        <v>1</v>
      </c>
    </row>
    <row r="268" spans="2:21" ht="12">
      <c r="B268" s="1" t="s">
        <v>199</v>
      </c>
      <c r="C268" s="9" t="s">
        <v>399</v>
      </c>
      <c r="D268" s="1" t="s">
        <v>108</v>
      </c>
      <c r="E268" s="10">
        <v>226</v>
      </c>
      <c r="F268" s="10">
        <v>1540</v>
      </c>
      <c r="U268" s="11" t="s">
        <v>1</v>
      </c>
    </row>
    <row r="269" spans="2:21" ht="12">
      <c r="B269" s="1" t="s">
        <v>199</v>
      </c>
      <c r="C269" s="9" t="s">
        <v>400</v>
      </c>
      <c r="D269" s="1" t="s">
        <v>108</v>
      </c>
      <c r="E269" s="10">
        <v>225</v>
      </c>
      <c r="F269" s="10">
        <v>1539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U269" s="11" t="s">
        <v>1</v>
      </c>
    </row>
    <row r="270" spans="2:21" ht="12">
      <c r="B270" s="1" t="s">
        <v>199</v>
      </c>
      <c r="C270" s="1" t="s">
        <v>401</v>
      </c>
      <c r="D270" s="1" t="s">
        <v>108</v>
      </c>
      <c r="E270" s="10">
        <v>225</v>
      </c>
      <c r="F270" s="10">
        <v>1539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U270" s="11" t="s">
        <v>1</v>
      </c>
    </row>
    <row r="271" spans="2:21" ht="12">
      <c r="B271" s="1" t="s">
        <v>199</v>
      </c>
      <c r="C271" s="1" t="s">
        <v>402</v>
      </c>
      <c r="D271" s="1" t="s">
        <v>108</v>
      </c>
      <c r="E271" s="10">
        <v>225</v>
      </c>
      <c r="F271" s="10">
        <v>1539</v>
      </c>
      <c r="U271" s="11" t="s">
        <v>1</v>
      </c>
    </row>
    <row r="272" spans="2:21" ht="12">
      <c r="B272" s="1" t="s">
        <v>199</v>
      </c>
      <c r="C272" s="1" t="s">
        <v>403</v>
      </c>
      <c r="D272" s="1" t="s">
        <v>108</v>
      </c>
      <c r="E272" s="16">
        <v>225</v>
      </c>
      <c r="F272" s="10">
        <v>1539</v>
      </c>
      <c r="U272" s="11" t="s">
        <v>1</v>
      </c>
    </row>
    <row r="273" spans="2:21" ht="12">
      <c r="B273" s="1" t="s">
        <v>199</v>
      </c>
      <c r="C273" s="9" t="s">
        <v>404</v>
      </c>
      <c r="D273" s="1" t="s">
        <v>108</v>
      </c>
      <c r="E273" s="10">
        <v>225</v>
      </c>
      <c r="F273" s="10">
        <v>1539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U273" s="11" t="s">
        <v>1</v>
      </c>
    </row>
    <row r="274" spans="2:21" ht="12">
      <c r="B274" s="1" t="s">
        <v>199</v>
      </c>
      <c r="C274" s="1" t="s">
        <v>405</v>
      </c>
      <c r="D274" s="1" t="s">
        <v>108</v>
      </c>
      <c r="E274" s="10">
        <v>224</v>
      </c>
      <c r="F274" s="10">
        <v>1538</v>
      </c>
      <c r="U274" s="11" t="s">
        <v>1</v>
      </c>
    </row>
    <row r="275" spans="2:21" ht="12">
      <c r="B275" s="1" t="s">
        <v>199</v>
      </c>
      <c r="C275" s="1" t="s">
        <v>406</v>
      </c>
      <c r="D275" s="1" t="s">
        <v>108</v>
      </c>
      <c r="E275" s="10">
        <v>224</v>
      </c>
      <c r="F275" s="10">
        <v>1538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U275" s="11" t="s">
        <v>1</v>
      </c>
    </row>
    <row r="276" spans="2:21" ht="12">
      <c r="B276" s="1" t="s">
        <v>199</v>
      </c>
      <c r="C276" s="9" t="s">
        <v>407</v>
      </c>
      <c r="D276" s="1" t="s">
        <v>108</v>
      </c>
      <c r="E276" s="10">
        <v>222</v>
      </c>
      <c r="F276" s="10">
        <v>1536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U276" s="11" t="s">
        <v>1</v>
      </c>
    </row>
    <row r="277" spans="2:21" ht="12">
      <c r="B277" s="1" t="s">
        <v>199</v>
      </c>
      <c r="C277" s="9" t="s">
        <v>408</v>
      </c>
      <c r="D277" s="1" t="s">
        <v>108</v>
      </c>
      <c r="E277" s="10">
        <v>222</v>
      </c>
      <c r="F277" s="10">
        <v>1536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U277" s="11" t="s">
        <v>1</v>
      </c>
    </row>
    <row r="278" spans="2:21" ht="12">
      <c r="B278" s="1" t="s">
        <v>199</v>
      </c>
      <c r="C278" s="1" t="s">
        <v>409</v>
      </c>
      <c r="D278" s="1" t="s">
        <v>108</v>
      </c>
      <c r="E278" s="10">
        <v>222</v>
      </c>
      <c r="F278" s="10">
        <v>1536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U278" s="11" t="s">
        <v>1</v>
      </c>
    </row>
    <row r="279" spans="2:21" ht="12">
      <c r="B279" s="1" t="s">
        <v>199</v>
      </c>
      <c r="C279" s="9" t="s">
        <v>410</v>
      </c>
      <c r="D279" s="1" t="s">
        <v>108</v>
      </c>
      <c r="E279" s="10">
        <v>221</v>
      </c>
      <c r="F279" s="10">
        <v>1535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U279" s="11" t="s">
        <v>1</v>
      </c>
    </row>
    <row r="280" spans="2:21" ht="12">
      <c r="B280" s="1" t="s">
        <v>199</v>
      </c>
      <c r="C280" s="1" t="s">
        <v>411</v>
      </c>
      <c r="D280" s="1" t="s">
        <v>108</v>
      </c>
      <c r="E280" s="10">
        <v>221</v>
      </c>
      <c r="F280" s="10">
        <v>1534</v>
      </c>
      <c r="U280" s="11" t="s">
        <v>1</v>
      </c>
    </row>
    <row r="281" spans="2:21" ht="12">
      <c r="B281" s="1" t="s">
        <v>199</v>
      </c>
      <c r="C281" s="1" t="s">
        <v>412</v>
      </c>
      <c r="D281" s="1" t="s">
        <v>108</v>
      </c>
      <c r="E281" s="10">
        <v>220</v>
      </c>
      <c r="F281" s="10">
        <v>1534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U281" s="11" t="s">
        <v>1</v>
      </c>
    </row>
    <row r="282" spans="2:21" ht="12">
      <c r="B282" s="1" t="s">
        <v>199</v>
      </c>
      <c r="C282" s="1" t="s">
        <v>413</v>
      </c>
      <c r="D282" s="1" t="s">
        <v>108</v>
      </c>
      <c r="E282" s="10">
        <v>220</v>
      </c>
      <c r="F282" s="10">
        <v>1534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U282" s="11" t="s">
        <v>1</v>
      </c>
    </row>
    <row r="283" spans="2:21" ht="12">
      <c r="B283" s="1" t="s">
        <v>199</v>
      </c>
      <c r="C283" s="9" t="s">
        <v>414</v>
      </c>
      <c r="D283" s="1" t="s">
        <v>108</v>
      </c>
      <c r="E283" s="10">
        <v>219</v>
      </c>
      <c r="F283" s="10">
        <v>1533</v>
      </c>
      <c r="U283" s="11" t="s">
        <v>1</v>
      </c>
    </row>
    <row r="284" spans="2:21" ht="12">
      <c r="B284" s="1" t="s">
        <v>199</v>
      </c>
      <c r="C284" s="9" t="s">
        <v>415</v>
      </c>
      <c r="D284" s="1" t="s">
        <v>108</v>
      </c>
      <c r="E284" s="10">
        <v>219</v>
      </c>
      <c r="F284" s="10">
        <v>1533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U284" s="11" t="s">
        <v>1</v>
      </c>
    </row>
    <row r="285" spans="2:21" ht="12">
      <c r="B285" s="1" t="s">
        <v>199</v>
      </c>
      <c r="C285" s="9" t="s">
        <v>416</v>
      </c>
      <c r="D285" s="1" t="s">
        <v>108</v>
      </c>
      <c r="E285" s="10">
        <v>219</v>
      </c>
      <c r="F285" s="10">
        <v>1533</v>
      </c>
      <c r="U285" s="11" t="s">
        <v>1</v>
      </c>
    </row>
    <row r="286" spans="2:21" ht="12">
      <c r="B286" s="1" t="s">
        <v>199</v>
      </c>
      <c r="C286" s="1" t="s">
        <v>417</v>
      </c>
      <c r="D286" s="1" t="s">
        <v>108</v>
      </c>
      <c r="E286" s="10">
        <v>219</v>
      </c>
      <c r="F286" s="10">
        <v>1533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U286" s="11" t="s">
        <v>1</v>
      </c>
    </row>
    <row r="287" spans="2:21" ht="12">
      <c r="B287" s="1" t="s">
        <v>199</v>
      </c>
      <c r="C287" s="9" t="s">
        <v>418</v>
      </c>
      <c r="D287" s="1" t="s">
        <v>108</v>
      </c>
      <c r="E287" s="10">
        <v>219</v>
      </c>
      <c r="F287" s="10">
        <v>1533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U287" s="11" t="s">
        <v>1</v>
      </c>
    </row>
    <row r="288" spans="2:21" ht="12">
      <c r="B288" s="1" t="s">
        <v>199</v>
      </c>
      <c r="C288" s="9" t="s">
        <v>419</v>
      </c>
      <c r="D288" s="1" t="s">
        <v>108</v>
      </c>
      <c r="E288" s="10">
        <v>219</v>
      </c>
      <c r="F288" s="10">
        <v>1533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U288" s="11" t="s">
        <v>1</v>
      </c>
    </row>
    <row r="289" spans="2:21" ht="12">
      <c r="B289" s="1" t="s">
        <v>199</v>
      </c>
      <c r="C289" s="9" t="s">
        <v>420</v>
      </c>
      <c r="D289" s="1" t="s">
        <v>108</v>
      </c>
      <c r="E289" s="10">
        <v>218</v>
      </c>
      <c r="F289" s="10">
        <v>1532</v>
      </c>
      <c r="U289" s="11" t="s">
        <v>1</v>
      </c>
    </row>
    <row r="290" spans="2:21" ht="12">
      <c r="B290" s="1" t="s">
        <v>199</v>
      </c>
      <c r="C290" s="1" t="s">
        <v>421</v>
      </c>
      <c r="D290" s="1" t="s">
        <v>108</v>
      </c>
      <c r="E290" s="10">
        <v>218</v>
      </c>
      <c r="F290" s="10">
        <v>1532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U290" s="11" t="s">
        <v>1</v>
      </c>
    </row>
    <row r="291" spans="2:21" ht="12">
      <c r="B291" s="1" t="s">
        <v>199</v>
      </c>
      <c r="C291" s="1" t="s">
        <v>422</v>
      </c>
      <c r="D291" s="1" t="s">
        <v>108</v>
      </c>
      <c r="E291" s="10">
        <v>217</v>
      </c>
      <c r="F291" s="10">
        <v>1531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U291" s="11" t="s">
        <v>1</v>
      </c>
    </row>
    <row r="292" spans="2:21" ht="12">
      <c r="B292" s="1" t="s">
        <v>199</v>
      </c>
      <c r="C292" s="1" t="s">
        <v>423</v>
      </c>
      <c r="D292" s="1" t="s">
        <v>108</v>
      </c>
      <c r="E292" s="16">
        <v>217</v>
      </c>
      <c r="F292" s="10">
        <v>1531</v>
      </c>
      <c r="U292" s="11" t="s">
        <v>1</v>
      </c>
    </row>
    <row r="293" spans="2:21" ht="12">
      <c r="B293" s="1" t="s">
        <v>199</v>
      </c>
      <c r="C293" s="9" t="s">
        <v>424</v>
      </c>
      <c r="D293" s="1" t="s">
        <v>108</v>
      </c>
      <c r="E293" s="10">
        <v>216</v>
      </c>
      <c r="F293" s="10">
        <v>1530</v>
      </c>
      <c r="U293" s="11" t="s">
        <v>1</v>
      </c>
    </row>
    <row r="294" spans="2:21" ht="12">
      <c r="B294" s="1" t="s">
        <v>199</v>
      </c>
      <c r="C294" s="1" t="s">
        <v>425</v>
      </c>
      <c r="D294" s="1" t="s">
        <v>108</v>
      </c>
      <c r="E294" s="10">
        <v>216</v>
      </c>
      <c r="F294" s="10">
        <v>1530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U294" s="11" t="s">
        <v>1</v>
      </c>
    </row>
    <row r="295" spans="2:21" ht="12">
      <c r="B295" s="1" t="s">
        <v>199</v>
      </c>
      <c r="C295" s="1" t="s">
        <v>426</v>
      </c>
      <c r="D295" s="1" t="s">
        <v>108</v>
      </c>
      <c r="E295" s="10">
        <v>216</v>
      </c>
      <c r="F295" s="10">
        <v>1530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U295" s="11" t="s">
        <v>1</v>
      </c>
    </row>
    <row r="296" spans="2:21" ht="12">
      <c r="B296" s="1" t="s">
        <v>199</v>
      </c>
      <c r="C296" s="9" t="s">
        <v>427</v>
      </c>
      <c r="D296" s="1" t="s">
        <v>108</v>
      </c>
      <c r="E296" s="10">
        <v>216</v>
      </c>
      <c r="F296" s="10">
        <v>1530</v>
      </c>
      <c r="U296" s="11" t="s">
        <v>1</v>
      </c>
    </row>
    <row r="297" spans="2:21" ht="12">
      <c r="B297" s="1" t="s">
        <v>199</v>
      </c>
      <c r="C297" s="1" t="s">
        <v>428</v>
      </c>
      <c r="D297" s="1" t="s">
        <v>108</v>
      </c>
      <c r="E297" s="10">
        <v>216</v>
      </c>
      <c r="F297" s="10">
        <v>1530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U297" s="11" t="s">
        <v>1</v>
      </c>
    </row>
    <row r="298" spans="2:21" ht="12">
      <c r="B298" s="1" t="s">
        <v>199</v>
      </c>
      <c r="C298" s="1" t="s">
        <v>429</v>
      </c>
      <c r="D298" s="1" t="s">
        <v>108</v>
      </c>
      <c r="E298" s="10">
        <v>216</v>
      </c>
      <c r="F298" s="10">
        <v>1530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U298" s="11" t="s">
        <v>1</v>
      </c>
    </row>
    <row r="299" spans="2:21" ht="12">
      <c r="B299" s="1" t="s">
        <v>199</v>
      </c>
      <c r="C299" s="1" t="s">
        <v>430</v>
      </c>
      <c r="D299" s="1" t="s">
        <v>108</v>
      </c>
      <c r="E299" s="10">
        <v>216</v>
      </c>
      <c r="F299" s="10">
        <v>1530</v>
      </c>
      <c r="U299" s="11" t="s">
        <v>1</v>
      </c>
    </row>
    <row r="300" spans="2:21" ht="12">
      <c r="B300" s="1" t="s">
        <v>199</v>
      </c>
      <c r="C300" s="1" t="s">
        <v>431</v>
      </c>
      <c r="D300" s="1" t="s">
        <v>108</v>
      </c>
      <c r="E300" s="16">
        <v>216</v>
      </c>
      <c r="F300" s="10">
        <v>1530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U300" s="11" t="s">
        <v>1</v>
      </c>
    </row>
    <row r="301" spans="2:21" ht="12">
      <c r="B301" s="1" t="s">
        <v>199</v>
      </c>
      <c r="C301" s="1" t="s">
        <v>432</v>
      </c>
      <c r="D301" s="1" t="s">
        <v>108</v>
      </c>
      <c r="E301" s="10">
        <v>216</v>
      </c>
      <c r="F301" s="10">
        <v>1530</v>
      </c>
      <c r="U301" s="11" t="s">
        <v>1</v>
      </c>
    </row>
    <row r="302" spans="2:21" ht="12">
      <c r="B302" s="1" t="s">
        <v>199</v>
      </c>
      <c r="C302" s="9" t="s">
        <v>433</v>
      </c>
      <c r="D302" s="1" t="s">
        <v>108</v>
      </c>
      <c r="E302" s="10">
        <v>215</v>
      </c>
      <c r="F302" s="10">
        <v>1529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U302" s="11" t="s">
        <v>1</v>
      </c>
    </row>
    <row r="303" spans="2:21" ht="12">
      <c r="B303" s="1" t="s">
        <v>199</v>
      </c>
      <c r="C303" s="9" t="s">
        <v>434</v>
      </c>
      <c r="D303" s="1" t="s">
        <v>108</v>
      </c>
      <c r="E303" s="10">
        <v>214</v>
      </c>
      <c r="F303" s="10">
        <v>1528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U303" s="11" t="s">
        <v>1</v>
      </c>
    </row>
    <row r="304" spans="2:21" ht="12">
      <c r="B304" s="1" t="s">
        <v>199</v>
      </c>
      <c r="C304" s="1" t="s">
        <v>435</v>
      </c>
      <c r="D304" s="1" t="s">
        <v>108</v>
      </c>
      <c r="E304" s="10">
        <v>213</v>
      </c>
      <c r="F304" s="10">
        <v>1527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U304" s="11" t="s">
        <v>1</v>
      </c>
    </row>
    <row r="305" spans="2:21" ht="12">
      <c r="B305" s="1" t="s">
        <v>199</v>
      </c>
      <c r="C305" s="9" t="s">
        <v>436</v>
      </c>
      <c r="D305" s="1" t="s">
        <v>108</v>
      </c>
      <c r="E305" s="10">
        <v>213</v>
      </c>
      <c r="F305" s="10">
        <v>1527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U305" s="11" t="s">
        <v>1</v>
      </c>
    </row>
    <row r="306" spans="2:21" ht="12">
      <c r="B306" s="1" t="s">
        <v>199</v>
      </c>
      <c r="C306" s="9" t="s">
        <v>437</v>
      </c>
      <c r="D306" s="1" t="s">
        <v>108</v>
      </c>
      <c r="E306" s="10">
        <v>213</v>
      </c>
      <c r="F306" s="10">
        <v>1527</v>
      </c>
      <c r="U306" s="11" t="s">
        <v>1</v>
      </c>
    </row>
    <row r="307" spans="2:21" ht="12">
      <c r="B307" s="1" t="s">
        <v>199</v>
      </c>
      <c r="C307" s="9" t="s">
        <v>438</v>
      </c>
      <c r="D307" s="1" t="s">
        <v>108</v>
      </c>
      <c r="E307" s="10">
        <v>213</v>
      </c>
      <c r="F307" s="10">
        <v>1527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U307" s="11" t="s">
        <v>1</v>
      </c>
    </row>
    <row r="308" spans="2:21" ht="12">
      <c r="B308" s="1" t="s">
        <v>199</v>
      </c>
      <c r="C308" s="9" t="s">
        <v>439</v>
      </c>
      <c r="D308" s="1" t="s">
        <v>108</v>
      </c>
      <c r="E308" s="10">
        <v>213</v>
      </c>
      <c r="F308" s="10">
        <v>1527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U308" s="11" t="s">
        <v>1</v>
      </c>
    </row>
    <row r="309" spans="2:21" ht="12">
      <c r="B309" s="1" t="s">
        <v>199</v>
      </c>
      <c r="C309" s="1" t="s">
        <v>440</v>
      </c>
      <c r="D309" s="1" t="s">
        <v>108</v>
      </c>
      <c r="E309" s="16">
        <v>213</v>
      </c>
      <c r="F309" s="10">
        <v>1527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U309" s="11" t="s">
        <v>1</v>
      </c>
    </row>
    <row r="310" spans="2:21" ht="12">
      <c r="B310" s="1" t="s">
        <v>199</v>
      </c>
      <c r="C310" s="1" t="s">
        <v>441</v>
      </c>
      <c r="D310" s="1" t="s">
        <v>108</v>
      </c>
      <c r="E310" s="10">
        <v>213</v>
      </c>
      <c r="F310" s="10">
        <v>1527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U310" s="11" t="s">
        <v>1</v>
      </c>
    </row>
    <row r="311" spans="2:21" ht="12">
      <c r="B311" s="1" t="s">
        <v>199</v>
      </c>
      <c r="C311" s="1" t="s">
        <v>442</v>
      </c>
      <c r="D311" s="1" t="s">
        <v>108</v>
      </c>
      <c r="E311" s="10">
        <v>213</v>
      </c>
      <c r="F311" s="10">
        <v>1527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U311" s="11" t="s">
        <v>1</v>
      </c>
    </row>
    <row r="312" spans="2:21" ht="12">
      <c r="B312" s="1" t="s">
        <v>199</v>
      </c>
      <c r="C312" s="1" t="s">
        <v>443</v>
      </c>
      <c r="D312" s="1" t="s">
        <v>108</v>
      </c>
      <c r="E312" s="10">
        <v>212</v>
      </c>
      <c r="F312" s="10">
        <v>1526</v>
      </c>
      <c r="U312" s="11" t="s">
        <v>1</v>
      </c>
    </row>
    <row r="313" spans="2:21" ht="12">
      <c r="B313" s="1" t="s">
        <v>199</v>
      </c>
      <c r="C313" s="9" t="s">
        <v>444</v>
      </c>
      <c r="D313" s="1" t="s">
        <v>108</v>
      </c>
      <c r="E313" s="10">
        <v>211</v>
      </c>
      <c r="F313" s="10">
        <v>1525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U313" s="11" t="s">
        <v>1</v>
      </c>
    </row>
    <row r="314" spans="2:21" ht="12">
      <c r="B314" s="1" t="s">
        <v>199</v>
      </c>
      <c r="C314" s="1" t="s">
        <v>445</v>
      </c>
      <c r="D314" s="1" t="s">
        <v>108</v>
      </c>
      <c r="E314" s="10">
        <v>210</v>
      </c>
      <c r="F314" s="10">
        <v>1524</v>
      </c>
      <c r="U314" s="11" t="s">
        <v>1</v>
      </c>
    </row>
    <row r="315" spans="2:21" ht="12">
      <c r="B315" s="1" t="s">
        <v>199</v>
      </c>
      <c r="C315" s="9" t="s">
        <v>446</v>
      </c>
      <c r="D315" s="1" t="s">
        <v>108</v>
      </c>
      <c r="E315" s="10">
        <v>210</v>
      </c>
      <c r="F315" s="10">
        <v>1524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U315" s="11" t="s">
        <v>1</v>
      </c>
    </row>
    <row r="316" spans="2:21" ht="12">
      <c r="B316" s="1" t="s">
        <v>199</v>
      </c>
      <c r="C316" s="9" t="s">
        <v>447</v>
      </c>
      <c r="D316" s="1" t="s">
        <v>108</v>
      </c>
      <c r="E316" s="10">
        <v>207</v>
      </c>
      <c r="F316" s="10">
        <v>1521</v>
      </c>
      <c r="U316" s="11" t="s">
        <v>1</v>
      </c>
    </row>
    <row r="317" spans="2:21" ht="12">
      <c r="B317" s="1" t="s">
        <v>199</v>
      </c>
      <c r="C317" s="1" t="s">
        <v>448</v>
      </c>
      <c r="D317" s="1" t="s">
        <v>108</v>
      </c>
      <c r="E317" s="10">
        <v>207</v>
      </c>
      <c r="F317" s="10">
        <v>1521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U317" s="11" t="s">
        <v>1</v>
      </c>
    </row>
    <row r="318" spans="2:21" ht="12">
      <c r="B318" s="1" t="s">
        <v>199</v>
      </c>
      <c r="C318" s="1" t="s">
        <v>449</v>
      </c>
      <c r="D318" s="1" t="s">
        <v>108</v>
      </c>
      <c r="E318" s="10">
        <v>207</v>
      </c>
      <c r="F318" s="10">
        <v>1521</v>
      </c>
      <c r="U318" s="11" t="s">
        <v>1</v>
      </c>
    </row>
    <row r="319" spans="2:21" ht="12">
      <c r="B319" s="1" t="s">
        <v>199</v>
      </c>
      <c r="C319" s="9" t="s">
        <v>450</v>
      </c>
      <c r="D319" s="1" t="s">
        <v>108</v>
      </c>
      <c r="E319" s="10">
        <v>207</v>
      </c>
      <c r="F319" s="10">
        <v>1521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U319" s="11" t="s">
        <v>1</v>
      </c>
    </row>
    <row r="320" spans="2:21" ht="12">
      <c r="B320" s="1" t="s">
        <v>199</v>
      </c>
      <c r="C320" s="9" t="s">
        <v>451</v>
      </c>
      <c r="D320" s="1" t="s">
        <v>108</v>
      </c>
      <c r="E320" s="10">
        <v>204</v>
      </c>
      <c r="F320" s="10">
        <v>1518</v>
      </c>
      <c r="U320" s="11" t="s">
        <v>1</v>
      </c>
    </row>
    <row r="321" spans="2:21" ht="12">
      <c r="B321" s="1" t="s">
        <v>199</v>
      </c>
      <c r="C321" s="1" t="s">
        <v>452</v>
      </c>
      <c r="D321" s="1" t="s">
        <v>108</v>
      </c>
      <c r="E321" s="10">
        <v>204</v>
      </c>
      <c r="F321" s="10">
        <v>1518</v>
      </c>
      <c r="U321" s="11" t="s">
        <v>1</v>
      </c>
    </row>
    <row r="322" spans="2:21" ht="12">
      <c r="B322" s="1" t="s">
        <v>199</v>
      </c>
      <c r="C322" s="1" t="s">
        <v>453</v>
      </c>
      <c r="D322" s="1" t="s">
        <v>174</v>
      </c>
      <c r="E322" s="10">
        <v>1089</v>
      </c>
      <c r="F322" s="10">
        <v>4053</v>
      </c>
      <c r="G322" s="10">
        <v>1089</v>
      </c>
      <c r="H322" s="10">
        <v>4053</v>
      </c>
      <c r="U322" s="11" t="s">
        <v>1</v>
      </c>
    </row>
    <row r="323" spans="1:21" ht="12">
      <c r="A323" s="1" t="s">
        <v>124</v>
      </c>
      <c r="B323" s="1" t="s">
        <v>201</v>
      </c>
      <c r="C323" s="1" t="s">
        <v>454</v>
      </c>
      <c r="D323" s="1" t="s">
        <v>105</v>
      </c>
      <c r="E323" s="3">
        <v>894</v>
      </c>
      <c r="F323" s="3">
        <v>2700</v>
      </c>
      <c r="G323" s="3">
        <v>909</v>
      </c>
      <c r="H323" s="3">
        <v>2841</v>
      </c>
      <c r="Q323" s="3">
        <v>1904</v>
      </c>
      <c r="R323" s="3">
        <v>5981</v>
      </c>
      <c r="U323" s="11" t="s">
        <v>1</v>
      </c>
    </row>
    <row r="324" spans="2:21" ht="12">
      <c r="B324" s="1" t="s">
        <v>201</v>
      </c>
      <c r="C324" s="1" t="s">
        <v>455</v>
      </c>
      <c r="D324" s="1" t="s">
        <v>105</v>
      </c>
      <c r="E324" s="3">
        <v>921</v>
      </c>
      <c r="F324" s="3">
        <v>2727</v>
      </c>
      <c r="G324" s="3">
        <v>944</v>
      </c>
      <c r="H324" s="3">
        <v>2876</v>
      </c>
      <c r="I324" s="3">
        <v>944</v>
      </c>
      <c r="J324" s="3">
        <v>2876</v>
      </c>
      <c r="K324" s="3">
        <v>2716</v>
      </c>
      <c r="L324" s="3">
        <v>6689</v>
      </c>
      <c r="M324" s="3">
        <v>2716</v>
      </c>
      <c r="N324" s="3">
        <v>6689</v>
      </c>
      <c r="S324" s="3">
        <v>1511</v>
      </c>
      <c r="T324" s="3">
        <v>4450</v>
      </c>
      <c r="U324" s="11" t="s">
        <v>1</v>
      </c>
    </row>
    <row r="325" spans="2:21" ht="12">
      <c r="B325" s="1" t="s">
        <v>201</v>
      </c>
      <c r="C325" s="1" t="s">
        <v>385</v>
      </c>
      <c r="D325" s="1" t="s">
        <v>98</v>
      </c>
      <c r="E325" s="3">
        <v>662</v>
      </c>
      <c r="F325" s="3">
        <v>1834</v>
      </c>
      <c r="G325" s="3">
        <v>626</v>
      </c>
      <c r="H325" s="3">
        <v>1751</v>
      </c>
      <c r="U325" s="11" t="s">
        <v>1</v>
      </c>
    </row>
    <row r="326" spans="2:21" ht="12">
      <c r="B326" s="1" t="s">
        <v>201</v>
      </c>
      <c r="C326" s="1" t="s">
        <v>456</v>
      </c>
      <c r="D326" s="1" t="s">
        <v>98</v>
      </c>
      <c r="E326" s="3">
        <v>659</v>
      </c>
      <c r="F326" s="3">
        <v>1831</v>
      </c>
      <c r="G326" s="3">
        <v>626</v>
      </c>
      <c r="H326" s="3">
        <v>1751</v>
      </c>
      <c r="O326" s="3">
        <v>1595</v>
      </c>
      <c r="P326" s="3">
        <v>3856</v>
      </c>
      <c r="U326" s="11" t="s">
        <v>1</v>
      </c>
    </row>
    <row r="327" spans="2:21" ht="12">
      <c r="B327" s="1" t="s">
        <v>201</v>
      </c>
      <c r="C327" s="1" t="s">
        <v>457</v>
      </c>
      <c r="D327" s="1" t="s">
        <v>98</v>
      </c>
      <c r="E327" s="3">
        <v>657</v>
      </c>
      <c r="F327" s="3">
        <v>1829</v>
      </c>
      <c r="G327" s="3">
        <v>624</v>
      </c>
      <c r="H327" s="3">
        <v>1749</v>
      </c>
      <c r="U327" s="11" t="s">
        <v>1</v>
      </c>
    </row>
    <row r="328" spans="2:21" ht="12">
      <c r="B328" s="1" t="s">
        <v>201</v>
      </c>
      <c r="C328" s="1" t="s">
        <v>458</v>
      </c>
      <c r="D328" s="1" t="s">
        <v>98</v>
      </c>
      <c r="E328" s="3">
        <v>653</v>
      </c>
      <c r="F328" s="3">
        <v>1825</v>
      </c>
      <c r="G328" s="3">
        <v>623</v>
      </c>
      <c r="H328" s="3">
        <v>1748</v>
      </c>
      <c r="U328" s="11" t="s">
        <v>1</v>
      </c>
    </row>
    <row r="329" spans="2:21" ht="12">
      <c r="B329" s="1" t="s">
        <v>201</v>
      </c>
      <c r="C329" s="1" t="s">
        <v>459</v>
      </c>
      <c r="D329" s="1" t="s">
        <v>98</v>
      </c>
      <c r="E329" s="3">
        <v>642</v>
      </c>
      <c r="F329" s="3">
        <v>1814</v>
      </c>
      <c r="G329" s="3">
        <v>612</v>
      </c>
      <c r="H329" s="3">
        <v>1737</v>
      </c>
      <c r="U329" s="11" t="s">
        <v>1</v>
      </c>
    </row>
    <row r="330" spans="2:21" ht="12">
      <c r="B330" s="1" t="s">
        <v>201</v>
      </c>
      <c r="C330" s="1" t="s">
        <v>460</v>
      </c>
      <c r="D330" s="1" t="s">
        <v>98</v>
      </c>
      <c r="E330" s="3">
        <v>637</v>
      </c>
      <c r="F330" s="3">
        <v>1809</v>
      </c>
      <c r="G330" s="3">
        <v>607</v>
      </c>
      <c r="H330" s="3">
        <v>1732</v>
      </c>
      <c r="U330" s="11" t="s">
        <v>1</v>
      </c>
    </row>
    <row r="331" spans="2:21" ht="12">
      <c r="B331" s="1" t="s">
        <v>201</v>
      </c>
      <c r="C331" s="1" t="s">
        <v>461</v>
      </c>
      <c r="D331" s="1" t="s">
        <v>106</v>
      </c>
      <c r="E331" s="3">
        <v>692</v>
      </c>
      <c r="F331" s="3">
        <v>1836</v>
      </c>
      <c r="U331" s="11" t="s">
        <v>1</v>
      </c>
    </row>
    <row r="332" spans="2:21" ht="12">
      <c r="B332" s="1" t="s">
        <v>201</v>
      </c>
      <c r="C332" s="1" t="s">
        <v>462</v>
      </c>
      <c r="D332" s="1" t="s">
        <v>106</v>
      </c>
      <c r="E332" s="3">
        <v>702</v>
      </c>
      <c r="F332" s="3">
        <v>1874</v>
      </c>
      <c r="U332" s="11" t="s">
        <v>1</v>
      </c>
    </row>
    <row r="333" spans="2:21" ht="12">
      <c r="B333" s="1" t="s">
        <v>201</v>
      </c>
      <c r="C333" s="1" t="s">
        <v>463</v>
      </c>
      <c r="D333" s="1" t="s">
        <v>106</v>
      </c>
      <c r="E333" s="3">
        <v>667</v>
      </c>
      <c r="F333" s="3">
        <v>1839</v>
      </c>
      <c r="U333" s="11" t="s">
        <v>1</v>
      </c>
    </row>
    <row r="334" spans="2:21" ht="12">
      <c r="B334" s="1" t="s">
        <v>201</v>
      </c>
      <c r="C334" s="1" t="s">
        <v>464</v>
      </c>
      <c r="D334" s="1" t="s">
        <v>106</v>
      </c>
      <c r="E334" s="3">
        <v>632</v>
      </c>
      <c r="F334" s="3">
        <v>1804</v>
      </c>
      <c r="U334" s="11" t="s">
        <v>1</v>
      </c>
    </row>
    <row r="335" spans="2:21" ht="12">
      <c r="B335" s="1" t="s">
        <v>201</v>
      </c>
      <c r="C335" s="1" t="s">
        <v>465</v>
      </c>
      <c r="D335" s="1" t="s">
        <v>108</v>
      </c>
      <c r="E335" s="3">
        <v>705</v>
      </c>
      <c r="F335" s="3">
        <v>2361</v>
      </c>
      <c r="U335" s="11" t="s">
        <v>1</v>
      </c>
    </row>
    <row r="336" spans="2:21" ht="12">
      <c r="B336" s="1" t="s">
        <v>201</v>
      </c>
      <c r="C336" s="1" t="s">
        <v>466</v>
      </c>
      <c r="D336" s="1" t="s">
        <v>108</v>
      </c>
      <c r="E336" s="3">
        <v>698</v>
      </c>
      <c r="F336" s="3">
        <v>2353</v>
      </c>
      <c r="U336" s="11" t="s">
        <v>1</v>
      </c>
    </row>
    <row r="337" spans="2:21" ht="12">
      <c r="B337" s="1" t="s">
        <v>201</v>
      </c>
      <c r="C337" s="1" t="s">
        <v>467</v>
      </c>
      <c r="D337" s="1" t="s">
        <v>108</v>
      </c>
      <c r="E337" s="3">
        <v>540</v>
      </c>
      <c r="F337" s="3">
        <v>1470</v>
      </c>
      <c r="U337" s="11" t="s">
        <v>1</v>
      </c>
    </row>
    <row r="338" spans="2:21" ht="12">
      <c r="B338" s="1" t="s">
        <v>201</v>
      </c>
      <c r="C338" s="1" t="s">
        <v>468</v>
      </c>
      <c r="D338" s="1" t="s">
        <v>108</v>
      </c>
      <c r="E338" s="3">
        <v>525</v>
      </c>
      <c r="F338" s="3">
        <v>1455</v>
      </c>
      <c r="U338" s="11" t="s">
        <v>1</v>
      </c>
    </row>
    <row r="339" spans="2:21" ht="12">
      <c r="B339" s="1" t="s">
        <v>201</v>
      </c>
      <c r="C339" s="1" t="s">
        <v>469</v>
      </c>
      <c r="D339" s="1" t="s">
        <v>108</v>
      </c>
      <c r="E339" s="3">
        <v>525</v>
      </c>
      <c r="F339" s="3">
        <v>1455</v>
      </c>
      <c r="U339" s="11" t="s">
        <v>1</v>
      </c>
    </row>
    <row r="340" spans="2:21" ht="12">
      <c r="B340" s="1" t="s">
        <v>201</v>
      </c>
      <c r="C340" s="1" t="s">
        <v>470</v>
      </c>
      <c r="D340" s="1" t="s">
        <v>108</v>
      </c>
      <c r="E340" s="3">
        <v>525</v>
      </c>
      <c r="F340" s="3">
        <v>1455</v>
      </c>
      <c r="U340" s="11" t="s">
        <v>1</v>
      </c>
    </row>
    <row r="341" spans="2:24" ht="12">
      <c r="B341" s="1" t="s">
        <v>201</v>
      </c>
      <c r="C341" s="1" t="s">
        <v>471</v>
      </c>
      <c r="D341" s="1" t="s">
        <v>108</v>
      </c>
      <c r="E341" s="3">
        <v>525</v>
      </c>
      <c r="F341" s="3">
        <v>1455</v>
      </c>
      <c r="U341" s="11" t="s">
        <v>1</v>
      </c>
      <c r="V341" s="7"/>
      <c r="W341" s="7"/>
      <c r="X341" s="7"/>
    </row>
    <row r="342" spans="2:24" ht="12">
      <c r="B342" s="1" t="s">
        <v>201</v>
      </c>
      <c r="C342" s="1" t="s">
        <v>472</v>
      </c>
      <c r="D342" s="1" t="s">
        <v>108</v>
      </c>
      <c r="E342" s="3">
        <v>510</v>
      </c>
      <c r="F342" s="3">
        <v>1440</v>
      </c>
      <c r="U342" s="11" t="s">
        <v>1</v>
      </c>
      <c r="V342" s="7"/>
      <c r="W342" s="7"/>
      <c r="X342" s="7"/>
    </row>
    <row r="343" spans="2:24" ht="12">
      <c r="B343" s="1" t="s">
        <v>201</v>
      </c>
      <c r="C343" s="1" t="s">
        <v>473</v>
      </c>
      <c r="D343" s="1" t="s">
        <v>108</v>
      </c>
      <c r="E343" s="3">
        <v>510</v>
      </c>
      <c r="F343" s="3">
        <v>1440</v>
      </c>
      <c r="U343" s="11" t="s">
        <v>1</v>
      </c>
      <c r="V343" s="7"/>
      <c r="W343" s="7"/>
      <c r="X343" s="7"/>
    </row>
    <row r="344" spans="2:24" ht="12">
      <c r="B344" s="1" t="s">
        <v>201</v>
      </c>
      <c r="C344" s="1" t="s">
        <v>474</v>
      </c>
      <c r="D344" s="1" t="s">
        <v>108</v>
      </c>
      <c r="E344" s="3">
        <v>495</v>
      </c>
      <c r="F344" s="3">
        <v>1425</v>
      </c>
      <c r="U344" s="11" t="s">
        <v>1</v>
      </c>
      <c r="V344" s="7"/>
      <c r="W344" s="7"/>
      <c r="X344" s="7"/>
    </row>
    <row r="345" spans="2:24" ht="12">
      <c r="B345" s="1" t="s">
        <v>201</v>
      </c>
      <c r="C345" s="1" t="s">
        <v>475</v>
      </c>
      <c r="D345" s="1" t="s">
        <v>108</v>
      </c>
      <c r="E345" s="3">
        <v>495</v>
      </c>
      <c r="F345" s="3">
        <v>1425</v>
      </c>
      <c r="U345" s="11" t="s">
        <v>1</v>
      </c>
      <c r="V345" s="7"/>
      <c r="W345" s="7"/>
      <c r="X345" s="7"/>
    </row>
    <row r="346" spans="2:24" ht="12">
      <c r="B346" s="1" t="s">
        <v>201</v>
      </c>
      <c r="C346" s="1" t="s">
        <v>476</v>
      </c>
      <c r="D346" s="1" t="s">
        <v>108</v>
      </c>
      <c r="E346" s="3">
        <v>495</v>
      </c>
      <c r="F346" s="3">
        <v>1425</v>
      </c>
      <c r="U346" s="11" t="s">
        <v>1</v>
      </c>
      <c r="V346" s="7"/>
      <c r="W346" s="7"/>
      <c r="X346" s="7"/>
    </row>
    <row r="347" spans="2:24" ht="12">
      <c r="B347" s="1" t="s">
        <v>201</v>
      </c>
      <c r="C347" s="1" t="s">
        <v>477</v>
      </c>
      <c r="D347" s="1" t="s">
        <v>108</v>
      </c>
      <c r="E347" s="3">
        <v>480</v>
      </c>
      <c r="F347" s="3">
        <v>1410</v>
      </c>
      <c r="U347" s="11" t="s">
        <v>1</v>
      </c>
      <c r="V347" s="7"/>
      <c r="W347" s="7"/>
      <c r="X347" s="7"/>
    </row>
    <row r="348" spans="2:24" ht="12">
      <c r="B348" s="1" t="s">
        <v>201</v>
      </c>
      <c r="C348" s="1" t="s">
        <v>478</v>
      </c>
      <c r="D348" s="1" t="s">
        <v>108</v>
      </c>
      <c r="E348" s="3">
        <v>465</v>
      </c>
      <c r="F348" s="3">
        <v>1395</v>
      </c>
      <c r="U348" s="11" t="s">
        <v>1</v>
      </c>
      <c r="V348" s="7"/>
      <c r="W348" s="7"/>
      <c r="X348" s="7"/>
    </row>
    <row r="349" spans="2:21" ht="12">
      <c r="B349" s="1" t="s">
        <v>201</v>
      </c>
      <c r="C349" s="1" t="s">
        <v>479</v>
      </c>
      <c r="D349" s="1" t="s">
        <v>108</v>
      </c>
      <c r="E349" s="3">
        <v>465</v>
      </c>
      <c r="F349" s="3">
        <v>1395</v>
      </c>
      <c r="U349" s="11" t="s">
        <v>1</v>
      </c>
    </row>
    <row r="350" spans="2:21" ht="12">
      <c r="B350" s="1" t="s">
        <v>201</v>
      </c>
      <c r="C350" s="1" t="s">
        <v>480</v>
      </c>
      <c r="D350" s="1" t="s">
        <v>108</v>
      </c>
      <c r="E350" s="3">
        <v>458</v>
      </c>
      <c r="F350" s="3">
        <v>1388</v>
      </c>
      <c r="U350" s="11" t="s">
        <v>1</v>
      </c>
    </row>
    <row r="351" spans="2:21" ht="12">
      <c r="B351" s="1" t="s">
        <v>201</v>
      </c>
      <c r="C351" s="1" t="s">
        <v>481</v>
      </c>
      <c r="D351" s="1" t="s">
        <v>174</v>
      </c>
      <c r="K351" s="3">
        <v>2768</v>
      </c>
      <c r="L351" s="3">
        <v>6113</v>
      </c>
      <c r="U351" s="11" t="s">
        <v>1</v>
      </c>
    </row>
    <row r="352" spans="1:21" ht="12">
      <c r="A352" s="1" t="s">
        <v>124</v>
      </c>
      <c r="B352" s="1" t="s">
        <v>203</v>
      </c>
      <c r="C352" s="9" t="s">
        <v>482</v>
      </c>
      <c r="D352" s="1" t="s">
        <v>105</v>
      </c>
      <c r="E352" s="10">
        <v>2028</v>
      </c>
      <c r="F352" s="10">
        <v>4148</v>
      </c>
      <c r="G352" s="10">
        <v>2028</v>
      </c>
      <c r="H352" s="10">
        <v>2028</v>
      </c>
      <c r="I352" s="10">
        <v>2228</v>
      </c>
      <c r="J352" s="10">
        <v>4448</v>
      </c>
      <c r="K352" s="10">
        <v>3600</v>
      </c>
      <c r="L352" s="10">
        <v>7200</v>
      </c>
      <c r="U352" s="11" t="s">
        <v>1</v>
      </c>
    </row>
    <row r="353" spans="2:21" ht="12">
      <c r="B353" s="1" t="s">
        <v>203</v>
      </c>
      <c r="C353" s="9" t="s">
        <v>483</v>
      </c>
      <c r="D353" s="1" t="s">
        <v>80</v>
      </c>
      <c r="E353" s="10">
        <v>1922</v>
      </c>
      <c r="F353" s="10">
        <v>4478</v>
      </c>
      <c r="G353" s="10">
        <v>1922</v>
      </c>
      <c r="H353" s="10">
        <v>1922</v>
      </c>
      <c r="U353" s="11" t="s">
        <v>1</v>
      </c>
    </row>
    <row r="354" spans="2:21" ht="12">
      <c r="B354" s="1" t="s">
        <v>203</v>
      </c>
      <c r="C354" s="1" t="s">
        <v>484</v>
      </c>
      <c r="D354" s="1" t="s">
        <v>88</v>
      </c>
      <c r="E354" s="10">
        <v>1200</v>
      </c>
      <c r="F354" s="10">
        <v>2400</v>
      </c>
      <c r="G354" s="10">
        <v>1200</v>
      </c>
      <c r="H354" s="10">
        <v>1200</v>
      </c>
      <c r="U354" s="11" t="s">
        <v>1</v>
      </c>
    </row>
    <row r="355" spans="2:21" ht="12">
      <c r="B355" s="1" t="s">
        <v>203</v>
      </c>
      <c r="C355" s="9" t="s">
        <v>485</v>
      </c>
      <c r="D355" s="1" t="s">
        <v>98</v>
      </c>
      <c r="E355" s="10">
        <v>1915</v>
      </c>
      <c r="F355" s="10">
        <v>4215</v>
      </c>
      <c r="G355" s="10">
        <v>1915</v>
      </c>
      <c r="H355" s="10">
        <v>1915</v>
      </c>
      <c r="U355" s="11" t="s">
        <v>1</v>
      </c>
    </row>
    <row r="356" spans="2:21" ht="12">
      <c r="B356" s="1" t="s">
        <v>203</v>
      </c>
      <c r="C356" s="9" t="s">
        <v>486</v>
      </c>
      <c r="D356" s="1" t="s">
        <v>98</v>
      </c>
      <c r="E356" s="10">
        <v>1760</v>
      </c>
      <c r="F356" s="10">
        <v>3036</v>
      </c>
      <c r="G356" s="10">
        <v>1760</v>
      </c>
      <c r="H356" s="10">
        <v>1760</v>
      </c>
      <c r="U356" s="11" t="s">
        <v>1</v>
      </c>
    </row>
    <row r="357" spans="2:21" ht="12">
      <c r="B357" s="1" t="s">
        <v>203</v>
      </c>
      <c r="C357" s="9" t="s">
        <v>487</v>
      </c>
      <c r="D357" s="1" t="s">
        <v>98</v>
      </c>
      <c r="E357" s="10">
        <v>1748</v>
      </c>
      <c r="F357" s="10">
        <v>3022</v>
      </c>
      <c r="G357" s="10">
        <v>1748</v>
      </c>
      <c r="H357" s="10">
        <v>1748</v>
      </c>
      <c r="U357" s="11" t="s">
        <v>1</v>
      </c>
    </row>
    <row r="358" spans="2:21" ht="12">
      <c r="B358" s="1" t="s">
        <v>203</v>
      </c>
      <c r="C358" s="9" t="s">
        <v>488</v>
      </c>
      <c r="D358" s="1" t="s">
        <v>98</v>
      </c>
      <c r="E358" s="10">
        <v>1470</v>
      </c>
      <c r="F358" s="10">
        <v>2070</v>
      </c>
      <c r="G358" s="10">
        <v>1470</v>
      </c>
      <c r="H358" s="10">
        <v>1470</v>
      </c>
      <c r="U358" s="11" t="s">
        <v>1</v>
      </c>
    </row>
    <row r="359" spans="2:21" ht="12">
      <c r="B359" s="1" t="s">
        <v>203</v>
      </c>
      <c r="C359" s="9" t="s">
        <v>489</v>
      </c>
      <c r="D359" s="1" t="s">
        <v>98</v>
      </c>
      <c r="E359" s="10">
        <v>1100</v>
      </c>
      <c r="F359" s="10">
        <v>2200</v>
      </c>
      <c r="G359" s="10">
        <v>1100</v>
      </c>
      <c r="H359" s="10">
        <v>1100</v>
      </c>
      <c r="U359" s="11" t="s">
        <v>1</v>
      </c>
    </row>
    <row r="360" spans="2:21" ht="12">
      <c r="B360" s="1" t="s">
        <v>203</v>
      </c>
      <c r="C360" s="9" t="s">
        <v>490</v>
      </c>
      <c r="D360" s="1" t="s">
        <v>106</v>
      </c>
      <c r="E360" s="10">
        <v>1400</v>
      </c>
      <c r="F360" s="10">
        <v>2940</v>
      </c>
      <c r="U360" s="11" t="s">
        <v>1</v>
      </c>
    </row>
    <row r="361" spans="2:21" ht="12">
      <c r="B361" s="1" t="s">
        <v>203</v>
      </c>
      <c r="C361" s="9" t="s">
        <v>491</v>
      </c>
      <c r="D361" s="1" t="s">
        <v>106</v>
      </c>
      <c r="E361" s="10">
        <v>1400</v>
      </c>
      <c r="F361" s="10">
        <v>2940</v>
      </c>
      <c r="U361" s="11" t="s">
        <v>1</v>
      </c>
    </row>
    <row r="362" spans="2:21" ht="12">
      <c r="B362" s="1" t="s">
        <v>203</v>
      </c>
      <c r="C362" s="9" t="s">
        <v>492</v>
      </c>
      <c r="D362" s="1" t="s">
        <v>106</v>
      </c>
      <c r="E362" s="10">
        <v>1400</v>
      </c>
      <c r="F362" s="10">
        <v>2940</v>
      </c>
      <c r="U362" s="11" t="s">
        <v>1</v>
      </c>
    </row>
    <row r="363" spans="2:21" ht="12">
      <c r="B363" s="1" t="s">
        <v>203</v>
      </c>
      <c r="C363" s="9" t="s">
        <v>493</v>
      </c>
      <c r="D363" s="1" t="s">
        <v>107</v>
      </c>
      <c r="E363" s="10">
        <v>1200</v>
      </c>
      <c r="F363" s="10">
        <v>2570</v>
      </c>
      <c r="U363" s="11" t="s">
        <v>1</v>
      </c>
    </row>
    <row r="364" spans="2:21" ht="12">
      <c r="B364" s="1" t="s">
        <v>203</v>
      </c>
      <c r="C364" s="9" t="s">
        <v>494</v>
      </c>
      <c r="D364" s="1" t="s">
        <v>107</v>
      </c>
      <c r="E364" s="10">
        <v>1200</v>
      </c>
      <c r="F364" s="10">
        <v>2570</v>
      </c>
      <c r="G364" s="14" t="s">
        <v>495</v>
      </c>
      <c r="H364" s="14" t="s">
        <v>495</v>
      </c>
      <c r="I364" s="10"/>
      <c r="J364" s="14" t="s">
        <v>495</v>
      </c>
      <c r="K364" s="10"/>
      <c r="L364" s="10"/>
      <c r="U364" s="11" t="s">
        <v>1</v>
      </c>
    </row>
    <row r="365" spans="2:21" ht="12">
      <c r="B365" s="1" t="s">
        <v>203</v>
      </c>
      <c r="C365" s="9" t="s">
        <v>496</v>
      </c>
      <c r="D365" s="1" t="s">
        <v>107</v>
      </c>
      <c r="E365" s="10">
        <v>1200</v>
      </c>
      <c r="F365" s="10">
        <v>2570</v>
      </c>
      <c r="U365" s="11" t="s">
        <v>1</v>
      </c>
    </row>
    <row r="366" spans="2:21" ht="12">
      <c r="B366" s="1" t="s">
        <v>203</v>
      </c>
      <c r="C366" s="9" t="s">
        <v>497</v>
      </c>
      <c r="D366" s="1" t="s">
        <v>107</v>
      </c>
      <c r="E366" s="10">
        <v>1200</v>
      </c>
      <c r="F366" s="10">
        <v>2570</v>
      </c>
      <c r="U366" s="11" t="s">
        <v>1</v>
      </c>
    </row>
    <row r="367" spans="2:21" ht="12">
      <c r="B367" s="1" t="s">
        <v>203</v>
      </c>
      <c r="C367" s="9" t="s">
        <v>498</v>
      </c>
      <c r="D367" s="1" t="s">
        <v>107</v>
      </c>
      <c r="E367" s="10">
        <v>1200</v>
      </c>
      <c r="F367" s="10">
        <v>2570</v>
      </c>
      <c r="G367" s="14" t="s">
        <v>495</v>
      </c>
      <c r="H367" s="14" t="s">
        <v>495</v>
      </c>
      <c r="U367" s="11" t="s">
        <v>1</v>
      </c>
    </row>
    <row r="368" spans="2:21" ht="12">
      <c r="B368" s="1" t="s">
        <v>203</v>
      </c>
      <c r="C368" s="9" t="s">
        <v>499</v>
      </c>
      <c r="D368" s="1" t="s">
        <v>108</v>
      </c>
      <c r="E368" s="10">
        <f>250*3</f>
        <v>750</v>
      </c>
      <c r="F368" s="10">
        <f>500*3</f>
        <v>1500</v>
      </c>
      <c r="U368" s="11" t="s">
        <v>1</v>
      </c>
    </row>
    <row r="369" spans="2:21" ht="12">
      <c r="B369" s="1" t="s">
        <v>203</v>
      </c>
      <c r="C369" s="9" t="s">
        <v>500</v>
      </c>
      <c r="D369" s="1" t="s">
        <v>108</v>
      </c>
      <c r="E369" s="10">
        <v>600</v>
      </c>
      <c r="F369" s="10">
        <v>1200</v>
      </c>
      <c r="U369" s="11" t="s">
        <v>1</v>
      </c>
    </row>
    <row r="370" spans="2:21" ht="12">
      <c r="B370" s="1" t="s">
        <v>203</v>
      </c>
      <c r="C370" s="9" t="s">
        <v>501</v>
      </c>
      <c r="D370" s="1" t="s">
        <v>108</v>
      </c>
      <c r="E370" s="10">
        <f>200*3</f>
        <v>600</v>
      </c>
      <c r="F370" s="10">
        <f>396*3</f>
        <v>1188</v>
      </c>
      <c r="G370" s="14" t="s">
        <v>495</v>
      </c>
      <c r="H370" s="14" t="s">
        <v>495</v>
      </c>
      <c r="U370" s="11" t="s">
        <v>1</v>
      </c>
    </row>
    <row r="371" spans="2:21" ht="12">
      <c r="B371" s="1" t="s">
        <v>203</v>
      </c>
      <c r="C371" s="1" t="s">
        <v>502</v>
      </c>
      <c r="D371" s="1" t="s">
        <v>108</v>
      </c>
      <c r="E371" s="10">
        <f>195*3</f>
        <v>585</v>
      </c>
      <c r="F371" s="10">
        <f>390*3</f>
        <v>1170</v>
      </c>
      <c r="G371" s="14" t="s">
        <v>495</v>
      </c>
      <c r="H371" s="14" t="s">
        <v>495</v>
      </c>
      <c r="K371" s="10"/>
      <c r="L371" s="10"/>
      <c r="M371" s="10"/>
      <c r="N371" s="14" t="s">
        <v>495</v>
      </c>
      <c r="U371" s="11" t="s">
        <v>1</v>
      </c>
    </row>
    <row r="372" spans="2:21" ht="12">
      <c r="B372" s="1" t="s">
        <v>203</v>
      </c>
      <c r="C372" s="9" t="s">
        <v>503</v>
      </c>
      <c r="D372" s="1" t="s">
        <v>108</v>
      </c>
      <c r="E372" s="10">
        <f>225*3</f>
        <v>675</v>
      </c>
      <c r="F372" s="10">
        <f>350*3</f>
        <v>1050</v>
      </c>
      <c r="G372" s="14" t="s">
        <v>495</v>
      </c>
      <c r="H372" s="14" t="s">
        <v>495</v>
      </c>
      <c r="U372" s="11" t="s">
        <v>1</v>
      </c>
    </row>
    <row r="373" spans="2:21" ht="12">
      <c r="B373" s="1" t="s">
        <v>203</v>
      </c>
      <c r="C373" s="9" t="s">
        <v>504</v>
      </c>
      <c r="D373" s="1" t="s">
        <v>108</v>
      </c>
      <c r="E373" s="10">
        <f>198*3</f>
        <v>594</v>
      </c>
      <c r="F373" s="10">
        <f>312*3</f>
        <v>936</v>
      </c>
      <c r="U373" s="11" t="s">
        <v>1</v>
      </c>
    </row>
    <row r="374" spans="2:21" ht="12">
      <c r="B374" s="1" t="s">
        <v>203</v>
      </c>
      <c r="C374" s="9" t="s">
        <v>505</v>
      </c>
      <c r="D374" s="1" t="s">
        <v>108</v>
      </c>
      <c r="E374" s="10">
        <f>225*3</f>
        <v>675</v>
      </c>
      <c r="F374" s="10">
        <v>900</v>
      </c>
      <c r="G374" s="14" t="s">
        <v>495</v>
      </c>
      <c r="H374" s="14" t="s">
        <v>495</v>
      </c>
      <c r="U374" s="11" t="s">
        <v>1</v>
      </c>
    </row>
    <row r="375" spans="2:21" ht="12">
      <c r="B375" s="1" t="s">
        <v>203</v>
      </c>
      <c r="C375" s="9" t="s">
        <v>506</v>
      </c>
      <c r="D375" s="1" t="s">
        <v>108</v>
      </c>
      <c r="E375" s="10">
        <f>204.29*3</f>
        <v>612.87</v>
      </c>
      <c r="F375" s="10">
        <v>900</v>
      </c>
      <c r="U375" s="11" t="s">
        <v>1</v>
      </c>
    </row>
    <row r="376" spans="2:21" ht="12">
      <c r="B376" s="1" t="s">
        <v>203</v>
      </c>
      <c r="C376" s="9" t="s">
        <v>507</v>
      </c>
      <c r="D376" s="1" t="s">
        <v>108</v>
      </c>
      <c r="E376" s="10">
        <f>150*3</f>
        <v>450</v>
      </c>
      <c r="F376" s="10">
        <f>300*3</f>
        <v>900</v>
      </c>
      <c r="U376" s="11" t="s">
        <v>1</v>
      </c>
    </row>
    <row r="377" spans="2:21" ht="12">
      <c r="B377" s="1" t="s">
        <v>203</v>
      </c>
      <c r="C377" s="9" t="s">
        <v>508</v>
      </c>
      <c r="D377" s="1" t="s">
        <v>108</v>
      </c>
      <c r="E377" s="10">
        <v>600</v>
      </c>
      <c r="F377" s="10">
        <f>295*3</f>
        <v>885</v>
      </c>
      <c r="G377" s="14" t="s">
        <v>495</v>
      </c>
      <c r="H377" s="14" t="s">
        <v>495</v>
      </c>
      <c r="U377" s="11" t="s">
        <v>1</v>
      </c>
    </row>
    <row r="378" spans="2:21" ht="12">
      <c r="B378" s="1" t="s">
        <v>203</v>
      </c>
      <c r="C378" s="9" t="s">
        <v>509</v>
      </c>
      <c r="D378" s="1" t="s">
        <v>108</v>
      </c>
      <c r="E378" s="10">
        <f>190*3</f>
        <v>570</v>
      </c>
      <c r="F378" s="10">
        <f>290*3</f>
        <v>870</v>
      </c>
      <c r="U378" s="11" t="s">
        <v>1</v>
      </c>
    </row>
    <row r="379" spans="2:21" ht="12">
      <c r="B379" s="1" t="s">
        <v>203</v>
      </c>
      <c r="C379" s="9" t="s">
        <v>510</v>
      </c>
      <c r="D379" s="1" t="s">
        <v>108</v>
      </c>
      <c r="E379" s="10">
        <f>155*3</f>
        <v>465</v>
      </c>
      <c r="F379" s="10">
        <f>287.5*3</f>
        <v>862.5</v>
      </c>
      <c r="U379" s="11" t="s">
        <v>1</v>
      </c>
    </row>
    <row r="380" spans="2:21" ht="12">
      <c r="B380" s="1" t="s">
        <v>203</v>
      </c>
      <c r="C380" s="9" t="s">
        <v>511</v>
      </c>
      <c r="D380" s="1" t="s">
        <v>108</v>
      </c>
      <c r="E380" s="10">
        <f>132*3</f>
        <v>396</v>
      </c>
      <c r="F380" s="10">
        <f>264*3</f>
        <v>792</v>
      </c>
      <c r="G380" s="14" t="s">
        <v>495</v>
      </c>
      <c r="H380" s="14" t="s">
        <v>495</v>
      </c>
      <c r="U380" s="11" t="s">
        <v>1</v>
      </c>
    </row>
    <row r="381" spans="2:21" ht="12">
      <c r="B381" s="1" t="s">
        <v>203</v>
      </c>
      <c r="C381" s="9" t="s">
        <v>512</v>
      </c>
      <c r="D381" s="1" t="s">
        <v>108</v>
      </c>
      <c r="E381" s="10">
        <f>160*3</f>
        <v>480</v>
      </c>
      <c r="F381" s="10">
        <f>260*3</f>
        <v>780</v>
      </c>
      <c r="G381" s="14" t="s">
        <v>495</v>
      </c>
      <c r="H381" s="14" t="s">
        <v>495</v>
      </c>
      <c r="U381" s="11" t="s">
        <v>1</v>
      </c>
    </row>
    <row r="382" spans="2:21" ht="12">
      <c r="B382" s="1" t="s">
        <v>203</v>
      </c>
      <c r="C382" s="9" t="s">
        <v>513</v>
      </c>
      <c r="D382" s="1" t="s">
        <v>108</v>
      </c>
      <c r="E382" s="10">
        <f>175*3</f>
        <v>525</v>
      </c>
      <c r="F382" s="10">
        <f>250*3</f>
        <v>750</v>
      </c>
      <c r="G382" s="14" t="s">
        <v>495</v>
      </c>
      <c r="H382" s="14" t="s">
        <v>495</v>
      </c>
      <c r="U382" s="11" t="s">
        <v>1</v>
      </c>
    </row>
    <row r="383" spans="2:21" ht="12">
      <c r="B383" s="1" t="s">
        <v>203</v>
      </c>
      <c r="C383" s="9" t="s">
        <v>514</v>
      </c>
      <c r="D383" s="1" t="s">
        <v>108</v>
      </c>
      <c r="E383" s="10">
        <f>150*3</f>
        <v>450</v>
      </c>
      <c r="F383" s="10">
        <f>150*3</f>
        <v>450</v>
      </c>
      <c r="G383" s="14" t="s">
        <v>495</v>
      </c>
      <c r="H383" s="14" t="s">
        <v>495</v>
      </c>
      <c r="U383" s="11" t="s">
        <v>1</v>
      </c>
    </row>
    <row r="384" spans="2:21" ht="12">
      <c r="B384" s="1" t="s">
        <v>203</v>
      </c>
      <c r="C384" s="1" t="s">
        <v>515</v>
      </c>
      <c r="D384" s="1" t="s">
        <v>174</v>
      </c>
      <c r="E384" s="10">
        <v>1399</v>
      </c>
      <c r="F384" s="10">
        <v>2801</v>
      </c>
      <c r="G384" s="10">
        <v>1399</v>
      </c>
      <c r="H384" s="10">
        <v>1399</v>
      </c>
      <c r="K384" s="10">
        <v>3300</v>
      </c>
      <c r="L384" s="10">
        <v>6600</v>
      </c>
      <c r="M384" s="10">
        <v>2300</v>
      </c>
      <c r="N384" s="10">
        <v>4600</v>
      </c>
      <c r="U384" s="11" t="s">
        <v>1</v>
      </c>
    </row>
    <row r="385" spans="1:21" ht="12">
      <c r="A385" s="1" t="s">
        <v>124</v>
      </c>
      <c r="B385" s="1" t="s">
        <v>205</v>
      </c>
      <c r="C385" s="1" t="s">
        <v>516</v>
      </c>
      <c r="D385" s="1" t="s">
        <v>105</v>
      </c>
      <c r="E385" s="3">
        <v>1323</v>
      </c>
      <c r="F385" s="3">
        <v>3756</v>
      </c>
      <c r="G385" s="3">
        <v>1605</v>
      </c>
      <c r="H385" s="3">
        <v>4038</v>
      </c>
      <c r="I385" s="3">
        <v>1774</v>
      </c>
      <c r="J385" s="3">
        <v>4206</v>
      </c>
      <c r="U385" s="11" t="s">
        <v>1</v>
      </c>
    </row>
    <row r="386" spans="2:21" ht="12">
      <c r="B386" s="1" t="s">
        <v>205</v>
      </c>
      <c r="C386" s="1" t="s">
        <v>361</v>
      </c>
      <c r="D386" s="1" t="s">
        <v>80</v>
      </c>
      <c r="E386" s="3">
        <v>1220</v>
      </c>
      <c r="F386" s="3">
        <v>3650</v>
      </c>
      <c r="G386" s="3">
        <v>1470</v>
      </c>
      <c r="H386" s="3">
        <v>3900</v>
      </c>
      <c r="I386" s="3">
        <v>1816</v>
      </c>
      <c r="J386" s="3">
        <v>4246</v>
      </c>
      <c r="U386" s="11" t="s">
        <v>1</v>
      </c>
    </row>
    <row r="387" spans="2:21" ht="12">
      <c r="B387" s="1" t="s">
        <v>205</v>
      </c>
      <c r="C387" s="1" t="s">
        <v>517</v>
      </c>
      <c r="D387" s="1" t="s">
        <v>88</v>
      </c>
      <c r="E387" s="3">
        <v>1092</v>
      </c>
      <c r="F387" s="3">
        <v>3522</v>
      </c>
      <c r="G387" s="3">
        <v>1404</v>
      </c>
      <c r="H387" s="3">
        <v>3834</v>
      </c>
      <c r="U387" s="11" t="s">
        <v>1</v>
      </c>
    </row>
    <row r="388" spans="2:21" ht="12">
      <c r="B388" s="1" t="s">
        <v>205</v>
      </c>
      <c r="C388" s="1" t="s">
        <v>518</v>
      </c>
      <c r="D388" s="1" t="s">
        <v>88</v>
      </c>
      <c r="E388" s="3">
        <v>1040</v>
      </c>
      <c r="F388" s="3">
        <v>3470</v>
      </c>
      <c r="G388" s="3">
        <v>1352</v>
      </c>
      <c r="H388" s="3">
        <v>3782</v>
      </c>
      <c r="U388" s="11" t="s">
        <v>1</v>
      </c>
    </row>
    <row r="389" spans="2:21" ht="12">
      <c r="B389" s="1" t="s">
        <v>205</v>
      </c>
      <c r="C389" s="1" t="s">
        <v>519</v>
      </c>
      <c r="D389" s="1" t="s">
        <v>88</v>
      </c>
      <c r="E389" s="3">
        <v>1066</v>
      </c>
      <c r="F389" s="3">
        <v>3496</v>
      </c>
      <c r="G389" s="3">
        <v>1378</v>
      </c>
      <c r="H389" s="3">
        <v>3808</v>
      </c>
      <c r="U389" s="11" t="s">
        <v>1</v>
      </c>
    </row>
    <row r="390" spans="2:21" ht="12">
      <c r="B390" s="1" t="s">
        <v>205</v>
      </c>
      <c r="C390" s="1" t="s">
        <v>520</v>
      </c>
      <c r="D390" s="1" t="s">
        <v>88</v>
      </c>
      <c r="E390" s="3">
        <v>1062</v>
      </c>
      <c r="F390" s="3">
        <v>3492</v>
      </c>
      <c r="G390" s="3">
        <v>1374</v>
      </c>
      <c r="H390" s="3">
        <v>3804</v>
      </c>
      <c r="K390" s="3">
        <v>5378</v>
      </c>
      <c r="L390" s="3">
        <v>8524</v>
      </c>
      <c r="U390" s="11" t="s">
        <v>1</v>
      </c>
    </row>
    <row r="391" spans="2:21" ht="12">
      <c r="B391" s="1" t="s">
        <v>205</v>
      </c>
      <c r="C391" s="1" t="s">
        <v>521</v>
      </c>
      <c r="D391" s="1" t="s">
        <v>98</v>
      </c>
      <c r="E391" s="3">
        <v>1125</v>
      </c>
      <c r="F391" s="3">
        <v>3555</v>
      </c>
      <c r="G391" s="3">
        <v>1437</v>
      </c>
      <c r="H391" s="3">
        <v>3867</v>
      </c>
      <c r="U391" s="11" t="s">
        <v>1</v>
      </c>
    </row>
    <row r="392" spans="2:21" ht="12">
      <c r="B392" s="1" t="s">
        <v>205</v>
      </c>
      <c r="C392" s="1" t="s">
        <v>522</v>
      </c>
      <c r="D392" s="1" t="s">
        <v>98</v>
      </c>
      <c r="E392" s="3">
        <v>1154</v>
      </c>
      <c r="F392" s="3">
        <v>3586</v>
      </c>
      <c r="G392" s="3">
        <v>1482</v>
      </c>
      <c r="H392" s="3">
        <v>3914</v>
      </c>
      <c r="U392" s="11" t="s">
        <v>1</v>
      </c>
    </row>
    <row r="393" spans="2:21" ht="12">
      <c r="B393" s="1" t="s">
        <v>205</v>
      </c>
      <c r="C393" s="1" t="s">
        <v>523</v>
      </c>
      <c r="D393" s="1" t="s">
        <v>98</v>
      </c>
      <c r="E393" s="3">
        <v>1173</v>
      </c>
      <c r="F393" s="3">
        <v>3606</v>
      </c>
      <c r="G393" s="3">
        <v>1464</v>
      </c>
      <c r="H393" s="3">
        <v>3897</v>
      </c>
      <c r="U393" s="11" t="s">
        <v>1</v>
      </c>
    </row>
    <row r="394" spans="2:21" ht="12">
      <c r="B394" s="1" t="s">
        <v>205</v>
      </c>
      <c r="C394" s="1" t="s">
        <v>524</v>
      </c>
      <c r="D394" s="1" t="s">
        <v>108</v>
      </c>
      <c r="E394" s="3">
        <v>639</v>
      </c>
      <c r="F394" s="3">
        <v>3069</v>
      </c>
      <c r="U394" s="11" t="s">
        <v>1</v>
      </c>
    </row>
    <row r="395" spans="2:21" ht="12">
      <c r="B395" s="1" t="s">
        <v>205</v>
      </c>
      <c r="C395" s="1" t="s">
        <v>525</v>
      </c>
      <c r="D395" s="1" t="s">
        <v>108</v>
      </c>
      <c r="E395" s="3">
        <v>636</v>
      </c>
      <c r="F395" s="3">
        <v>3066</v>
      </c>
      <c r="U395" s="11" t="s">
        <v>1</v>
      </c>
    </row>
    <row r="396" spans="2:21" ht="12">
      <c r="B396" s="1" t="s">
        <v>205</v>
      </c>
      <c r="C396" s="1" t="s">
        <v>526</v>
      </c>
      <c r="D396" s="1" t="s">
        <v>108</v>
      </c>
      <c r="E396" s="3">
        <v>636</v>
      </c>
      <c r="F396" s="3">
        <v>3066</v>
      </c>
      <c r="U396" s="11" t="s">
        <v>1</v>
      </c>
    </row>
    <row r="397" spans="2:21" ht="12">
      <c r="B397" s="1" t="s">
        <v>205</v>
      </c>
      <c r="C397" s="1" t="s">
        <v>527</v>
      </c>
      <c r="D397" s="1" t="s">
        <v>108</v>
      </c>
      <c r="E397" s="3">
        <v>636</v>
      </c>
      <c r="F397" s="3">
        <v>3066</v>
      </c>
      <c r="U397" s="11" t="s">
        <v>1</v>
      </c>
    </row>
    <row r="398" spans="2:21" ht="12">
      <c r="B398" s="1" t="s">
        <v>205</v>
      </c>
      <c r="C398" s="1" t="s">
        <v>528</v>
      </c>
      <c r="D398" s="1" t="s">
        <v>108</v>
      </c>
      <c r="E398" s="3">
        <v>636</v>
      </c>
      <c r="F398" s="3">
        <v>3066</v>
      </c>
      <c r="U398" s="11" t="s">
        <v>1</v>
      </c>
    </row>
    <row r="399" spans="2:21" ht="12">
      <c r="B399" s="1" t="s">
        <v>205</v>
      </c>
      <c r="C399" s="1" t="s">
        <v>529</v>
      </c>
      <c r="D399" s="1" t="s">
        <v>108</v>
      </c>
      <c r="E399" s="3">
        <v>636</v>
      </c>
      <c r="F399" s="3">
        <v>3066</v>
      </c>
      <c r="U399" s="11" t="s">
        <v>1</v>
      </c>
    </row>
    <row r="400" spans="2:21" ht="12">
      <c r="B400" s="1" t="s">
        <v>205</v>
      </c>
      <c r="C400" s="1" t="s">
        <v>530</v>
      </c>
      <c r="D400" s="1" t="s">
        <v>108</v>
      </c>
      <c r="E400" s="3">
        <v>636</v>
      </c>
      <c r="F400" s="3">
        <v>3066</v>
      </c>
      <c r="U400" s="11" t="s">
        <v>1</v>
      </c>
    </row>
    <row r="401" spans="2:21" ht="12">
      <c r="B401" s="1" t="s">
        <v>205</v>
      </c>
      <c r="C401" s="1" t="s">
        <v>531</v>
      </c>
      <c r="D401" s="1" t="s">
        <v>108</v>
      </c>
      <c r="E401" s="3">
        <v>636</v>
      </c>
      <c r="F401" s="3">
        <v>3066</v>
      </c>
      <c r="U401" s="11" t="s">
        <v>1</v>
      </c>
    </row>
    <row r="402" spans="2:21" ht="12">
      <c r="B402" s="1" t="s">
        <v>205</v>
      </c>
      <c r="C402" s="1" t="s">
        <v>532</v>
      </c>
      <c r="D402" s="1" t="s">
        <v>108</v>
      </c>
      <c r="E402" s="3">
        <v>636</v>
      </c>
      <c r="F402" s="3">
        <v>3066</v>
      </c>
      <c r="U402" s="11" t="s">
        <v>1</v>
      </c>
    </row>
    <row r="403" spans="2:21" ht="12">
      <c r="B403" s="1" t="s">
        <v>205</v>
      </c>
      <c r="C403" s="1" t="s">
        <v>533</v>
      </c>
      <c r="D403" s="1" t="s">
        <v>108</v>
      </c>
      <c r="E403" s="3">
        <v>636</v>
      </c>
      <c r="F403" s="3">
        <v>3066</v>
      </c>
      <c r="U403" s="11" t="s">
        <v>1</v>
      </c>
    </row>
    <row r="404" spans="2:21" ht="12">
      <c r="B404" s="1" t="s">
        <v>205</v>
      </c>
      <c r="C404" s="1" t="s">
        <v>534</v>
      </c>
      <c r="D404" s="1" t="s">
        <v>108</v>
      </c>
      <c r="E404" s="3">
        <v>636</v>
      </c>
      <c r="F404" s="3">
        <v>3066</v>
      </c>
      <c r="U404" s="11" t="s">
        <v>1</v>
      </c>
    </row>
    <row r="405" spans="2:21" ht="12">
      <c r="B405" s="1" t="s">
        <v>205</v>
      </c>
      <c r="C405" s="1" t="s">
        <v>535</v>
      </c>
      <c r="D405" s="1" t="s">
        <v>108</v>
      </c>
      <c r="E405" s="3">
        <v>636</v>
      </c>
      <c r="F405" s="3">
        <v>3066</v>
      </c>
      <c r="U405" s="11" t="s">
        <v>1</v>
      </c>
    </row>
    <row r="406" spans="2:21" ht="12">
      <c r="B406" s="1" t="s">
        <v>205</v>
      </c>
      <c r="C406" s="1" t="s">
        <v>536</v>
      </c>
      <c r="D406" s="1" t="s">
        <v>108</v>
      </c>
      <c r="E406" s="3">
        <v>636</v>
      </c>
      <c r="F406" s="3">
        <v>3066</v>
      </c>
      <c r="U406" s="11" t="s">
        <v>1</v>
      </c>
    </row>
    <row r="407" spans="2:21" ht="12">
      <c r="B407" s="1" t="s">
        <v>205</v>
      </c>
      <c r="C407" s="1" t="s">
        <v>537</v>
      </c>
      <c r="D407" s="1" t="s">
        <v>108</v>
      </c>
      <c r="E407" s="3">
        <v>636</v>
      </c>
      <c r="F407" s="3">
        <v>3066</v>
      </c>
      <c r="U407" s="11" t="s">
        <v>1</v>
      </c>
    </row>
    <row r="408" spans="2:21" ht="12">
      <c r="B408" s="1" t="s">
        <v>205</v>
      </c>
      <c r="C408" s="1" t="s">
        <v>233</v>
      </c>
      <c r="D408" s="1" t="s">
        <v>110</v>
      </c>
      <c r="E408" s="3">
        <v>153</v>
      </c>
      <c r="U408" s="11" t="s">
        <v>1</v>
      </c>
    </row>
    <row r="409" spans="2:21" ht="12">
      <c r="B409" s="1" t="s">
        <v>205</v>
      </c>
      <c r="C409" s="1" t="s">
        <v>538</v>
      </c>
      <c r="D409" s="1" t="s">
        <v>174</v>
      </c>
      <c r="E409" s="3">
        <v>1236</v>
      </c>
      <c r="F409" s="3">
        <v>3669</v>
      </c>
      <c r="G409" s="3">
        <v>1518</v>
      </c>
      <c r="H409" s="3">
        <v>3951</v>
      </c>
      <c r="U409" s="11" t="s">
        <v>1</v>
      </c>
    </row>
    <row r="410" spans="2:21" ht="12">
      <c r="B410" s="1" t="s">
        <v>205</v>
      </c>
      <c r="C410" s="1" t="s">
        <v>539</v>
      </c>
      <c r="D410" s="1" t="s">
        <v>174</v>
      </c>
      <c r="Q410" s="3">
        <v>2589</v>
      </c>
      <c r="R410" s="3">
        <v>5022</v>
      </c>
      <c r="U410" s="11" t="s">
        <v>1</v>
      </c>
    </row>
    <row r="411" spans="2:21" ht="12">
      <c r="B411" s="1" t="s">
        <v>205</v>
      </c>
      <c r="C411" s="1" t="s">
        <v>540</v>
      </c>
      <c r="D411" s="1" t="s">
        <v>174</v>
      </c>
      <c r="K411" s="3">
        <v>5478</v>
      </c>
      <c r="L411" s="3">
        <v>8625</v>
      </c>
      <c r="M411" s="3">
        <v>3678</v>
      </c>
      <c r="N411" s="3">
        <v>6825</v>
      </c>
      <c r="S411" s="3">
        <f>(1464+1134+1134+1134+1134+1134+2019+2214+2625+1134+2625)/11</f>
        <v>1613.7272727272727</v>
      </c>
      <c r="T411" s="3">
        <f>(3894+3564+3564+3564+3564+3564+4449+4644+5055+3564+5055)/11</f>
        <v>4043.7272727272725</v>
      </c>
      <c r="U411" s="11" t="s">
        <v>1</v>
      </c>
    </row>
    <row r="412" spans="1:21" ht="12">
      <c r="A412" s="1" t="s">
        <v>124</v>
      </c>
      <c r="B412" s="1" t="s">
        <v>207</v>
      </c>
      <c r="C412" s="1" t="s">
        <v>541</v>
      </c>
      <c r="D412" s="1" t="s">
        <v>105</v>
      </c>
      <c r="E412" s="3">
        <v>900</v>
      </c>
      <c r="F412" s="3">
        <v>4000</v>
      </c>
      <c r="G412" s="3">
        <v>720</v>
      </c>
      <c r="H412" s="3">
        <v>3200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11" t="s">
        <v>1</v>
      </c>
    </row>
    <row r="413" spans="2:21" ht="12">
      <c r="B413" s="1" t="s">
        <v>207</v>
      </c>
      <c r="C413" s="1" t="s">
        <v>542</v>
      </c>
      <c r="D413" s="1" t="s">
        <v>105</v>
      </c>
      <c r="E413" s="3">
        <v>870</v>
      </c>
      <c r="F413" s="3">
        <v>3990</v>
      </c>
      <c r="G413" s="3">
        <v>696</v>
      </c>
      <c r="H413" s="3">
        <v>3192</v>
      </c>
      <c r="K413" s="3">
        <v>3045</v>
      </c>
      <c r="L413" s="3">
        <v>10245</v>
      </c>
      <c r="Q413" s="3">
        <v>1650</v>
      </c>
      <c r="R413" s="3">
        <v>5250</v>
      </c>
      <c r="S413" s="7"/>
      <c r="T413" s="7"/>
      <c r="U413" s="11" t="s">
        <v>1</v>
      </c>
    </row>
    <row r="414" spans="2:21" ht="12">
      <c r="B414" s="1" t="s">
        <v>207</v>
      </c>
      <c r="C414" s="1" t="s">
        <v>517</v>
      </c>
      <c r="D414" s="1" t="s">
        <v>105</v>
      </c>
      <c r="E414" s="3">
        <v>840</v>
      </c>
      <c r="F414" s="3">
        <v>3950</v>
      </c>
      <c r="G414" s="3">
        <v>672</v>
      </c>
      <c r="H414" s="3">
        <v>3160</v>
      </c>
      <c r="I414" s="3">
        <v>1440</v>
      </c>
      <c r="J414" s="3">
        <v>4860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11" t="s">
        <v>1</v>
      </c>
    </row>
    <row r="415" spans="2:21" ht="12">
      <c r="B415" s="1" t="s">
        <v>207</v>
      </c>
      <c r="C415" s="1" t="s">
        <v>543</v>
      </c>
      <c r="D415" s="1" t="s">
        <v>105</v>
      </c>
      <c r="E415" s="3">
        <v>930</v>
      </c>
      <c r="F415" s="3">
        <v>4050</v>
      </c>
      <c r="G415" s="3">
        <v>744</v>
      </c>
      <c r="H415" s="3">
        <v>3240</v>
      </c>
      <c r="I415" s="3">
        <v>1530</v>
      </c>
      <c r="J415" s="3">
        <v>4950</v>
      </c>
      <c r="K415" s="7"/>
      <c r="L415" s="7"/>
      <c r="M415" s="7"/>
      <c r="N415" s="7"/>
      <c r="O415" s="3">
        <v>1000</v>
      </c>
      <c r="P415" s="3">
        <v>4888</v>
      </c>
      <c r="Q415" s="7"/>
      <c r="R415" s="7"/>
      <c r="S415" s="7"/>
      <c r="T415" s="7"/>
      <c r="U415" s="11" t="s">
        <v>1</v>
      </c>
    </row>
    <row r="416" spans="2:21" ht="12">
      <c r="B416" s="1" t="s">
        <v>207</v>
      </c>
      <c r="C416" s="1" t="s">
        <v>544</v>
      </c>
      <c r="D416" s="1" t="s">
        <v>105</v>
      </c>
      <c r="E416" s="3">
        <v>885</v>
      </c>
      <c r="F416" s="3">
        <v>4003</v>
      </c>
      <c r="G416" s="3">
        <v>708</v>
      </c>
      <c r="H416" s="3">
        <v>3202</v>
      </c>
      <c r="I416" s="3">
        <v>1517</v>
      </c>
      <c r="J416" s="3">
        <v>4903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11" t="s">
        <v>1</v>
      </c>
    </row>
    <row r="417" spans="2:21" ht="12">
      <c r="B417" s="1" t="s">
        <v>207</v>
      </c>
      <c r="C417" s="1" t="s">
        <v>520</v>
      </c>
      <c r="D417" s="1" t="s">
        <v>80</v>
      </c>
      <c r="E417" s="3">
        <v>885</v>
      </c>
      <c r="F417" s="3">
        <v>4007</v>
      </c>
      <c r="G417" s="3">
        <v>708</v>
      </c>
      <c r="H417" s="3">
        <v>3206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11" t="s">
        <v>1</v>
      </c>
    </row>
    <row r="418" spans="2:21" ht="12">
      <c r="B418" s="1" t="s">
        <v>207</v>
      </c>
      <c r="C418" s="1" t="s">
        <v>545</v>
      </c>
      <c r="D418" s="1" t="s">
        <v>80</v>
      </c>
      <c r="E418" s="3">
        <v>882</v>
      </c>
      <c r="F418" s="3">
        <v>4002</v>
      </c>
      <c r="G418" s="3">
        <v>706</v>
      </c>
      <c r="H418" s="3">
        <v>3202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11" t="s">
        <v>1</v>
      </c>
    </row>
    <row r="419" spans="2:21" ht="12">
      <c r="B419" s="1" t="s">
        <v>207</v>
      </c>
      <c r="C419" s="1" t="s">
        <v>546</v>
      </c>
      <c r="D419" s="1" t="s">
        <v>80</v>
      </c>
      <c r="E419" s="3">
        <v>885</v>
      </c>
      <c r="F419" s="3">
        <v>4326</v>
      </c>
      <c r="G419" s="3">
        <v>708</v>
      </c>
      <c r="H419" s="3">
        <v>3461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11" t="s">
        <v>1</v>
      </c>
    </row>
    <row r="420" spans="2:21" ht="12">
      <c r="B420" s="1" t="s">
        <v>207</v>
      </c>
      <c r="C420" s="1" t="s">
        <v>102</v>
      </c>
      <c r="D420" s="1" t="s">
        <v>88</v>
      </c>
      <c r="E420" s="3">
        <f>(880+860+860)/3</f>
        <v>866.6666666666666</v>
      </c>
      <c r="F420" s="3">
        <f>(4000+3980+3980)/3</f>
        <v>3986.6666666666665</v>
      </c>
      <c r="G420" s="3">
        <f>(728+728+704)/3</f>
        <v>720</v>
      </c>
      <c r="H420" s="3">
        <f>(3200+3224+3224)/3</f>
        <v>3216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11" t="s">
        <v>1</v>
      </c>
    </row>
    <row r="421" spans="2:21" ht="12">
      <c r="B421" s="1" t="s">
        <v>207</v>
      </c>
      <c r="C421" s="1" t="s">
        <v>547</v>
      </c>
      <c r="D421" s="1" t="s">
        <v>88</v>
      </c>
      <c r="E421" s="3">
        <v>850</v>
      </c>
      <c r="F421" s="3">
        <v>3970</v>
      </c>
      <c r="G421" s="3">
        <v>680</v>
      </c>
      <c r="H421" s="3">
        <v>3196</v>
      </c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11" t="s">
        <v>1</v>
      </c>
    </row>
    <row r="422" spans="2:21" ht="12">
      <c r="B422" s="1" t="s">
        <v>207</v>
      </c>
      <c r="C422" s="1" t="s">
        <v>548</v>
      </c>
      <c r="D422" s="1" t="s">
        <v>88</v>
      </c>
      <c r="E422" s="3">
        <v>880</v>
      </c>
      <c r="F422" s="3">
        <v>4000</v>
      </c>
      <c r="G422" s="3">
        <v>704</v>
      </c>
      <c r="H422" s="3">
        <v>3200</v>
      </c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11" t="s">
        <v>1</v>
      </c>
    </row>
    <row r="423" spans="2:21" ht="12">
      <c r="B423" s="1" t="s">
        <v>207</v>
      </c>
      <c r="C423" s="1" t="s">
        <v>549</v>
      </c>
      <c r="D423" s="1" t="s">
        <v>88</v>
      </c>
      <c r="E423" s="3">
        <v>868</v>
      </c>
      <c r="F423" s="3">
        <v>3988</v>
      </c>
      <c r="G423" s="3">
        <v>694</v>
      </c>
      <c r="H423" s="3">
        <v>3190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11" t="s">
        <v>1</v>
      </c>
    </row>
    <row r="424" spans="2:21" ht="12">
      <c r="B424" s="1" t="s">
        <v>207</v>
      </c>
      <c r="C424" s="1" t="s">
        <v>519</v>
      </c>
      <c r="D424" s="1" t="s">
        <v>88</v>
      </c>
      <c r="E424" s="3">
        <v>980</v>
      </c>
      <c r="F424" s="3">
        <v>4100</v>
      </c>
      <c r="G424" s="3">
        <v>784</v>
      </c>
      <c r="H424" s="3">
        <v>3280</v>
      </c>
      <c r="I424" s="3">
        <v>1580</v>
      </c>
      <c r="J424" s="3">
        <v>5000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11" t="s">
        <v>1</v>
      </c>
    </row>
    <row r="425" spans="2:21" ht="12">
      <c r="B425" s="1" t="s">
        <v>207</v>
      </c>
      <c r="C425" s="1" t="s">
        <v>550</v>
      </c>
      <c r="D425" s="1" t="s">
        <v>88</v>
      </c>
      <c r="E425" s="3">
        <v>958</v>
      </c>
      <c r="F425" s="3">
        <v>4193</v>
      </c>
      <c r="G425" s="3">
        <v>766</v>
      </c>
      <c r="H425" s="3">
        <v>3354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11" t="s">
        <v>1</v>
      </c>
    </row>
    <row r="426" spans="2:21" ht="12">
      <c r="B426" s="1" t="s">
        <v>207</v>
      </c>
      <c r="C426" s="1" t="s">
        <v>551</v>
      </c>
      <c r="D426" s="1" t="s">
        <v>88</v>
      </c>
      <c r="E426" s="3">
        <v>818</v>
      </c>
      <c r="F426" s="3">
        <v>3938</v>
      </c>
      <c r="G426" s="3">
        <v>654</v>
      </c>
      <c r="H426" s="3">
        <v>3150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11" t="s">
        <v>1</v>
      </c>
    </row>
    <row r="427" spans="2:21" ht="12">
      <c r="B427" s="1" t="s">
        <v>207</v>
      </c>
      <c r="C427" s="1" t="s">
        <v>552</v>
      </c>
      <c r="D427" s="1" t="s">
        <v>93</v>
      </c>
      <c r="E427" s="3">
        <f>(16*30)+(6*30)+(90*2)</f>
        <v>840</v>
      </c>
      <c r="F427" s="3">
        <f>(120*30)+(6*30)+(90*2)</f>
        <v>3960</v>
      </c>
      <c r="G427" s="3">
        <v>672</v>
      </c>
      <c r="H427" s="3">
        <v>3168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11" t="s">
        <v>1</v>
      </c>
    </row>
    <row r="428" spans="2:21" ht="12">
      <c r="B428" s="1" t="s">
        <v>207</v>
      </c>
      <c r="C428" s="1" t="s">
        <v>553</v>
      </c>
      <c r="D428" s="1" t="s">
        <v>93</v>
      </c>
      <c r="E428" s="3">
        <v>780</v>
      </c>
      <c r="F428" s="3">
        <v>3900</v>
      </c>
      <c r="G428" s="3">
        <v>624</v>
      </c>
      <c r="H428" s="3">
        <v>3120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11" t="s">
        <v>1</v>
      </c>
    </row>
    <row r="429" spans="2:21" ht="12">
      <c r="B429" s="1" t="s">
        <v>207</v>
      </c>
      <c r="C429" s="1" t="s">
        <v>554</v>
      </c>
      <c r="D429" s="1" t="s">
        <v>93</v>
      </c>
      <c r="E429" s="3">
        <v>831</v>
      </c>
      <c r="F429" s="3">
        <v>3951</v>
      </c>
      <c r="G429" s="3">
        <v>665</v>
      </c>
      <c r="H429" s="3">
        <v>3160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11" t="s">
        <v>1</v>
      </c>
    </row>
    <row r="430" spans="2:21" ht="12">
      <c r="B430" s="1" t="s">
        <v>207</v>
      </c>
      <c r="C430" s="1" t="s">
        <v>555</v>
      </c>
      <c r="D430" s="1" t="s">
        <v>93</v>
      </c>
      <c r="E430" s="3">
        <v>882</v>
      </c>
      <c r="F430" s="3">
        <v>4002</v>
      </c>
      <c r="G430" s="3">
        <v>706</v>
      </c>
      <c r="H430" s="3">
        <v>3202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11" t="s">
        <v>1</v>
      </c>
    </row>
    <row r="431" spans="2:21" ht="12">
      <c r="B431" s="1" t="s">
        <v>207</v>
      </c>
      <c r="C431" s="1" t="s">
        <v>556</v>
      </c>
      <c r="D431" s="1" t="s">
        <v>93</v>
      </c>
      <c r="E431" s="3">
        <v>934</v>
      </c>
      <c r="F431" s="3">
        <v>4054</v>
      </c>
      <c r="G431" s="3">
        <v>747</v>
      </c>
      <c r="H431" s="3">
        <v>3243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11" t="s">
        <v>1</v>
      </c>
    </row>
    <row r="432" spans="2:21" ht="12">
      <c r="B432" s="1" t="s">
        <v>207</v>
      </c>
      <c r="C432" s="1" t="s">
        <v>557</v>
      </c>
      <c r="D432" s="1" t="s">
        <v>93</v>
      </c>
      <c r="E432" s="3">
        <v>886</v>
      </c>
      <c r="F432" s="3">
        <v>4006</v>
      </c>
      <c r="G432" s="3">
        <v>709</v>
      </c>
      <c r="H432" s="3">
        <v>3205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11" t="s">
        <v>1</v>
      </c>
    </row>
    <row r="433" spans="2:21" ht="12">
      <c r="B433" s="1" t="s">
        <v>207</v>
      </c>
      <c r="C433" s="1" t="s">
        <v>558</v>
      </c>
      <c r="D433" s="1" t="s">
        <v>93</v>
      </c>
      <c r="E433" s="3">
        <v>953</v>
      </c>
      <c r="F433" s="3">
        <v>4073</v>
      </c>
      <c r="G433" s="3">
        <v>762</v>
      </c>
      <c r="H433" s="3">
        <v>3258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11" t="s">
        <v>1</v>
      </c>
    </row>
    <row r="434" spans="2:21" ht="12">
      <c r="B434" s="1" t="s">
        <v>207</v>
      </c>
      <c r="C434" s="1" t="s">
        <v>559</v>
      </c>
      <c r="D434" s="1" t="s">
        <v>93</v>
      </c>
      <c r="E434" s="3">
        <v>912</v>
      </c>
      <c r="F434" s="3">
        <v>4050</v>
      </c>
      <c r="G434" s="3">
        <v>730</v>
      </c>
      <c r="H434" s="3">
        <v>3240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11" t="s">
        <v>1</v>
      </c>
    </row>
    <row r="435" spans="2:21" ht="12">
      <c r="B435" s="1" t="s">
        <v>207</v>
      </c>
      <c r="C435" s="1" t="s">
        <v>560</v>
      </c>
      <c r="D435" s="1" t="s">
        <v>93</v>
      </c>
      <c r="E435" s="3">
        <v>849</v>
      </c>
      <c r="F435" s="3">
        <v>3976</v>
      </c>
      <c r="G435" s="3">
        <v>679</v>
      </c>
      <c r="H435" s="3">
        <v>3181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11" t="s">
        <v>1</v>
      </c>
    </row>
    <row r="436" spans="2:21" ht="12">
      <c r="B436" s="1" t="s">
        <v>207</v>
      </c>
      <c r="C436" s="1" t="s">
        <v>101</v>
      </c>
      <c r="D436" s="1" t="s">
        <v>98</v>
      </c>
      <c r="E436" s="3">
        <v>1071</v>
      </c>
      <c r="F436" s="3">
        <v>4020</v>
      </c>
      <c r="G436" s="3">
        <v>720</v>
      </c>
      <c r="H436" s="3">
        <v>3216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11" t="s">
        <v>1</v>
      </c>
    </row>
    <row r="437" spans="2:21" ht="12">
      <c r="B437" s="1" t="s">
        <v>207</v>
      </c>
      <c r="C437" s="1" t="s">
        <v>561</v>
      </c>
      <c r="D437" s="1" t="s">
        <v>98</v>
      </c>
      <c r="E437" s="3">
        <v>1000</v>
      </c>
      <c r="F437" s="3">
        <v>3990</v>
      </c>
      <c r="G437" s="3">
        <v>800</v>
      </c>
      <c r="H437" s="3">
        <v>3192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11" t="s">
        <v>1</v>
      </c>
    </row>
    <row r="438" spans="2:21" ht="12">
      <c r="B438" s="1" t="s">
        <v>207</v>
      </c>
      <c r="C438" s="1" t="s">
        <v>361</v>
      </c>
      <c r="D438" s="1" t="s">
        <v>98</v>
      </c>
      <c r="E438" s="3">
        <v>906</v>
      </c>
      <c r="F438" s="3">
        <v>4026</v>
      </c>
      <c r="G438" s="3">
        <v>725</v>
      </c>
      <c r="H438" s="3">
        <v>3221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11" t="s">
        <v>1</v>
      </c>
    </row>
    <row r="439" spans="2:21" ht="12">
      <c r="B439" s="1" t="s">
        <v>207</v>
      </c>
      <c r="C439" s="1" t="s">
        <v>562</v>
      </c>
      <c r="D439" s="1" t="s">
        <v>98</v>
      </c>
      <c r="E439" s="3">
        <v>882</v>
      </c>
      <c r="F439" s="3">
        <v>4000</v>
      </c>
      <c r="G439" s="3">
        <v>706</v>
      </c>
      <c r="H439" s="3">
        <v>3200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11" t="s">
        <v>1</v>
      </c>
    </row>
    <row r="440" spans="2:21" ht="12">
      <c r="B440" s="1" t="s">
        <v>207</v>
      </c>
      <c r="C440" s="1" t="s">
        <v>563</v>
      </c>
      <c r="D440" s="1" t="s">
        <v>98</v>
      </c>
      <c r="E440" s="3">
        <v>855</v>
      </c>
      <c r="F440" s="3">
        <v>3975</v>
      </c>
      <c r="G440" s="3">
        <v>684</v>
      </c>
      <c r="H440" s="3">
        <v>3180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11" t="s">
        <v>1</v>
      </c>
    </row>
    <row r="441" spans="2:21" ht="12">
      <c r="B441" s="1" t="s">
        <v>207</v>
      </c>
      <c r="C441" s="1" t="s">
        <v>564</v>
      </c>
      <c r="D441" s="1" t="s">
        <v>98</v>
      </c>
      <c r="E441" s="3">
        <v>780</v>
      </c>
      <c r="F441" s="3">
        <v>3900</v>
      </c>
      <c r="G441" s="3">
        <v>624</v>
      </c>
      <c r="H441" s="3">
        <v>3120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11" t="s">
        <v>1</v>
      </c>
    </row>
    <row r="442" spans="2:21" ht="12">
      <c r="B442" s="1" t="s">
        <v>207</v>
      </c>
      <c r="C442" s="1" t="s">
        <v>565</v>
      </c>
      <c r="D442" s="1" t="s">
        <v>98</v>
      </c>
      <c r="E442" s="3">
        <v>810</v>
      </c>
      <c r="F442" s="3">
        <v>3930</v>
      </c>
      <c r="G442" s="3">
        <v>648</v>
      </c>
      <c r="H442" s="3">
        <v>3144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11" t="s">
        <v>1</v>
      </c>
    </row>
    <row r="443" spans="2:21" ht="12">
      <c r="B443" s="1" t="s">
        <v>207</v>
      </c>
      <c r="C443" s="1" t="s">
        <v>566</v>
      </c>
      <c r="D443" s="1" t="s">
        <v>98</v>
      </c>
      <c r="E443" s="3">
        <v>780</v>
      </c>
      <c r="F443" s="3">
        <v>3900</v>
      </c>
      <c r="G443" s="3">
        <v>648</v>
      </c>
      <c r="H443" s="3">
        <v>3144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11" t="s">
        <v>1</v>
      </c>
    </row>
    <row r="444" spans="2:21" ht="12">
      <c r="B444" s="1" t="s">
        <v>207</v>
      </c>
      <c r="C444" s="1" t="s">
        <v>567</v>
      </c>
      <c r="D444" s="1" t="s">
        <v>106</v>
      </c>
      <c r="E444" s="3">
        <v>695</v>
      </c>
      <c r="F444" s="3">
        <v>3815</v>
      </c>
      <c r="G444" s="3">
        <v>556</v>
      </c>
      <c r="H444" s="3">
        <v>3052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11" t="s">
        <v>1</v>
      </c>
    </row>
    <row r="445" spans="2:21" ht="12">
      <c r="B445" s="1" t="s">
        <v>207</v>
      </c>
      <c r="C445" s="1" t="s">
        <v>568</v>
      </c>
      <c r="D445" s="1" t="s">
        <v>106</v>
      </c>
      <c r="E445" s="3">
        <v>993</v>
      </c>
      <c r="F445" s="3">
        <v>4113</v>
      </c>
      <c r="G445" s="3">
        <v>794</v>
      </c>
      <c r="H445" s="3">
        <v>3290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11" t="s">
        <v>1</v>
      </c>
    </row>
    <row r="446" spans="2:21" ht="12">
      <c r="B446" s="1" t="s">
        <v>207</v>
      </c>
      <c r="C446" s="1" t="s">
        <v>569</v>
      </c>
      <c r="D446" s="1" t="s">
        <v>108</v>
      </c>
      <c r="E446" s="3">
        <v>328</v>
      </c>
      <c r="F446" s="3">
        <v>1450</v>
      </c>
      <c r="U446" s="11" t="s">
        <v>1</v>
      </c>
    </row>
    <row r="447" spans="2:21" ht="12">
      <c r="B447" s="1" t="s">
        <v>207</v>
      </c>
      <c r="C447" s="1" t="s">
        <v>570</v>
      </c>
      <c r="D447" s="1" t="s">
        <v>108</v>
      </c>
      <c r="E447" s="3">
        <v>750</v>
      </c>
      <c r="F447" s="3">
        <v>1750</v>
      </c>
      <c r="U447" s="11" t="s">
        <v>1</v>
      </c>
    </row>
    <row r="448" spans="2:21" ht="12">
      <c r="B448" s="1" t="s">
        <v>207</v>
      </c>
      <c r="C448" s="1" t="s">
        <v>571</v>
      </c>
      <c r="D448" s="1" t="s">
        <v>108</v>
      </c>
      <c r="E448" s="3">
        <v>513</v>
      </c>
      <c r="F448" s="3">
        <v>1035</v>
      </c>
      <c r="U448" s="11" t="s">
        <v>1</v>
      </c>
    </row>
    <row r="449" spans="2:21" ht="12">
      <c r="B449" s="1" t="s">
        <v>207</v>
      </c>
      <c r="C449" s="1" t="s">
        <v>572</v>
      </c>
      <c r="D449" s="1" t="s">
        <v>108</v>
      </c>
      <c r="E449" s="3">
        <v>512</v>
      </c>
      <c r="F449" s="3">
        <v>1232</v>
      </c>
      <c r="U449" s="11" t="s">
        <v>1</v>
      </c>
    </row>
    <row r="450" spans="2:21" ht="12">
      <c r="B450" s="1" t="s">
        <v>207</v>
      </c>
      <c r="C450" s="1" t="s">
        <v>573</v>
      </c>
      <c r="D450" s="1" t="s">
        <v>108</v>
      </c>
      <c r="E450" s="3">
        <v>323</v>
      </c>
      <c r="F450" s="3">
        <v>445</v>
      </c>
      <c r="U450" s="11" t="s">
        <v>1</v>
      </c>
    </row>
    <row r="451" spans="2:21" ht="12">
      <c r="B451" s="1" t="s">
        <v>207</v>
      </c>
      <c r="C451" s="1" t="s">
        <v>574</v>
      </c>
      <c r="D451" s="1" t="s">
        <v>108</v>
      </c>
      <c r="E451" s="3">
        <v>550</v>
      </c>
      <c r="F451" s="3">
        <v>2406</v>
      </c>
      <c r="U451" s="11" t="s">
        <v>1</v>
      </c>
    </row>
    <row r="452" spans="2:21" ht="12">
      <c r="B452" s="1" t="s">
        <v>207</v>
      </c>
      <c r="C452" s="1" t="s">
        <v>575</v>
      </c>
      <c r="D452" s="1" t="s">
        <v>108</v>
      </c>
      <c r="E452" s="3">
        <v>186</v>
      </c>
      <c r="F452" s="3">
        <v>446</v>
      </c>
      <c r="U452" s="11" t="s">
        <v>1</v>
      </c>
    </row>
    <row r="453" spans="2:21" ht="12">
      <c r="B453" s="1" t="s">
        <v>207</v>
      </c>
      <c r="C453" s="1" t="s">
        <v>576</v>
      </c>
      <c r="D453" s="1" t="s">
        <v>108</v>
      </c>
      <c r="E453" s="3">
        <v>288</v>
      </c>
      <c r="F453" s="3">
        <v>1676</v>
      </c>
      <c r="U453" s="11" t="s">
        <v>1</v>
      </c>
    </row>
    <row r="454" spans="2:21" ht="12">
      <c r="B454" s="1" t="s">
        <v>207</v>
      </c>
      <c r="C454" s="1" t="s">
        <v>577</v>
      </c>
      <c r="D454" s="1" t="s">
        <v>108</v>
      </c>
      <c r="E454" s="3">
        <v>288</v>
      </c>
      <c r="F454" s="3">
        <v>1676</v>
      </c>
      <c r="U454" s="11" t="s">
        <v>1</v>
      </c>
    </row>
    <row r="455" spans="2:21" ht="12">
      <c r="B455" s="1" t="s">
        <v>207</v>
      </c>
      <c r="C455" s="1" t="s">
        <v>578</v>
      </c>
      <c r="D455" s="1" t="s">
        <v>108</v>
      </c>
      <c r="E455" s="3">
        <v>330</v>
      </c>
      <c r="F455" s="3">
        <v>670</v>
      </c>
      <c r="U455" s="11" t="s">
        <v>1</v>
      </c>
    </row>
    <row r="456" spans="2:21" ht="12">
      <c r="B456" s="1" t="s">
        <v>207</v>
      </c>
      <c r="C456" s="1" t="s">
        <v>579</v>
      </c>
      <c r="D456" s="1" t="s">
        <v>108</v>
      </c>
      <c r="E456" s="3">
        <v>525</v>
      </c>
      <c r="F456" s="3">
        <v>1000</v>
      </c>
      <c r="U456" s="11" t="s">
        <v>1</v>
      </c>
    </row>
    <row r="457" spans="2:21" ht="12">
      <c r="B457" s="1" t="s">
        <v>207</v>
      </c>
      <c r="C457" s="1" t="s">
        <v>580</v>
      </c>
      <c r="D457" s="1" t="s">
        <v>108</v>
      </c>
      <c r="E457" s="3">
        <v>422</v>
      </c>
      <c r="F457" s="3">
        <v>580</v>
      </c>
      <c r="U457" s="11" t="s">
        <v>1</v>
      </c>
    </row>
    <row r="458" spans="2:21" ht="12">
      <c r="B458" s="1" t="s">
        <v>207</v>
      </c>
      <c r="C458" s="1" t="s">
        <v>581</v>
      </c>
      <c r="D458" s="1" t="s">
        <v>108</v>
      </c>
      <c r="E458" s="3">
        <v>240</v>
      </c>
      <c r="F458" s="3">
        <v>960</v>
      </c>
      <c r="U458" s="11" t="s">
        <v>1</v>
      </c>
    </row>
    <row r="459" spans="2:21" ht="12">
      <c r="B459" s="1" t="s">
        <v>207</v>
      </c>
      <c r="C459" s="1" t="s">
        <v>582</v>
      </c>
      <c r="D459" s="1" t="s">
        <v>108</v>
      </c>
      <c r="E459" s="3">
        <v>135</v>
      </c>
      <c r="F459" s="3">
        <v>1215</v>
      </c>
      <c r="U459" s="11" t="s">
        <v>1</v>
      </c>
    </row>
    <row r="460" spans="2:21" ht="12">
      <c r="B460" s="1" t="s">
        <v>207</v>
      </c>
      <c r="C460" s="1" t="s">
        <v>583</v>
      </c>
      <c r="D460" s="1" t="s">
        <v>108</v>
      </c>
      <c r="E460" s="3">
        <v>425</v>
      </c>
      <c r="F460" s="3">
        <v>815</v>
      </c>
      <c r="U460" s="11" t="s">
        <v>1</v>
      </c>
    </row>
    <row r="461" spans="2:21" ht="12">
      <c r="B461" s="1" t="s">
        <v>207</v>
      </c>
      <c r="C461" s="1" t="s">
        <v>584</v>
      </c>
      <c r="D461" s="1" t="s">
        <v>108</v>
      </c>
      <c r="E461" s="3">
        <v>364</v>
      </c>
      <c r="F461" s="3">
        <v>3724</v>
      </c>
      <c r="U461" s="11" t="s">
        <v>1</v>
      </c>
    </row>
    <row r="462" spans="2:21" ht="12">
      <c r="B462" s="1" t="s">
        <v>207</v>
      </c>
      <c r="C462" s="1" t="s">
        <v>585</v>
      </c>
      <c r="D462" s="1" t="s">
        <v>108</v>
      </c>
      <c r="E462" s="3">
        <v>288</v>
      </c>
      <c r="F462" s="3">
        <v>1676</v>
      </c>
      <c r="U462" s="11" t="s">
        <v>1</v>
      </c>
    </row>
    <row r="463" spans="2:21" ht="12">
      <c r="B463" s="1" t="s">
        <v>207</v>
      </c>
      <c r="C463" s="1" t="s">
        <v>586</v>
      </c>
      <c r="D463" s="1" t="s">
        <v>108</v>
      </c>
      <c r="E463" s="3">
        <v>473</v>
      </c>
      <c r="F463" s="3">
        <v>1557</v>
      </c>
      <c r="U463" s="11" t="s">
        <v>1</v>
      </c>
    </row>
    <row r="464" spans="2:21" ht="12">
      <c r="B464" s="1" t="s">
        <v>207</v>
      </c>
      <c r="C464" s="1" t="s">
        <v>587</v>
      </c>
      <c r="D464" s="1" t="s">
        <v>108</v>
      </c>
      <c r="E464" s="3">
        <v>288</v>
      </c>
      <c r="F464" s="3">
        <v>1676</v>
      </c>
      <c r="U464" s="11" t="s">
        <v>1</v>
      </c>
    </row>
    <row r="465" spans="2:21" ht="12">
      <c r="B465" s="1" t="s">
        <v>207</v>
      </c>
      <c r="C465" s="1" t="s">
        <v>588</v>
      </c>
      <c r="D465" s="1" t="s">
        <v>108</v>
      </c>
      <c r="E465" s="3">
        <v>370</v>
      </c>
      <c r="F465" s="3">
        <v>530</v>
      </c>
      <c r="U465" s="11" t="s">
        <v>1</v>
      </c>
    </row>
    <row r="466" spans="2:21" ht="12">
      <c r="B466" s="1" t="s">
        <v>207</v>
      </c>
      <c r="C466" s="1" t="s">
        <v>589</v>
      </c>
      <c r="D466" s="1" t="s">
        <v>108</v>
      </c>
      <c r="E466" s="3">
        <v>388</v>
      </c>
      <c r="F466" s="3">
        <v>748</v>
      </c>
      <c r="U466" s="11" t="s">
        <v>1</v>
      </c>
    </row>
    <row r="467" spans="2:21" ht="12">
      <c r="B467" s="1" t="s">
        <v>207</v>
      </c>
      <c r="C467" s="1" t="s">
        <v>590</v>
      </c>
      <c r="D467" s="1" t="s">
        <v>108</v>
      </c>
      <c r="E467" s="3">
        <v>406</v>
      </c>
      <c r="F467" s="3">
        <v>1363</v>
      </c>
      <c r="U467" s="11" t="s">
        <v>1</v>
      </c>
    </row>
    <row r="468" spans="2:21" ht="12">
      <c r="B468" s="1" t="s">
        <v>207</v>
      </c>
      <c r="C468" s="1" t="s">
        <v>200</v>
      </c>
      <c r="D468" s="1" t="s">
        <v>108</v>
      </c>
      <c r="E468" s="3">
        <v>448</v>
      </c>
      <c r="F468" s="3">
        <v>776</v>
      </c>
      <c r="U468" s="11" t="s">
        <v>1</v>
      </c>
    </row>
    <row r="469" spans="2:21" ht="12">
      <c r="B469" s="1" t="s">
        <v>207</v>
      </c>
      <c r="C469" s="1" t="s">
        <v>591</v>
      </c>
      <c r="D469" s="1" t="s">
        <v>108</v>
      </c>
      <c r="E469" s="3">
        <v>600</v>
      </c>
      <c r="F469" s="3">
        <v>1608</v>
      </c>
      <c r="U469" s="11" t="s">
        <v>1</v>
      </c>
    </row>
    <row r="470" spans="2:21" ht="12">
      <c r="B470" s="1" t="s">
        <v>207</v>
      </c>
      <c r="C470" s="1" t="s">
        <v>592</v>
      </c>
      <c r="D470" s="1" t="s">
        <v>108</v>
      </c>
      <c r="E470" s="3">
        <v>415</v>
      </c>
      <c r="F470" s="3">
        <v>3825</v>
      </c>
      <c r="U470" s="11" t="s">
        <v>1</v>
      </c>
    </row>
    <row r="471" spans="2:21" ht="12">
      <c r="B471" s="1" t="s">
        <v>207</v>
      </c>
      <c r="C471" s="1" t="s">
        <v>593</v>
      </c>
      <c r="D471" s="1" t="s">
        <v>108</v>
      </c>
      <c r="E471" s="3">
        <v>315</v>
      </c>
      <c r="F471" s="3">
        <v>570</v>
      </c>
      <c r="U471" s="11" t="s">
        <v>1</v>
      </c>
    </row>
    <row r="472" spans="2:21" ht="12">
      <c r="B472" s="1" t="s">
        <v>207</v>
      </c>
      <c r="C472" s="1" t="s">
        <v>594</v>
      </c>
      <c r="D472" s="1" t="s">
        <v>108</v>
      </c>
      <c r="E472" s="3">
        <v>384</v>
      </c>
      <c r="F472" s="3">
        <v>1294</v>
      </c>
      <c r="U472" s="11" t="s">
        <v>1</v>
      </c>
    </row>
    <row r="473" spans="2:21" ht="12">
      <c r="B473" s="1" t="s">
        <v>207</v>
      </c>
      <c r="C473" s="1" t="s">
        <v>595</v>
      </c>
      <c r="D473" s="1" t="s">
        <v>108</v>
      </c>
      <c r="E473" s="3">
        <v>258</v>
      </c>
      <c r="F473" s="3">
        <v>1026</v>
      </c>
      <c r="U473" s="11" t="s">
        <v>1</v>
      </c>
    </row>
    <row r="474" spans="2:21" ht="12">
      <c r="B474" s="1" t="s">
        <v>207</v>
      </c>
      <c r="C474" s="1" t="s">
        <v>596</v>
      </c>
      <c r="D474" s="1" t="s">
        <v>108</v>
      </c>
      <c r="E474" s="3">
        <v>342</v>
      </c>
      <c r="F474" s="3">
        <v>1872</v>
      </c>
      <c r="U474" s="11" t="s">
        <v>1</v>
      </c>
    </row>
    <row r="475" spans="2:21" ht="12">
      <c r="B475" s="1" t="s">
        <v>207</v>
      </c>
      <c r="C475" s="1" t="s">
        <v>597</v>
      </c>
      <c r="D475" s="1" t="s">
        <v>108</v>
      </c>
      <c r="E475" s="3">
        <v>411</v>
      </c>
      <c r="F475" s="3">
        <v>975</v>
      </c>
      <c r="U475" s="11" t="s">
        <v>1</v>
      </c>
    </row>
    <row r="476" spans="2:21" ht="12">
      <c r="B476" s="1" t="s">
        <v>207</v>
      </c>
      <c r="C476" s="1" t="s">
        <v>598</v>
      </c>
      <c r="D476" s="1" t="s">
        <v>108</v>
      </c>
      <c r="E476" s="3">
        <v>288</v>
      </c>
      <c r="F476" s="3">
        <v>1676</v>
      </c>
      <c r="U476" s="11" t="s">
        <v>1</v>
      </c>
    </row>
    <row r="477" spans="2:21" ht="12">
      <c r="B477" s="1" t="s">
        <v>207</v>
      </c>
      <c r="C477" s="1" t="s">
        <v>599</v>
      </c>
      <c r="D477" s="1" t="s">
        <v>108</v>
      </c>
      <c r="E477" s="3">
        <v>692</v>
      </c>
      <c r="F477" s="3">
        <v>848</v>
      </c>
      <c r="U477" s="11" t="s">
        <v>1</v>
      </c>
    </row>
    <row r="478" spans="2:21" ht="12">
      <c r="B478" s="1" t="s">
        <v>207</v>
      </c>
      <c r="C478" s="1" t="s">
        <v>600</v>
      </c>
      <c r="D478" s="1" t="s">
        <v>108</v>
      </c>
      <c r="E478" s="3">
        <v>330</v>
      </c>
      <c r="F478" s="3">
        <v>542</v>
      </c>
      <c r="U478" s="11" t="s">
        <v>1</v>
      </c>
    </row>
    <row r="479" spans="2:21" ht="12">
      <c r="B479" s="1" t="s">
        <v>207</v>
      </c>
      <c r="C479" s="1" t="s">
        <v>601</v>
      </c>
      <c r="D479" s="1" t="s">
        <v>108</v>
      </c>
      <c r="E479" s="3">
        <v>356</v>
      </c>
      <c r="F479" s="3">
        <v>4388</v>
      </c>
      <c r="U479" s="11" t="s">
        <v>1</v>
      </c>
    </row>
    <row r="480" spans="2:21" ht="12">
      <c r="B480" s="1" t="s">
        <v>207</v>
      </c>
      <c r="C480" s="1" t="s">
        <v>602</v>
      </c>
      <c r="D480" s="1" t="s">
        <v>108</v>
      </c>
      <c r="E480" s="3">
        <v>222</v>
      </c>
      <c r="F480" s="3">
        <v>606</v>
      </c>
      <c r="U480" s="11" t="s">
        <v>1</v>
      </c>
    </row>
    <row r="481" spans="2:21" ht="12">
      <c r="B481" s="1" t="s">
        <v>207</v>
      </c>
      <c r="C481" s="1" t="s">
        <v>603</v>
      </c>
      <c r="D481" s="1" t="s">
        <v>108</v>
      </c>
      <c r="E481" s="3">
        <v>288</v>
      </c>
      <c r="F481" s="3">
        <v>1676</v>
      </c>
      <c r="U481" s="11" t="s">
        <v>1</v>
      </c>
    </row>
    <row r="482" spans="2:21" ht="12">
      <c r="B482" s="1" t="s">
        <v>207</v>
      </c>
      <c r="C482" s="1" t="s">
        <v>604</v>
      </c>
      <c r="D482" s="1" t="s">
        <v>108</v>
      </c>
      <c r="E482" s="3">
        <v>178</v>
      </c>
      <c r="F482" s="3">
        <v>298</v>
      </c>
      <c r="U482" s="11" t="s">
        <v>1</v>
      </c>
    </row>
    <row r="483" spans="2:21" ht="12">
      <c r="B483" s="1" t="s">
        <v>207</v>
      </c>
      <c r="C483" s="1" t="s">
        <v>605</v>
      </c>
      <c r="D483" s="1" t="s">
        <v>108</v>
      </c>
      <c r="E483" s="3">
        <v>370</v>
      </c>
      <c r="F483" s="3">
        <v>1440</v>
      </c>
      <c r="U483" s="11" t="s">
        <v>1</v>
      </c>
    </row>
    <row r="484" spans="2:21" ht="12">
      <c r="B484" s="1" t="s">
        <v>207</v>
      </c>
      <c r="C484" s="1" t="s">
        <v>606</v>
      </c>
      <c r="D484" s="1" t="s">
        <v>108</v>
      </c>
      <c r="E484" s="3">
        <v>344</v>
      </c>
      <c r="F484" s="3">
        <v>746</v>
      </c>
      <c r="U484" s="11" t="s">
        <v>1</v>
      </c>
    </row>
    <row r="485" spans="2:21" ht="12">
      <c r="B485" s="1" t="s">
        <v>207</v>
      </c>
      <c r="C485" s="1" t="s">
        <v>607</v>
      </c>
      <c r="D485" s="1" t="s">
        <v>108</v>
      </c>
      <c r="E485" s="3">
        <v>490</v>
      </c>
      <c r="F485" s="3">
        <v>1030</v>
      </c>
      <c r="U485" s="11" t="s">
        <v>1</v>
      </c>
    </row>
    <row r="486" spans="2:21" ht="12">
      <c r="B486" s="1" t="s">
        <v>207</v>
      </c>
      <c r="C486" s="1" t="s">
        <v>608</v>
      </c>
      <c r="D486" s="1" t="s">
        <v>108</v>
      </c>
      <c r="E486" s="3">
        <v>512</v>
      </c>
      <c r="F486" s="3">
        <v>788</v>
      </c>
      <c r="U486" s="11" t="s">
        <v>1</v>
      </c>
    </row>
    <row r="487" spans="2:21" ht="12">
      <c r="B487" s="1" t="s">
        <v>207</v>
      </c>
      <c r="C487" s="1" t="s">
        <v>609</v>
      </c>
      <c r="D487" s="1" t="s">
        <v>108</v>
      </c>
      <c r="E487" s="3">
        <v>288</v>
      </c>
      <c r="F487" s="3">
        <v>1676</v>
      </c>
      <c r="U487" s="11" t="s">
        <v>1</v>
      </c>
    </row>
    <row r="488" spans="2:21" ht="12">
      <c r="B488" s="1" t="s">
        <v>207</v>
      </c>
      <c r="C488" s="1" t="s">
        <v>610</v>
      </c>
      <c r="D488" s="1" t="s">
        <v>108</v>
      </c>
      <c r="E488" s="3">
        <v>370</v>
      </c>
      <c r="F488" s="3">
        <v>1440</v>
      </c>
      <c r="U488" s="11" t="s">
        <v>1</v>
      </c>
    </row>
    <row r="489" spans="2:21" ht="12">
      <c r="B489" s="1" t="s">
        <v>207</v>
      </c>
      <c r="C489" s="1" t="s">
        <v>611</v>
      </c>
      <c r="D489" s="1" t="s">
        <v>108</v>
      </c>
      <c r="E489" s="3">
        <v>330</v>
      </c>
      <c r="F489" s="3">
        <v>630</v>
      </c>
      <c r="U489" s="11" t="s">
        <v>1</v>
      </c>
    </row>
    <row r="490" spans="2:21" ht="12">
      <c r="B490" s="1" t="s">
        <v>207</v>
      </c>
      <c r="C490" s="1" t="s">
        <v>612</v>
      </c>
      <c r="D490" s="1" t="s">
        <v>108</v>
      </c>
      <c r="E490" s="3">
        <v>330</v>
      </c>
      <c r="F490" s="3">
        <v>630</v>
      </c>
      <c r="U490" s="11" t="s">
        <v>1</v>
      </c>
    </row>
    <row r="491" spans="2:21" ht="12">
      <c r="B491" s="1" t="s">
        <v>207</v>
      </c>
      <c r="C491" s="1" t="s">
        <v>613</v>
      </c>
      <c r="D491" s="1" t="s">
        <v>108</v>
      </c>
      <c r="E491" s="3">
        <v>330</v>
      </c>
      <c r="F491" s="3">
        <v>630</v>
      </c>
      <c r="U491" s="11" t="s">
        <v>1</v>
      </c>
    </row>
    <row r="492" spans="2:21" ht="12">
      <c r="B492" s="1" t="s">
        <v>207</v>
      </c>
      <c r="C492" s="1" t="s">
        <v>614</v>
      </c>
      <c r="D492" s="1" t="s">
        <v>108</v>
      </c>
      <c r="E492" s="3">
        <v>356</v>
      </c>
      <c r="F492" s="3">
        <v>4388</v>
      </c>
      <c r="U492" s="11" t="s">
        <v>1</v>
      </c>
    </row>
    <row r="493" spans="2:21" ht="12">
      <c r="B493" s="1" t="s">
        <v>207</v>
      </c>
      <c r="C493" s="1" t="s">
        <v>615</v>
      </c>
      <c r="D493" s="1" t="s">
        <v>108</v>
      </c>
      <c r="E493" s="3">
        <v>370</v>
      </c>
      <c r="F493" s="3">
        <v>1440</v>
      </c>
      <c r="U493" s="11" t="s">
        <v>1</v>
      </c>
    </row>
    <row r="494" spans="2:21" ht="12">
      <c r="B494" s="1" t="s">
        <v>207</v>
      </c>
      <c r="C494" s="1" t="s">
        <v>616</v>
      </c>
      <c r="D494" s="1" t="s">
        <v>108</v>
      </c>
      <c r="E494" s="3">
        <v>400</v>
      </c>
      <c r="F494" s="3">
        <v>1686</v>
      </c>
      <c r="U494" s="11" t="s">
        <v>1</v>
      </c>
    </row>
    <row r="495" spans="2:21" ht="12">
      <c r="B495" s="1" t="s">
        <v>207</v>
      </c>
      <c r="C495" s="1" t="s">
        <v>617</v>
      </c>
      <c r="D495" s="1" t="s">
        <v>108</v>
      </c>
      <c r="E495" s="3">
        <v>350</v>
      </c>
      <c r="F495" s="3">
        <v>610</v>
      </c>
      <c r="U495" s="11" t="s">
        <v>1</v>
      </c>
    </row>
    <row r="496" spans="2:21" ht="12">
      <c r="B496" s="1" t="s">
        <v>207</v>
      </c>
      <c r="C496" s="1" t="s">
        <v>618</v>
      </c>
      <c r="D496" s="1" t="s">
        <v>108</v>
      </c>
      <c r="E496" s="3">
        <v>508</v>
      </c>
      <c r="F496" s="3">
        <v>688</v>
      </c>
      <c r="U496" s="11" t="s">
        <v>1</v>
      </c>
    </row>
    <row r="497" spans="2:21" ht="12">
      <c r="B497" s="1" t="s">
        <v>207</v>
      </c>
      <c r="C497" s="1" t="s">
        <v>619</v>
      </c>
      <c r="D497" s="1" t="s">
        <v>108</v>
      </c>
      <c r="E497" s="3">
        <v>360</v>
      </c>
      <c r="F497" s="3">
        <v>860</v>
      </c>
      <c r="U497" s="11" t="s">
        <v>1</v>
      </c>
    </row>
    <row r="498" spans="2:21" ht="12">
      <c r="B498" s="1" t="s">
        <v>207</v>
      </c>
      <c r="C498" s="1" t="s">
        <v>620</v>
      </c>
      <c r="D498" s="1" t="s">
        <v>108</v>
      </c>
      <c r="E498" s="3">
        <v>336</v>
      </c>
      <c r="F498" s="3">
        <v>1896</v>
      </c>
      <c r="U498" s="11" t="s">
        <v>1</v>
      </c>
    </row>
    <row r="499" spans="2:21" ht="12">
      <c r="B499" s="1" t="s">
        <v>207</v>
      </c>
      <c r="C499" s="1" t="s">
        <v>621</v>
      </c>
      <c r="D499" s="1" t="s">
        <v>108</v>
      </c>
      <c r="E499" s="3">
        <v>459</v>
      </c>
      <c r="F499" s="3">
        <v>1599</v>
      </c>
      <c r="U499" s="11" t="s">
        <v>1</v>
      </c>
    </row>
    <row r="500" spans="2:21" ht="12">
      <c r="B500" s="1" t="s">
        <v>207</v>
      </c>
      <c r="C500" s="1" t="s">
        <v>622</v>
      </c>
      <c r="D500" s="1" t="s">
        <v>108</v>
      </c>
      <c r="E500" s="3">
        <v>276</v>
      </c>
      <c r="F500" s="3">
        <v>1140</v>
      </c>
      <c r="U500" s="11" t="s">
        <v>1</v>
      </c>
    </row>
    <row r="501" spans="2:21" ht="12">
      <c r="B501" s="1" t="s">
        <v>207</v>
      </c>
      <c r="C501" s="1" t="s">
        <v>623</v>
      </c>
      <c r="D501" s="1" t="s">
        <v>108</v>
      </c>
      <c r="E501" s="3">
        <v>435</v>
      </c>
      <c r="F501" s="3">
        <v>547</v>
      </c>
      <c r="U501" s="11" t="s">
        <v>1</v>
      </c>
    </row>
    <row r="502" spans="2:21" ht="12">
      <c r="B502" s="1" t="s">
        <v>207</v>
      </c>
      <c r="C502" s="1" t="s">
        <v>624</v>
      </c>
      <c r="D502" s="1" t="s">
        <v>108</v>
      </c>
      <c r="E502" s="3">
        <v>300</v>
      </c>
      <c r="F502" s="3">
        <v>1320</v>
      </c>
      <c r="U502" s="11" t="s">
        <v>1</v>
      </c>
    </row>
    <row r="503" spans="2:21" ht="12">
      <c r="B503" s="1" t="s">
        <v>207</v>
      </c>
      <c r="C503" s="1" t="s">
        <v>625</v>
      </c>
      <c r="D503" s="1" t="s">
        <v>108</v>
      </c>
      <c r="E503" s="3">
        <v>286</v>
      </c>
      <c r="F503" s="3">
        <v>334</v>
      </c>
      <c r="U503" s="11" t="s">
        <v>1</v>
      </c>
    </row>
    <row r="504" spans="2:21" ht="12">
      <c r="B504" s="1" t="s">
        <v>207</v>
      </c>
      <c r="C504" s="1" t="s">
        <v>626</v>
      </c>
      <c r="D504" s="1" t="s">
        <v>108</v>
      </c>
      <c r="E504" s="3">
        <v>480</v>
      </c>
      <c r="F504" s="3">
        <v>580</v>
      </c>
      <c r="U504" s="11" t="s">
        <v>1</v>
      </c>
    </row>
    <row r="505" spans="2:21" ht="12">
      <c r="B505" s="1" t="s">
        <v>207</v>
      </c>
      <c r="C505" s="1" t="s">
        <v>627</v>
      </c>
      <c r="D505" s="1" t="s">
        <v>108</v>
      </c>
      <c r="E505" s="3">
        <v>390</v>
      </c>
      <c r="F505" s="3">
        <v>444</v>
      </c>
      <c r="U505" s="11" t="s">
        <v>1</v>
      </c>
    </row>
    <row r="506" spans="2:21" ht="12">
      <c r="B506" s="1" t="s">
        <v>207</v>
      </c>
      <c r="C506" s="1" t="s">
        <v>628</v>
      </c>
      <c r="D506" s="1" t="s">
        <v>109</v>
      </c>
      <c r="E506" s="3">
        <v>488</v>
      </c>
      <c r="F506" s="3">
        <v>3728</v>
      </c>
      <c r="U506" s="11" t="s">
        <v>1</v>
      </c>
    </row>
    <row r="507" spans="2:21" ht="12">
      <c r="B507" s="1" t="s">
        <v>207</v>
      </c>
      <c r="C507" s="1" t="s">
        <v>629</v>
      </c>
      <c r="D507" s="1" t="s">
        <v>109</v>
      </c>
      <c r="E507" s="3">
        <v>555</v>
      </c>
      <c r="F507" s="3">
        <v>4212</v>
      </c>
      <c r="U507" s="11" t="s">
        <v>1</v>
      </c>
    </row>
    <row r="508" spans="2:21" ht="12">
      <c r="B508" s="1" t="s">
        <v>207</v>
      </c>
      <c r="C508" s="1" t="s">
        <v>630</v>
      </c>
      <c r="D508" s="1" t="s">
        <v>109</v>
      </c>
      <c r="E508" s="3">
        <v>577</v>
      </c>
      <c r="F508" s="3">
        <v>4465</v>
      </c>
      <c r="U508" s="11" t="s">
        <v>1</v>
      </c>
    </row>
    <row r="509" spans="2:21" ht="12">
      <c r="B509" s="1" t="s">
        <v>207</v>
      </c>
      <c r="C509" s="1" t="s">
        <v>631</v>
      </c>
      <c r="D509" s="1" t="s">
        <v>109</v>
      </c>
      <c r="E509" s="3">
        <v>618</v>
      </c>
      <c r="F509" s="3">
        <v>4290</v>
      </c>
      <c r="U509" s="11" t="s">
        <v>1</v>
      </c>
    </row>
    <row r="510" spans="2:21" ht="12">
      <c r="B510" s="1" t="s">
        <v>207</v>
      </c>
      <c r="C510" s="1" t="s">
        <v>632</v>
      </c>
      <c r="D510" s="1" t="s">
        <v>174</v>
      </c>
      <c r="K510" s="3">
        <v>2639</v>
      </c>
      <c r="L510" s="3">
        <v>9839</v>
      </c>
      <c r="U510" s="11" t="s">
        <v>1</v>
      </c>
    </row>
    <row r="511" spans="2:21" ht="12">
      <c r="B511" s="1" t="s">
        <v>207</v>
      </c>
      <c r="C511" s="1" t="s">
        <v>633</v>
      </c>
      <c r="D511" s="1" t="s">
        <v>174</v>
      </c>
      <c r="K511" s="3">
        <v>2537</v>
      </c>
      <c r="L511" s="3">
        <v>9737</v>
      </c>
      <c r="M511" s="3">
        <v>1794</v>
      </c>
      <c r="N511" s="3">
        <v>6594</v>
      </c>
      <c r="U511" s="11" t="s">
        <v>1</v>
      </c>
    </row>
    <row r="512" spans="2:21" ht="12">
      <c r="B512" s="1" t="s">
        <v>207</v>
      </c>
      <c r="C512" s="1" t="s">
        <v>634</v>
      </c>
      <c r="D512" s="1" t="s">
        <v>174</v>
      </c>
      <c r="K512" s="3">
        <v>2840</v>
      </c>
      <c r="L512" s="3">
        <v>10040</v>
      </c>
      <c r="U512" s="11" t="s">
        <v>1</v>
      </c>
    </row>
    <row r="513" spans="2:21" ht="12">
      <c r="B513" s="1" t="s">
        <v>207</v>
      </c>
      <c r="C513" s="1" t="s">
        <v>635</v>
      </c>
      <c r="D513" s="1" t="s">
        <v>174</v>
      </c>
      <c r="K513" s="3">
        <v>2660</v>
      </c>
      <c r="L513" s="3">
        <v>9860</v>
      </c>
      <c r="M513" s="3">
        <v>1955</v>
      </c>
      <c r="N513" s="3">
        <v>6755</v>
      </c>
      <c r="U513" s="11" t="s">
        <v>1</v>
      </c>
    </row>
    <row r="514" spans="2:21" ht="12">
      <c r="B514" s="1" t="s">
        <v>207</v>
      </c>
      <c r="C514" s="1" t="s">
        <v>636</v>
      </c>
      <c r="D514" s="1" t="s">
        <v>174</v>
      </c>
      <c r="K514" s="3">
        <v>2537</v>
      </c>
      <c r="L514" s="3">
        <v>9937</v>
      </c>
      <c r="U514" s="11" t="s">
        <v>1</v>
      </c>
    </row>
    <row r="515" spans="2:21" ht="12">
      <c r="B515" s="1" t="s">
        <v>207</v>
      </c>
      <c r="C515" s="1" t="s">
        <v>637</v>
      </c>
      <c r="D515" s="1" t="s">
        <v>174</v>
      </c>
      <c r="K515" s="3">
        <v>3130</v>
      </c>
      <c r="L515" s="3">
        <v>10330</v>
      </c>
      <c r="U515" s="11" t="s">
        <v>1</v>
      </c>
    </row>
    <row r="516" spans="1:21" ht="12">
      <c r="A516" s="1" t="s">
        <v>124</v>
      </c>
      <c r="B516" s="1" t="s">
        <v>209</v>
      </c>
      <c r="C516" s="9" t="s">
        <v>638</v>
      </c>
      <c r="D516" s="1" t="s">
        <v>105</v>
      </c>
      <c r="E516" s="10">
        <v>2238</v>
      </c>
      <c r="F516" s="10">
        <v>5468</v>
      </c>
      <c r="G516" s="10">
        <v>2238</v>
      </c>
      <c r="H516" s="10">
        <v>5468</v>
      </c>
      <c r="I516" s="10">
        <v>3346</v>
      </c>
      <c r="J516" s="10">
        <v>7116</v>
      </c>
      <c r="K516" s="10">
        <v>5470</v>
      </c>
      <c r="L516" s="10">
        <v>11040</v>
      </c>
      <c r="U516" s="11" t="s">
        <v>1</v>
      </c>
    </row>
    <row r="517" spans="2:21" ht="12">
      <c r="B517" s="1" t="s">
        <v>209</v>
      </c>
      <c r="C517" s="9" t="s">
        <v>639</v>
      </c>
      <c r="D517" s="1" t="s">
        <v>105</v>
      </c>
      <c r="E517" s="10">
        <v>2187</v>
      </c>
      <c r="F517" s="10">
        <v>4407</v>
      </c>
      <c r="G517" s="10">
        <v>2538</v>
      </c>
      <c r="H517" s="10">
        <v>2808</v>
      </c>
      <c r="Q517" s="10">
        <v>4662</v>
      </c>
      <c r="R517" s="3">
        <v>19662</v>
      </c>
      <c r="U517" s="11" t="s">
        <v>1</v>
      </c>
    </row>
    <row r="518" spans="2:21" ht="12">
      <c r="B518" s="1" t="s">
        <v>209</v>
      </c>
      <c r="C518" s="9" t="s">
        <v>640</v>
      </c>
      <c r="D518" s="1" t="s">
        <v>80</v>
      </c>
      <c r="E518" s="10">
        <v>2110</v>
      </c>
      <c r="F518" s="10">
        <v>4730</v>
      </c>
      <c r="G518" s="10">
        <v>2416</v>
      </c>
      <c r="H518" s="10">
        <v>4616</v>
      </c>
      <c r="K518" s="10">
        <v>5812</v>
      </c>
      <c r="L518" s="10">
        <v>11412</v>
      </c>
      <c r="M518" s="3">
        <v>5112</v>
      </c>
      <c r="N518" s="3">
        <v>9912</v>
      </c>
      <c r="U518" s="11" t="s">
        <v>1</v>
      </c>
    </row>
    <row r="519" spans="2:21" ht="12">
      <c r="B519" s="1" t="s">
        <v>209</v>
      </c>
      <c r="C519" s="9" t="s">
        <v>641</v>
      </c>
      <c r="D519" s="1" t="s">
        <v>80</v>
      </c>
      <c r="E519" s="10">
        <v>2540</v>
      </c>
      <c r="F519" s="10">
        <v>6772</v>
      </c>
      <c r="G519" s="10">
        <v>2540</v>
      </c>
      <c r="H519" s="10">
        <v>6772</v>
      </c>
      <c r="I519" s="10">
        <v>2938</v>
      </c>
      <c r="J519" s="10">
        <v>7170</v>
      </c>
      <c r="U519" s="11" t="s">
        <v>1</v>
      </c>
    </row>
    <row r="520" spans="2:21" ht="12">
      <c r="B520" s="1" t="s">
        <v>209</v>
      </c>
      <c r="C520" s="9" t="s">
        <v>642</v>
      </c>
      <c r="D520" s="1" t="s">
        <v>88</v>
      </c>
      <c r="E520" s="10">
        <v>1680</v>
      </c>
      <c r="F520" s="10">
        <v>3336</v>
      </c>
      <c r="G520" s="10">
        <v>1680</v>
      </c>
      <c r="H520" s="10">
        <v>3336</v>
      </c>
      <c r="I520" s="10">
        <v>2520</v>
      </c>
      <c r="J520" s="10">
        <v>7854</v>
      </c>
      <c r="U520" s="11" t="s">
        <v>1</v>
      </c>
    </row>
    <row r="521" spans="2:21" ht="12">
      <c r="B521" s="1" t="s">
        <v>209</v>
      </c>
      <c r="C521" s="9" t="s">
        <v>643</v>
      </c>
      <c r="D521" s="1" t="s">
        <v>88</v>
      </c>
      <c r="E521" s="10">
        <v>1986</v>
      </c>
      <c r="F521" s="10">
        <v>3618</v>
      </c>
      <c r="G521" s="10">
        <v>2322</v>
      </c>
      <c r="H521" s="10">
        <v>4914</v>
      </c>
      <c r="U521" s="11" t="s">
        <v>1</v>
      </c>
    </row>
    <row r="522" spans="2:21" ht="12">
      <c r="B522" s="1" t="s">
        <v>209</v>
      </c>
      <c r="C522" s="9" t="s">
        <v>644</v>
      </c>
      <c r="D522" s="1" t="s">
        <v>98</v>
      </c>
      <c r="E522" s="10">
        <v>2392</v>
      </c>
      <c r="F522" s="10">
        <v>4222</v>
      </c>
      <c r="G522" s="10">
        <v>2088</v>
      </c>
      <c r="H522" s="10">
        <v>4056</v>
      </c>
      <c r="U522" s="11" t="s">
        <v>1</v>
      </c>
    </row>
    <row r="523" spans="2:21" ht="12">
      <c r="B523" s="1" t="s">
        <v>209</v>
      </c>
      <c r="C523" s="9" t="s">
        <v>645</v>
      </c>
      <c r="D523" s="1" t="s">
        <v>98</v>
      </c>
      <c r="E523" s="10">
        <v>2529</v>
      </c>
      <c r="F523" s="10">
        <v>3853</v>
      </c>
      <c r="G523" s="10">
        <v>2529</v>
      </c>
      <c r="H523" s="10">
        <v>3853</v>
      </c>
      <c r="U523" s="11" t="s">
        <v>1</v>
      </c>
    </row>
    <row r="524" spans="2:21" ht="12">
      <c r="B524" s="1" t="s">
        <v>209</v>
      </c>
      <c r="C524" s="9" t="s">
        <v>646</v>
      </c>
      <c r="D524" s="1" t="s">
        <v>98</v>
      </c>
      <c r="E524" s="10">
        <v>1800</v>
      </c>
      <c r="F524" s="10">
        <v>3100</v>
      </c>
      <c r="G524" s="10">
        <v>1900</v>
      </c>
      <c r="H524" s="10">
        <v>3200</v>
      </c>
      <c r="U524" s="11" t="s">
        <v>1</v>
      </c>
    </row>
    <row r="525" spans="2:21" ht="12">
      <c r="B525" s="1" t="s">
        <v>209</v>
      </c>
      <c r="C525" s="9" t="s">
        <v>647</v>
      </c>
      <c r="D525" s="1" t="s">
        <v>98</v>
      </c>
      <c r="E525" s="10">
        <v>1902</v>
      </c>
      <c r="F525" s="10">
        <v>3722</v>
      </c>
      <c r="G525" s="10">
        <v>1488</v>
      </c>
      <c r="H525" s="10">
        <v>2832</v>
      </c>
      <c r="U525" s="11" t="s">
        <v>1</v>
      </c>
    </row>
    <row r="526" spans="2:21" ht="12">
      <c r="B526" s="1" t="s">
        <v>209</v>
      </c>
      <c r="C526" s="9" t="s">
        <v>648</v>
      </c>
      <c r="D526" s="1" t="s">
        <v>98</v>
      </c>
      <c r="E526" s="10">
        <v>1308</v>
      </c>
      <c r="F526" s="10">
        <v>2420</v>
      </c>
      <c r="G526" s="10">
        <v>1548</v>
      </c>
      <c r="H526" s="10">
        <v>2588</v>
      </c>
      <c r="U526" s="11" t="s">
        <v>1</v>
      </c>
    </row>
    <row r="527" spans="2:21" ht="12">
      <c r="B527" s="1" t="s">
        <v>209</v>
      </c>
      <c r="C527" s="9" t="s">
        <v>649</v>
      </c>
      <c r="D527" s="1" t="s">
        <v>98</v>
      </c>
      <c r="E527" s="10">
        <v>1796</v>
      </c>
      <c r="F527" s="10">
        <v>2576</v>
      </c>
      <c r="G527" s="10">
        <v>1886</v>
      </c>
      <c r="H527" s="10">
        <v>2100</v>
      </c>
      <c r="U527" s="11" t="s">
        <v>1</v>
      </c>
    </row>
    <row r="528" spans="2:21" ht="12">
      <c r="B528" s="1" t="s">
        <v>209</v>
      </c>
      <c r="C528" s="9" t="s">
        <v>650</v>
      </c>
      <c r="D528" s="1" t="s">
        <v>106</v>
      </c>
      <c r="E528" s="10">
        <v>1770</v>
      </c>
      <c r="F528" s="10">
        <v>2820</v>
      </c>
      <c r="U528" s="11" t="s">
        <v>1</v>
      </c>
    </row>
    <row r="529" spans="2:21" ht="12">
      <c r="B529" s="1" t="s">
        <v>209</v>
      </c>
      <c r="C529" s="9" t="s">
        <v>651</v>
      </c>
      <c r="D529" s="1" t="s">
        <v>106</v>
      </c>
      <c r="E529" s="10">
        <v>1404</v>
      </c>
      <c r="F529" s="10">
        <v>2220</v>
      </c>
      <c r="U529" s="11" t="s">
        <v>1</v>
      </c>
    </row>
    <row r="530" spans="2:21" ht="12">
      <c r="B530" s="1" t="s">
        <v>209</v>
      </c>
      <c r="C530" s="9" t="s">
        <v>652</v>
      </c>
      <c r="D530" s="1" t="s">
        <v>107</v>
      </c>
      <c r="E530" s="10">
        <v>1180</v>
      </c>
      <c r="F530" s="10">
        <v>2960</v>
      </c>
      <c r="U530" s="11" t="s">
        <v>1</v>
      </c>
    </row>
    <row r="531" spans="2:21" ht="12">
      <c r="B531" s="1" t="s">
        <v>209</v>
      </c>
      <c r="C531" s="9" t="s">
        <v>653</v>
      </c>
      <c r="D531" s="1" t="s">
        <v>108</v>
      </c>
      <c r="E531" s="10">
        <v>765</v>
      </c>
      <c r="F531" s="10">
        <v>3645</v>
      </c>
      <c r="U531" s="11" t="s">
        <v>1</v>
      </c>
    </row>
    <row r="532" spans="2:21" ht="12">
      <c r="B532" s="1" t="s">
        <v>209</v>
      </c>
      <c r="C532" s="9" t="s">
        <v>653</v>
      </c>
      <c r="D532" s="1" t="s">
        <v>109</v>
      </c>
      <c r="E532" s="10">
        <v>765</v>
      </c>
      <c r="F532" s="10">
        <v>3645</v>
      </c>
      <c r="U532" s="11" t="s">
        <v>1</v>
      </c>
    </row>
    <row r="533" spans="2:21" ht="12">
      <c r="B533" s="1" t="s">
        <v>209</v>
      </c>
      <c r="C533" s="9" t="s">
        <v>654</v>
      </c>
      <c r="D533" s="1" t="s">
        <v>174</v>
      </c>
      <c r="E533" s="17" t="s">
        <v>655</v>
      </c>
      <c r="F533" s="10">
        <v>8841</v>
      </c>
      <c r="U533" s="11" t="s">
        <v>1</v>
      </c>
    </row>
    <row r="534" spans="1:21" ht="12">
      <c r="A534" s="1" t="s">
        <v>124</v>
      </c>
      <c r="B534" s="1" t="s">
        <v>211</v>
      </c>
      <c r="C534" s="9" t="s">
        <v>656</v>
      </c>
      <c r="D534" s="1" t="s">
        <v>105</v>
      </c>
      <c r="E534" s="10">
        <v>1260</v>
      </c>
      <c r="F534" s="10">
        <v>3240</v>
      </c>
      <c r="G534" s="10">
        <v>1320</v>
      </c>
      <c r="H534" s="10">
        <v>3440</v>
      </c>
      <c r="I534" s="10">
        <v>1560</v>
      </c>
      <c r="J534" s="10">
        <v>3680</v>
      </c>
      <c r="K534" s="10">
        <v>2890</v>
      </c>
      <c r="L534" s="10">
        <v>5790</v>
      </c>
      <c r="M534" s="10">
        <v>2190</v>
      </c>
      <c r="N534" s="10">
        <v>4890</v>
      </c>
      <c r="U534" s="11" t="s">
        <v>1</v>
      </c>
    </row>
    <row r="535" spans="2:21" ht="12">
      <c r="B535" s="1" t="s">
        <v>211</v>
      </c>
      <c r="C535" s="9" t="s">
        <v>657</v>
      </c>
      <c r="D535" s="1" t="s">
        <v>93</v>
      </c>
      <c r="E535" s="10">
        <v>1042</v>
      </c>
      <c r="F535" s="10">
        <v>2772</v>
      </c>
      <c r="G535" s="10">
        <v>1122</v>
      </c>
      <c r="H535" s="10">
        <v>3072</v>
      </c>
      <c r="K535" s="10">
        <v>2772</v>
      </c>
      <c r="L535" s="10">
        <v>5582</v>
      </c>
      <c r="U535" s="11" t="s">
        <v>1</v>
      </c>
    </row>
    <row r="536" spans="2:21" ht="12">
      <c r="B536" s="1" t="s">
        <v>211</v>
      </c>
      <c r="C536" s="9" t="s">
        <v>658</v>
      </c>
      <c r="D536" s="1" t="s">
        <v>106</v>
      </c>
      <c r="E536" s="10">
        <v>940</v>
      </c>
      <c r="F536" s="10">
        <v>2500</v>
      </c>
      <c r="U536" s="11" t="s">
        <v>1</v>
      </c>
    </row>
    <row r="537" spans="2:21" ht="12">
      <c r="B537" s="1" t="s">
        <v>211</v>
      </c>
      <c r="C537" s="9" t="s">
        <v>659</v>
      </c>
      <c r="D537" s="1" t="s">
        <v>106</v>
      </c>
      <c r="E537" s="10">
        <v>908</v>
      </c>
      <c r="F537" s="10">
        <v>2418</v>
      </c>
      <c r="U537" s="11" t="s">
        <v>1</v>
      </c>
    </row>
    <row r="538" spans="2:21" ht="12">
      <c r="B538" s="1" t="s">
        <v>211</v>
      </c>
      <c r="C538" s="9" t="s">
        <v>660</v>
      </c>
      <c r="D538" s="1" t="s">
        <v>106</v>
      </c>
      <c r="E538" s="10">
        <v>906</v>
      </c>
      <c r="F538" s="10">
        <v>2416</v>
      </c>
      <c r="U538" s="11" t="s">
        <v>1</v>
      </c>
    </row>
    <row r="539" spans="2:21" ht="12">
      <c r="B539" s="1" t="s">
        <v>211</v>
      </c>
      <c r="C539" s="9" t="s">
        <v>661</v>
      </c>
      <c r="D539" s="1" t="s">
        <v>106</v>
      </c>
      <c r="E539" s="10">
        <v>900</v>
      </c>
      <c r="F539" s="10">
        <v>2410</v>
      </c>
      <c r="U539" s="11" t="s">
        <v>1</v>
      </c>
    </row>
    <row r="540" spans="2:21" ht="12">
      <c r="B540" s="1" t="s">
        <v>211</v>
      </c>
      <c r="C540" s="9" t="s">
        <v>662</v>
      </c>
      <c r="D540" s="1" t="s">
        <v>106</v>
      </c>
      <c r="E540" s="10">
        <v>896</v>
      </c>
      <c r="F540" s="10">
        <v>2406</v>
      </c>
      <c r="U540" s="11" t="s">
        <v>1</v>
      </c>
    </row>
    <row r="541" spans="2:21" ht="12">
      <c r="B541" s="1" t="s">
        <v>211</v>
      </c>
      <c r="C541" s="9" t="s">
        <v>663</v>
      </c>
      <c r="D541" s="1" t="s">
        <v>106</v>
      </c>
      <c r="E541" s="10">
        <v>890</v>
      </c>
      <c r="F541" s="10">
        <v>2400</v>
      </c>
      <c r="U541" s="11" t="s">
        <v>1</v>
      </c>
    </row>
    <row r="542" spans="2:21" ht="12">
      <c r="B542" s="1" t="s">
        <v>211</v>
      </c>
      <c r="C542" s="9" t="s">
        <v>664</v>
      </c>
      <c r="D542" s="1" t="s">
        <v>106</v>
      </c>
      <c r="E542" s="10">
        <v>890</v>
      </c>
      <c r="F542" s="10">
        <v>2400</v>
      </c>
      <c r="U542" s="11" t="s">
        <v>1</v>
      </c>
    </row>
    <row r="543" spans="2:21" ht="12">
      <c r="B543" s="1" t="s">
        <v>211</v>
      </c>
      <c r="C543" s="9" t="s">
        <v>203</v>
      </c>
      <c r="D543" s="1" t="s">
        <v>106</v>
      </c>
      <c r="E543" s="10">
        <v>890</v>
      </c>
      <c r="F543" s="10">
        <v>2400</v>
      </c>
      <c r="U543" s="11" t="s">
        <v>1</v>
      </c>
    </row>
    <row r="544" spans="2:21" ht="12">
      <c r="B544" s="1" t="s">
        <v>211</v>
      </c>
      <c r="C544" s="9" t="s">
        <v>665</v>
      </c>
      <c r="D544" s="1" t="s">
        <v>108</v>
      </c>
      <c r="E544" s="10">
        <v>900</v>
      </c>
      <c r="F544" s="10">
        <v>2410</v>
      </c>
      <c r="U544" s="11" t="s">
        <v>1</v>
      </c>
    </row>
    <row r="545" spans="2:21" ht="12">
      <c r="B545" s="1" t="s">
        <v>211</v>
      </c>
      <c r="C545" s="9" t="s">
        <v>666</v>
      </c>
      <c r="D545" s="1" t="s">
        <v>108</v>
      </c>
      <c r="E545" s="10">
        <v>600</v>
      </c>
      <c r="F545" s="10">
        <v>2020</v>
      </c>
      <c r="U545" s="11" t="s">
        <v>1</v>
      </c>
    </row>
    <row r="546" spans="2:21" ht="12">
      <c r="B546" s="1" t="s">
        <v>211</v>
      </c>
      <c r="C546" s="9" t="s">
        <v>667</v>
      </c>
      <c r="D546" s="1" t="s">
        <v>108</v>
      </c>
      <c r="E546" s="10">
        <v>600</v>
      </c>
      <c r="F546" s="10">
        <v>2020</v>
      </c>
      <c r="U546" s="11" t="s">
        <v>1</v>
      </c>
    </row>
    <row r="547" spans="2:21" ht="12">
      <c r="B547" s="1" t="s">
        <v>211</v>
      </c>
      <c r="C547" s="9" t="s">
        <v>668</v>
      </c>
      <c r="D547" s="1" t="s">
        <v>108</v>
      </c>
      <c r="E547" s="10">
        <v>600</v>
      </c>
      <c r="F547" s="10">
        <v>2020</v>
      </c>
      <c r="U547" s="11" t="s">
        <v>1</v>
      </c>
    </row>
    <row r="548" spans="2:21" ht="12">
      <c r="B548" s="1" t="s">
        <v>211</v>
      </c>
      <c r="C548" s="9" t="s">
        <v>669</v>
      </c>
      <c r="D548" s="1" t="s">
        <v>174</v>
      </c>
      <c r="G548" s="10">
        <v>810</v>
      </c>
      <c r="H548" s="10">
        <v>2690</v>
      </c>
      <c r="U548" s="11" t="s">
        <v>1</v>
      </c>
    </row>
    <row r="549" spans="2:21" ht="12">
      <c r="B549" s="1" t="s">
        <v>211</v>
      </c>
      <c r="C549" s="9" t="s">
        <v>670</v>
      </c>
      <c r="D549" s="1" t="s">
        <v>174</v>
      </c>
      <c r="K549" s="10">
        <v>2692</v>
      </c>
      <c r="L549" s="10">
        <v>5512</v>
      </c>
      <c r="U549" s="11" t="s">
        <v>1</v>
      </c>
    </row>
    <row r="550" spans="1:20" ht="12">
      <c r="A550" s="4" t="s">
        <v>8</v>
      </c>
      <c r="B550" s="4" t="s">
        <v>8</v>
      </c>
      <c r="C550" s="4" t="s">
        <v>8</v>
      </c>
      <c r="D550" s="4" t="s">
        <v>8</v>
      </c>
      <c r="E550" s="4" t="s">
        <v>8</v>
      </c>
      <c r="F550" s="4" t="s">
        <v>8</v>
      </c>
      <c r="G550" s="4" t="s">
        <v>8</v>
      </c>
      <c r="H550" s="4" t="s">
        <v>8</v>
      </c>
      <c r="I550" s="4" t="s">
        <v>8</v>
      </c>
      <c r="J550" s="4" t="s">
        <v>8</v>
      </c>
      <c r="K550" s="4" t="s">
        <v>8</v>
      </c>
      <c r="L550" s="4" t="s">
        <v>8</v>
      </c>
      <c r="M550" s="4" t="s">
        <v>8</v>
      </c>
      <c r="N550" s="4" t="s">
        <v>8</v>
      </c>
      <c r="O550" s="4" t="s">
        <v>8</v>
      </c>
      <c r="P550" s="4" t="s">
        <v>8</v>
      </c>
      <c r="Q550" s="4" t="s">
        <v>8</v>
      </c>
      <c r="R550" s="4" t="s">
        <v>8</v>
      </c>
      <c r="S550" s="4" t="s">
        <v>8</v>
      </c>
      <c r="T550" s="4" t="s">
        <v>8</v>
      </c>
    </row>
    <row r="551" spans="2:16" ht="12">
      <c r="B551" s="3">
        <v>16</v>
      </c>
      <c r="C551" s="3">
        <v>7</v>
      </c>
      <c r="D551" s="3">
        <v>7</v>
      </c>
      <c r="E551" s="3">
        <v>7</v>
      </c>
      <c r="F551" s="3">
        <v>7</v>
      </c>
      <c r="G551" s="3">
        <v>7</v>
      </c>
      <c r="H551" s="3">
        <v>7</v>
      </c>
      <c r="I551" s="3">
        <v>7</v>
      </c>
      <c r="J551" s="3">
        <v>7</v>
      </c>
      <c r="K551" s="3">
        <v>7</v>
      </c>
      <c r="L551" s="3">
        <v>7</v>
      </c>
      <c r="M551" s="3">
        <v>7</v>
      </c>
      <c r="N551" s="3">
        <v>7</v>
      </c>
      <c r="O551" s="3">
        <v>7</v>
      </c>
      <c r="P551" s="3">
        <v>7</v>
      </c>
    </row>
    <row r="552" ht="12">
      <c r="Q552" s="3">
        <f>SUM(B551:P551)</f>
        <v>114</v>
      </c>
    </row>
    <row r="553" ht="12">
      <c r="B553" s="3">
        <f>((0-0)/2)+0</f>
        <v>0</v>
      </c>
    </row>
    <row r="554" ht="12">
      <c r="B554" s="1" t="s">
        <v>671</v>
      </c>
    </row>
    <row r="555" ht="12">
      <c r="B555" s="3">
        <f>COUNT(#VALUE!)</f>
        <v>1</v>
      </c>
    </row>
    <row r="556" spans="20:40" ht="12">
      <c r="T556" s="1" t="s">
        <v>672</v>
      </c>
      <c r="AN556" s="5" t="s">
        <v>8</v>
      </c>
    </row>
    <row r="558" ht="12">
      <c r="A558" s="1" t="s">
        <v>673</v>
      </c>
    </row>
    <row r="559" ht="12">
      <c r="T559" s="1" t="s">
        <v>674</v>
      </c>
    </row>
    <row r="560" spans="1:2" ht="12">
      <c r="A560" s="1" t="s">
        <v>675</v>
      </c>
      <c r="B560" s="1" t="s">
        <v>676</v>
      </c>
    </row>
    <row r="561" ht="12">
      <c r="B561" s="1" t="s">
        <v>677</v>
      </c>
    </row>
    <row r="562" ht="12">
      <c r="B562" s="1" t="s">
        <v>678</v>
      </c>
    </row>
    <row r="563" spans="2:20" ht="12">
      <c r="B563" s="1" t="s">
        <v>679</v>
      </c>
      <c r="T563" s="1" t="s">
        <v>680</v>
      </c>
    </row>
    <row r="564" ht="12">
      <c r="T564" s="1" t="s">
        <v>681</v>
      </c>
    </row>
    <row r="565" ht="12">
      <c r="T565" s="1" t="s">
        <v>682</v>
      </c>
    </row>
    <row r="566" ht="12">
      <c r="T566" s="1" t="s">
        <v>495</v>
      </c>
    </row>
    <row r="572" spans="24:37" ht="12"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4:37" ht="12"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4:37" ht="12"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4:37" ht="12"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7" spans="24:37" ht="12"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4:37" ht="12"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4:37" ht="12"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1" spans="24:37" ht="12"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7:37" ht="12">
      <c r="Q582" s="7"/>
      <c r="R582" s="7"/>
      <c r="S582" s="7"/>
      <c r="T582" s="7"/>
      <c r="U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4:37" ht="12"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5" spans="24:37" ht="12"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4:37" ht="12"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4:37" ht="12"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9" spans="24:37" ht="12"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4:37" ht="12"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618" spans="24:31" ht="12">
      <c r="X618" s="7"/>
      <c r="Y618" s="7"/>
      <c r="Z618" s="7"/>
      <c r="AA618" s="7"/>
      <c r="AB618" s="7"/>
      <c r="AC618" s="7"/>
      <c r="AD618" s="7"/>
      <c r="AE618" s="7"/>
    </row>
    <row r="619" spans="24:31" ht="12">
      <c r="X619" s="7"/>
      <c r="Y619" s="7"/>
      <c r="Z619" s="7"/>
      <c r="AA619" s="7"/>
      <c r="AB619" s="7"/>
      <c r="AC619" s="7"/>
      <c r="AD619" s="7"/>
      <c r="AE619" s="7"/>
    </row>
    <row r="620" spans="24:31" ht="12">
      <c r="X620" s="7"/>
      <c r="Y620" s="7"/>
      <c r="Z620" s="7"/>
      <c r="AA620" s="7"/>
      <c r="AB620" s="7"/>
      <c r="AC620" s="7"/>
      <c r="AD620" s="7"/>
      <c r="AE620" s="7"/>
    </row>
    <row r="622" spans="24:31" ht="12">
      <c r="X622" s="7"/>
      <c r="Y622" s="7"/>
      <c r="Z622" s="7"/>
      <c r="AA622" s="7"/>
      <c r="AB622" s="7"/>
      <c r="AC622" s="7"/>
      <c r="AD622" s="7"/>
      <c r="AE622" s="7"/>
    </row>
    <row r="623" spans="24:31" ht="12">
      <c r="X623" s="7"/>
      <c r="Y623" s="7"/>
      <c r="Z623" s="7"/>
      <c r="AA623" s="7"/>
      <c r="AB623" s="7"/>
      <c r="AC623" s="7"/>
      <c r="AD623" s="7"/>
      <c r="AE623" s="7"/>
    </row>
    <row r="624" spans="24:31" ht="12">
      <c r="X624" s="7"/>
      <c r="Y624" s="7"/>
      <c r="Z624" s="7"/>
      <c r="AA624" s="7"/>
      <c r="AB624" s="7"/>
      <c r="AC624" s="7"/>
      <c r="AD624" s="7"/>
      <c r="AE624" s="7"/>
    </row>
    <row r="626" spans="24:31" ht="12">
      <c r="X626" s="7"/>
      <c r="Y626" s="7"/>
      <c r="Z626" s="7"/>
      <c r="AA626" s="7"/>
      <c r="AB626" s="7"/>
      <c r="AC626" s="7"/>
      <c r="AD626" s="7"/>
      <c r="AE626" s="7"/>
    </row>
    <row r="627" spans="24:31" ht="12">
      <c r="X627" s="7"/>
      <c r="Y627" s="7"/>
      <c r="Z627" s="7"/>
      <c r="AA627" s="7"/>
      <c r="AB627" s="7"/>
      <c r="AC627" s="7"/>
      <c r="AD627" s="7"/>
      <c r="AE627" s="7"/>
    </row>
    <row r="628" spans="24:31" ht="12">
      <c r="X628" s="7"/>
      <c r="Y628" s="7"/>
      <c r="Z628" s="7"/>
      <c r="AA628" s="7"/>
      <c r="AB628" s="7"/>
      <c r="AC628" s="7"/>
      <c r="AD628" s="7"/>
      <c r="AE628" s="7"/>
    </row>
    <row r="630" spans="24:31" ht="12">
      <c r="X630" s="7"/>
      <c r="Y630" s="7"/>
      <c r="Z630" s="7"/>
      <c r="AA630" s="7"/>
      <c r="AB630" s="7"/>
      <c r="AC630" s="7"/>
      <c r="AD630" s="7"/>
      <c r="AE630" s="7"/>
    </row>
    <row r="631" spans="24:31" ht="12">
      <c r="X631" s="7"/>
      <c r="Y631" s="7"/>
      <c r="Z631" s="7"/>
      <c r="AA631" s="7"/>
      <c r="AB631" s="7"/>
      <c r="AC631" s="7"/>
      <c r="AD631" s="7"/>
      <c r="AE631" s="7"/>
    </row>
    <row r="632" spans="24:31" ht="12">
      <c r="X632" s="7"/>
      <c r="Y632" s="7"/>
      <c r="Z632" s="7"/>
      <c r="AA632" s="7"/>
      <c r="AB632" s="7"/>
      <c r="AC632" s="7"/>
      <c r="AD632" s="7"/>
      <c r="AE632" s="7"/>
    </row>
    <row r="634" spans="24:31" ht="12">
      <c r="X634" s="7"/>
      <c r="Y634" s="7"/>
      <c r="Z634" s="7"/>
      <c r="AA634" s="7"/>
      <c r="AB634" s="7"/>
      <c r="AC634" s="7"/>
      <c r="AD634" s="7"/>
      <c r="AE634" s="7"/>
    </row>
    <row r="635" spans="24:31" ht="12">
      <c r="X635" s="7"/>
      <c r="Y635" s="7"/>
      <c r="Z635" s="7"/>
      <c r="AA635" s="7"/>
      <c r="AB635" s="7"/>
      <c r="AC635" s="7"/>
      <c r="AD635" s="7"/>
      <c r="AE635" s="7"/>
    </row>
    <row r="636" spans="24:31" ht="12">
      <c r="X636" s="7"/>
      <c r="Y636" s="7"/>
      <c r="Z636" s="7"/>
      <c r="AA636" s="7"/>
      <c r="AB636" s="7"/>
      <c r="AC636" s="7"/>
      <c r="AD636" s="7"/>
      <c r="AE636" s="7"/>
    </row>
    <row r="637" spans="24:31" ht="12">
      <c r="X637" s="7"/>
      <c r="Y637" s="7"/>
      <c r="Z637" s="7"/>
      <c r="AA637" s="7"/>
      <c r="AB637" s="7"/>
      <c r="AC637" s="7"/>
      <c r="AD637" s="7"/>
      <c r="AE637" s="7"/>
    </row>
    <row r="664" spans="24:35" ht="12"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4:35" ht="12"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4:35" ht="12"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4:35" ht="12"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73" spans="24:35" ht="12"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4:35" ht="12"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4:35" ht="12"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7" spans="24:35" ht="12"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4:35" ht="12"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4:35" ht="12"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2" spans="24:35" ht="12"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4:35" ht="12"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5" spans="24:35" ht="12"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4:35" ht="12"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4:35" ht="12"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4:35" ht="12"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17:35" ht="12">
      <c r="Q689" s="12"/>
      <c r="R689" s="12"/>
      <c r="S689" s="12"/>
      <c r="T689" s="12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713" spans="24:35" ht="12"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4:35" ht="12"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4:35" ht="12"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7" spans="24:35" ht="12"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4:35" ht="12"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4:35" ht="12"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1" spans="24:35" ht="12"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4:35" ht="12"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4:35" ht="12"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6" spans="24:35" ht="12"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4:35" ht="12"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9" spans="24:35" ht="12"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4:35" ht="12"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4:35" ht="12"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4:35" ht="12"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4:35" ht="12"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Exchange, 1986-87&amp;C&amp;R23-Sep-87</oddHeader>
    <oddFooter>&amp;C- 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2000-07-24T14:46:47Z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