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I:\FactBooks\3_Completion\"/>
    </mc:Choice>
  </mc:AlternateContent>
  <xr:revisionPtr revIDLastSave="0" documentId="13_ncr:1_{D1BDE8B9-AB74-4713-B80A-D0B2F2CE9215}" xr6:coauthVersionLast="43" xr6:coauthVersionMax="43" xr10:uidLastSave="{00000000-0000-0000-0000-000000000000}"/>
  <bookViews>
    <workbookView xWindow="-120" yWindow="-120" windowWidth="29040" windowHeight="15840" xr2:uid="{00000000-000D-0000-FFFF-FFFF00000000}"/>
  </bookViews>
  <sheets>
    <sheet name="TABLE 49" sheetId="2" r:id="rId1"/>
    <sheet name="Total Associates" sheetId="7" r:id="rId2"/>
    <sheet name="Public" sheetId="8" r:id="rId3"/>
    <sheet name="Gender" sheetId="1" r:id="rId4"/>
    <sheet name="All races" sheetId="9" r:id="rId5"/>
    <sheet name="Black" sheetId="11" r:id="rId6"/>
    <sheet name="Hispanic &amp; Foreign" sheetId="10" r:id="rId7"/>
    <sheet name="Women as a % of Total" sheetId="12" r:id="rId8"/>
    <sheet name="Sheet1" sheetId="13" r:id="rId9"/>
  </sheets>
  <definedNames>
    <definedName name="__123Graph_A" hidden="1">Gender!#REF!</definedName>
    <definedName name="__123Graph_LBL_A" hidden="1">Gender!#REF!</definedName>
    <definedName name="__123Graph_X" hidden="1">Gender!#REF!</definedName>
    <definedName name="_1__123Graph_AASSO" hidden="1">Gender!#REF!</definedName>
    <definedName name="_2__123Graph_AASSO" hidden="1">Gender!#REF!</definedName>
    <definedName name="_3__123Graph_LBL_AASSO" hidden="1">Gender!#REF!</definedName>
    <definedName name="_4__123Graph_LBL_AASSO" hidden="1">Gender!#REF!</definedName>
    <definedName name="_5__123Graph_XASSO" hidden="1">Gender!#REF!</definedName>
    <definedName name="_6__123Graph_XASSO" hidden="1">Gender!#REF!</definedName>
    <definedName name="DATA">Gender!$A$1</definedName>
    <definedName name="_xlnm.Print_Area" localSheetId="0">'TABLE 49'!$A$1:$P$72</definedName>
    <definedName name="T_1">'TABLE 49'!$A$1:$H$7</definedName>
    <definedName name="T_2">'Gender:Hispanic &amp; Foreign'!$A$1:$CI$155</definedName>
    <definedName name="T_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7" i="2" l="1"/>
  <c r="P66" i="2"/>
  <c r="P65" i="2"/>
  <c r="P64" i="2"/>
  <c r="P63" i="2"/>
  <c r="P62" i="2"/>
  <c r="P61" i="2"/>
  <c r="P60" i="2"/>
  <c r="P59" i="2"/>
  <c r="P58" i="2"/>
  <c r="P56" i="2"/>
  <c r="P55" i="2"/>
  <c r="P54" i="2"/>
  <c r="P53" i="2"/>
  <c r="P52" i="2"/>
  <c r="P51" i="2"/>
  <c r="P50" i="2"/>
  <c r="P49" i="2"/>
  <c r="P48" i="2"/>
  <c r="P47" i="2"/>
  <c r="P46" i="2"/>
  <c r="P45" i="2"/>
  <c r="P44" i="2"/>
  <c r="P42" i="2"/>
  <c r="P41" i="2"/>
  <c r="P40" i="2"/>
  <c r="P39" i="2"/>
  <c r="P38" i="2"/>
  <c r="P37" i="2"/>
  <c r="P36" i="2"/>
  <c r="P35" i="2"/>
  <c r="P34" i="2"/>
  <c r="P33" i="2"/>
  <c r="P32" i="2"/>
  <c r="P31" i="2"/>
  <c r="P30" i="2"/>
  <c r="P29" i="2"/>
  <c r="P27" i="2"/>
  <c r="P26" i="2"/>
  <c r="P25" i="2"/>
  <c r="P24" i="2"/>
  <c r="P23" i="2"/>
  <c r="P22" i="2"/>
  <c r="P21" i="2"/>
  <c r="P20" i="2"/>
  <c r="P19" i="2"/>
  <c r="P18" i="2"/>
  <c r="P17" i="2"/>
  <c r="P16" i="2"/>
  <c r="P15" i="2"/>
  <c r="P14" i="2"/>
  <c r="P13" i="2"/>
  <c r="P12" i="2"/>
  <c r="P11" i="2"/>
  <c r="P9" i="2"/>
  <c r="P8" i="2"/>
  <c r="O67" i="2"/>
  <c r="O66" i="2"/>
  <c r="O65" i="2"/>
  <c r="O64" i="2"/>
  <c r="O63" i="2"/>
  <c r="O62" i="2"/>
  <c r="O61" i="2"/>
  <c r="O60" i="2"/>
  <c r="O59" i="2"/>
  <c r="O58" i="2"/>
  <c r="O56" i="2"/>
  <c r="O55" i="2"/>
  <c r="O54" i="2"/>
  <c r="O53" i="2"/>
  <c r="O52" i="2"/>
  <c r="O51" i="2"/>
  <c r="O50" i="2"/>
  <c r="O49" i="2"/>
  <c r="O48" i="2"/>
  <c r="O47" i="2"/>
  <c r="O46" i="2"/>
  <c r="O45" i="2"/>
  <c r="O44" i="2"/>
  <c r="O42" i="2"/>
  <c r="O41" i="2"/>
  <c r="O40" i="2"/>
  <c r="O39" i="2"/>
  <c r="O38" i="2"/>
  <c r="O37" i="2"/>
  <c r="O36" i="2"/>
  <c r="O35" i="2"/>
  <c r="O34" i="2"/>
  <c r="O33" i="2"/>
  <c r="O32" i="2"/>
  <c r="O31" i="2"/>
  <c r="O30" i="2"/>
  <c r="O29" i="2"/>
  <c r="O27" i="2"/>
  <c r="O26" i="2"/>
  <c r="O25" i="2"/>
  <c r="O24" i="2"/>
  <c r="O23" i="2"/>
  <c r="O22" i="2"/>
  <c r="O21" i="2"/>
  <c r="O20" i="2"/>
  <c r="O19" i="2"/>
  <c r="O18" i="2"/>
  <c r="O17" i="2"/>
  <c r="O16" i="2"/>
  <c r="O15" i="2"/>
  <c r="O14" i="2"/>
  <c r="O13" i="2"/>
  <c r="O12" i="2"/>
  <c r="O11" i="2"/>
  <c r="O9" i="2"/>
  <c r="O8" i="2"/>
  <c r="N67" i="2"/>
  <c r="N66" i="2"/>
  <c r="N65" i="2"/>
  <c r="N64" i="2"/>
  <c r="N63" i="2"/>
  <c r="N62" i="2"/>
  <c r="N61" i="2"/>
  <c r="N60" i="2"/>
  <c r="N59" i="2"/>
  <c r="N58" i="2"/>
  <c r="N55" i="2"/>
  <c r="N54" i="2"/>
  <c r="N53" i="2"/>
  <c r="N52" i="2"/>
  <c r="N51" i="2"/>
  <c r="N50" i="2"/>
  <c r="N49" i="2"/>
  <c r="N48" i="2"/>
  <c r="N47" i="2"/>
  <c r="N46" i="2"/>
  <c r="N45" i="2"/>
  <c r="N44" i="2"/>
  <c r="N41" i="2"/>
  <c r="N40" i="2"/>
  <c r="N39" i="2"/>
  <c r="N38" i="2"/>
  <c r="N37" i="2"/>
  <c r="N36" i="2"/>
  <c r="N35" i="2"/>
  <c r="N34" i="2"/>
  <c r="N33" i="2"/>
  <c r="N32" i="2"/>
  <c r="N31" i="2"/>
  <c r="N30" i="2"/>
  <c r="N29" i="2"/>
  <c r="N26" i="2"/>
  <c r="N25" i="2"/>
  <c r="N24" i="2"/>
  <c r="N23" i="2"/>
  <c r="N22" i="2"/>
  <c r="N21" i="2"/>
  <c r="N20" i="2"/>
  <c r="N19" i="2"/>
  <c r="N18" i="2"/>
  <c r="N17" i="2"/>
  <c r="N16" i="2"/>
  <c r="N15" i="2"/>
  <c r="N14" i="2"/>
  <c r="N13" i="2"/>
  <c r="N12" i="2"/>
  <c r="N11" i="2"/>
  <c r="N9" i="2"/>
  <c r="M67" i="2"/>
  <c r="M66" i="2"/>
  <c r="M65" i="2"/>
  <c r="M64" i="2"/>
  <c r="M63" i="2"/>
  <c r="M62" i="2"/>
  <c r="M61" i="2"/>
  <c r="M60" i="2"/>
  <c r="M59" i="2"/>
  <c r="M58" i="2"/>
  <c r="M56" i="2"/>
  <c r="M55" i="2"/>
  <c r="M54" i="2"/>
  <c r="M53" i="2"/>
  <c r="M52" i="2"/>
  <c r="M51" i="2"/>
  <c r="M50" i="2"/>
  <c r="M49" i="2"/>
  <c r="M48" i="2"/>
  <c r="M47" i="2"/>
  <c r="M46" i="2"/>
  <c r="M45" i="2"/>
  <c r="M44" i="2"/>
  <c r="M42" i="2"/>
  <c r="M41" i="2"/>
  <c r="M40" i="2"/>
  <c r="M39" i="2"/>
  <c r="M38" i="2"/>
  <c r="M37" i="2"/>
  <c r="M36" i="2"/>
  <c r="M35" i="2"/>
  <c r="M34" i="2"/>
  <c r="M33" i="2"/>
  <c r="M32" i="2"/>
  <c r="M31" i="2"/>
  <c r="M30" i="2"/>
  <c r="M29" i="2"/>
  <c r="M27" i="2"/>
  <c r="M26" i="2"/>
  <c r="M25" i="2"/>
  <c r="M24" i="2"/>
  <c r="M23" i="2"/>
  <c r="M22" i="2"/>
  <c r="M21" i="2"/>
  <c r="M20" i="2"/>
  <c r="M19" i="2"/>
  <c r="M18" i="2"/>
  <c r="M17" i="2"/>
  <c r="M16" i="2"/>
  <c r="M15" i="2"/>
  <c r="M14" i="2"/>
  <c r="M13" i="2"/>
  <c r="M12" i="2"/>
  <c r="M11" i="2"/>
  <c r="M9" i="2"/>
  <c r="M8" i="2"/>
  <c r="L67" i="2"/>
  <c r="L66" i="2"/>
  <c r="L65" i="2"/>
  <c r="L64" i="2"/>
  <c r="L63" i="2"/>
  <c r="L62" i="2"/>
  <c r="L61" i="2"/>
  <c r="L60" i="2"/>
  <c r="L59" i="2"/>
  <c r="L58" i="2"/>
  <c r="L55" i="2"/>
  <c r="L54" i="2"/>
  <c r="L53" i="2"/>
  <c r="L52" i="2"/>
  <c r="L51" i="2"/>
  <c r="L50" i="2"/>
  <c r="L49" i="2"/>
  <c r="L48" i="2"/>
  <c r="L47" i="2"/>
  <c r="L46" i="2"/>
  <c r="L45" i="2"/>
  <c r="L44" i="2"/>
  <c r="L41" i="2"/>
  <c r="L40" i="2"/>
  <c r="L39" i="2"/>
  <c r="L38" i="2"/>
  <c r="L37" i="2"/>
  <c r="L36" i="2"/>
  <c r="L35" i="2"/>
  <c r="L34" i="2"/>
  <c r="L33" i="2"/>
  <c r="L32" i="2"/>
  <c r="L31" i="2"/>
  <c r="L30" i="2"/>
  <c r="L29" i="2"/>
  <c r="L26" i="2"/>
  <c r="L25" i="2"/>
  <c r="L24" i="2"/>
  <c r="L23" i="2"/>
  <c r="L22" i="2"/>
  <c r="L21" i="2"/>
  <c r="L20" i="2"/>
  <c r="L19" i="2"/>
  <c r="L18" i="2"/>
  <c r="L17" i="2"/>
  <c r="L16" i="2"/>
  <c r="L15" i="2"/>
  <c r="L14" i="2"/>
  <c r="L13" i="2"/>
  <c r="L12" i="2"/>
  <c r="L11" i="2"/>
  <c r="L9" i="2"/>
  <c r="K67"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J67"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7" i="2"/>
  <c r="J26" i="2"/>
  <c r="J25" i="2"/>
  <c r="J24" i="2"/>
  <c r="J23" i="2"/>
  <c r="J22" i="2"/>
  <c r="J21" i="2"/>
  <c r="J20" i="2"/>
  <c r="J19" i="2"/>
  <c r="J18" i="2"/>
  <c r="J17" i="2"/>
  <c r="J16" i="2"/>
  <c r="J15" i="2"/>
  <c r="J14" i="2"/>
  <c r="J13" i="2"/>
  <c r="J12" i="2"/>
  <c r="J11" i="2"/>
  <c r="J9" i="2"/>
  <c r="J8" i="2"/>
  <c r="I67"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9" i="2"/>
  <c r="I8"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7"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9" i="2"/>
  <c r="F8"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7" i="2" l="1"/>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AU52" i="1"/>
  <c r="AV52" i="1"/>
  <c r="AU38" i="1"/>
  <c r="AV38" i="1"/>
  <c r="AU23" i="1"/>
  <c r="AV23" i="1"/>
  <c r="AU5" i="1"/>
  <c r="AV5" i="1"/>
  <c r="AU4" i="1" l="1"/>
  <c r="AV4" i="1"/>
  <c r="AV6" i="1" s="1"/>
  <c r="AU24" i="1" l="1"/>
  <c r="AU53" i="1"/>
  <c r="AV53" i="1"/>
  <c r="AU6" i="1"/>
  <c r="AU39" i="1"/>
  <c r="AV39" i="1"/>
  <c r="AV24" i="1"/>
  <c r="AU6" i="12" l="1"/>
  <c r="AV6" i="12"/>
  <c r="AU7" i="12"/>
  <c r="AV7" i="12"/>
  <c r="AU8" i="12"/>
  <c r="AV8" i="12"/>
  <c r="AU9" i="12"/>
  <c r="AV9" i="12"/>
  <c r="AU10" i="12"/>
  <c r="AV10" i="12"/>
  <c r="AU11" i="12"/>
  <c r="AV11" i="12"/>
  <c r="AU12" i="12"/>
  <c r="AV12" i="12"/>
  <c r="AU13" i="12"/>
  <c r="AV13" i="12"/>
  <c r="AU14" i="12"/>
  <c r="AV14" i="12"/>
  <c r="AU15" i="12"/>
  <c r="AV15" i="12"/>
  <c r="AU16" i="12"/>
  <c r="AV16" i="12"/>
  <c r="AU17" i="12"/>
  <c r="AV17" i="12"/>
  <c r="AU18" i="12"/>
  <c r="AV18" i="12"/>
  <c r="AU19" i="12"/>
  <c r="AV19" i="12"/>
  <c r="AU20" i="12"/>
  <c r="AV20" i="12"/>
  <c r="AU21" i="12"/>
  <c r="AV21" i="12"/>
  <c r="AU24" i="12"/>
  <c r="AV24" i="12"/>
  <c r="AU25" i="12"/>
  <c r="AV25" i="12"/>
  <c r="AU26" i="12"/>
  <c r="AV26" i="12"/>
  <c r="AU27" i="12"/>
  <c r="AV27" i="12"/>
  <c r="AU28" i="12"/>
  <c r="AV28" i="12"/>
  <c r="AU29" i="12"/>
  <c r="AV29" i="12"/>
  <c r="AU30" i="12"/>
  <c r="AV30" i="12"/>
  <c r="AU31" i="12"/>
  <c r="AV31" i="12"/>
  <c r="AU32" i="12"/>
  <c r="AV32" i="12"/>
  <c r="AU33" i="12"/>
  <c r="AV33" i="12"/>
  <c r="AU34" i="12"/>
  <c r="AV34" i="12"/>
  <c r="AU35" i="12"/>
  <c r="AV35" i="12"/>
  <c r="AU36" i="12"/>
  <c r="AV36" i="12"/>
  <c r="AU39" i="12"/>
  <c r="AV39" i="12"/>
  <c r="AU40" i="12"/>
  <c r="AV40" i="12"/>
  <c r="AU41" i="12"/>
  <c r="AV41" i="12"/>
  <c r="AU42" i="12"/>
  <c r="AV42" i="12"/>
  <c r="AU43" i="12"/>
  <c r="AV43" i="12"/>
  <c r="AU44" i="12"/>
  <c r="AV44" i="12"/>
  <c r="AU45" i="12"/>
  <c r="AV45" i="12"/>
  <c r="AU46" i="12"/>
  <c r="AV46" i="12"/>
  <c r="AU47" i="12"/>
  <c r="AV47" i="12"/>
  <c r="AU48" i="12"/>
  <c r="AV48" i="12"/>
  <c r="AU49" i="12"/>
  <c r="AV49" i="12"/>
  <c r="AU50" i="12"/>
  <c r="AV50" i="12"/>
  <c r="AU53" i="12"/>
  <c r="AV53" i="12"/>
  <c r="AU54" i="12"/>
  <c r="AV54" i="12"/>
  <c r="AU55" i="12"/>
  <c r="AV55" i="12"/>
  <c r="AU56" i="12"/>
  <c r="AV56" i="12"/>
  <c r="AU57" i="12"/>
  <c r="AV57" i="12"/>
  <c r="AU58" i="12"/>
  <c r="AV58" i="12"/>
  <c r="AU59" i="12"/>
  <c r="AV59" i="12"/>
  <c r="AU60" i="12"/>
  <c r="AV60" i="12"/>
  <c r="AU61" i="12"/>
  <c r="AV61" i="12"/>
  <c r="AU62" i="12"/>
  <c r="AV62" i="12"/>
  <c r="BF52" i="10"/>
  <c r="BG52" i="10"/>
  <c r="BG38" i="10"/>
  <c r="BF38" i="10"/>
  <c r="BF23" i="10"/>
  <c r="BG23" i="10"/>
  <c r="BF5" i="10"/>
  <c r="BG5" i="10"/>
  <c r="AC52" i="10"/>
  <c r="AD52" i="10"/>
  <c r="AC38" i="10"/>
  <c r="AD38" i="10"/>
  <c r="AC23" i="10"/>
  <c r="AD23" i="10"/>
  <c r="AC5" i="10"/>
  <c r="AD5" i="10"/>
  <c r="AD5" i="11"/>
  <c r="AE5" i="11"/>
  <c r="AD23" i="11"/>
  <c r="AE23" i="11"/>
  <c r="AD38" i="11"/>
  <c r="AE38" i="11"/>
  <c r="AD52" i="11"/>
  <c r="AE52" i="11"/>
  <c r="CB52" i="11"/>
  <c r="CC52" i="11"/>
  <c r="N56" i="2" s="1"/>
  <c r="CB38" i="11"/>
  <c r="CC38" i="11"/>
  <c r="N42" i="2" s="1"/>
  <c r="CB23" i="11"/>
  <c r="CC23" i="11"/>
  <c r="N27" i="2" s="1"/>
  <c r="CB5" i="11"/>
  <c r="CC5" i="11"/>
  <c r="AD52" i="9"/>
  <c r="AE52" i="9"/>
  <c r="AD38" i="9"/>
  <c r="AE38" i="9"/>
  <c r="AD23" i="9"/>
  <c r="AE23" i="9"/>
  <c r="AD5" i="9"/>
  <c r="AE5" i="9"/>
  <c r="CP52" i="1"/>
  <c r="CQ52" i="1"/>
  <c r="CP38" i="1"/>
  <c r="CQ38" i="1"/>
  <c r="CP23" i="1"/>
  <c r="CQ23" i="1"/>
  <c r="CP5" i="1"/>
  <c r="AU4" i="12" s="1"/>
  <c r="CQ5" i="1"/>
  <c r="AB52" i="8"/>
  <c r="AC52" i="8"/>
  <c r="AB38" i="8"/>
  <c r="AC38" i="8"/>
  <c r="AB23" i="8"/>
  <c r="AC23" i="8"/>
  <c r="AB5" i="8"/>
  <c r="AC5" i="8"/>
  <c r="AV52" i="7"/>
  <c r="AW52" i="7"/>
  <c r="AW38" i="7"/>
  <c r="AV38" i="7"/>
  <c r="AV23" i="7"/>
  <c r="AW23" i="7"/>
  <c r="AV5" i="7"/>
  <c r="AW5" i="7"/>
  <c r="AE4" i="11" l="1"/>
  <c r="AE6" i="11" s="1"/>
  <c r="AD4" i="11"/>
  <c r="AD53" i="11" s="1"/>
  <c r="AV51" i="12"/>
  <c r="AV37" i="12"/>
  <c r="AV22" i="12"/>
  <c r="AV4" i="12"/>
  <c r="AU51" i="12"/>
  <c r="AU37" i="12"/>
  <c r="AU22" i="12"/>
  <c r="BG4" i="10"/>
  <c r="BG6" i="10" s="1"/>
  <c r="BF4" i="10"/>
  <c r="BF6" i="10" s="1"/>
  <c r="AD4" i="10"/>
  <c r="AC4" i="10"/>
  <c r="AC53" i="10" s="1"/>
  <c r="AC24" i="10"/>
  <c r="AD6" i="11"/>
  <c r="AD39" i="11"/>
  <c r="AD24" i="11"/>
  <c r="AE53" i="11"/>
  <c r="AE24" i="11"/>
  <c r="CB4" i="11"/>
  <c r="CB24" i="11" s="1"/>
  <c r="CC4" i="11"/>
  <c r="AE53" i="9"/>
  <c r="AE4" i="9"/>
  <c r="AE6" i="9" s="1"/>
  <c r="AD4" i="9"/>
  <c r="AD53" i="9" s="1"/>
  <c r="CP4" i="1"/>
  <c r="CP6" i="1" s="1"/>
  <c r="CQ4" i="1"/>
  <c r="CQ6" i="1" s="1"/>
  <c r="AB4" i="8"/>
  <c r="AB39" i="8" s="1"/>
  <c r="AC4" i="8"/>
  <c r="AC6" i="8" s="1"/>
  <c r="AW4" i="7"/>
  <c r="AV4" i="7"/>
  <c r="CB6" i="11" l="1"/>
  <c r="CC6" i="11"/>
  <c r="N8" i="2"/>
  <c r="AE39" i="11"/>
  <c r="AU3" i="12"/>
  <c r="AC53" i="8"/>
  <c r="AW53" i="7"/>
  <c r="AV3" i="12"/>
  <c r="BF24" i="10"/>
  <c r="BF53" i="10"/>
  <c r="BG24" i="10"/>
  <c r="BG39" i="10"/>
  <c r="BG53" i="10"/>
  <c r="BF39" i="10"/>
  <c r="AD6" i="10"/>
  <c r="AD53" i="10"/>
  <c r="AD24" i="10"/>
  <c r="AC6" i="10"/>
  <c r="AC39" i="10"/>
  <c r="AD39" i="10"/>
  <c r="CB39" i="11"/>
  <c r="CB53" i="11"/>
  <c r="CC53" i="11"/>
  <c r="CC24" i="11"/>
  <c r="CC39" i="11"/>
  <c r="AD6" i="9"/>
  <c r="AD39" i="9"/>
  <c r="AE24" i="9"/>
  <c r="AE39" i="9"/>
  <c r="AD24" i="9"/>
  <c r="CP24" i="1"/>
  <c r="CP53" i="1"/>
  <c r="CP39" i="1"/>
  <c r="CQ53" i="1"/>
  <c r="CQ24" i="1"/>
  <c r="CQ39" i="1"/>
  <c r="AB6" i="8"/>
  <c r="AB53" i="8"/>
  <c r="AB24" i="8"/>
  <c r="AC39" i="8"/>
  <c r="AC24" i="8"/>
  <c r="AV39" i="7"/>
  <c r="AV53" i="7"/>
  <c r="AW6" i="7"/>
  <c r="AW39" i="7"/>
  <c r="AV6" i="7"/>
  <c r="AV24" i="7"/>
  <c r="AW24" i="7"/>
  <c r="AS6" i="12"/>
  <c r="AT6" i="12"/>
  <c r="AS7" i="12"/>
  <c r="AT7" i="12"/>
  <c r="AS8" i="12"/>
  <c r="AT8" i="12"/>
  <c r="AS9" i="12"/>
  <c r="AT9" i="12"/>
  <c r="AS10" i="12"/>
  <c r="AT10" i="12"/>
  <c r="AS11" i="12"/>
  <c r="AT11" i="12"/>
  <c r="AS12" i="12"/>
  <c r="AT12" i="12"/>
  <c r="AS13" i="12"/>
  <c r="AT13" i="12"/>
  <c r="AS14" i="12"/>
  <c r="AT14" i="12"/>
  <c r="AS15" i="12"/>
  <c r="AT15" i="12"/>
  <c r="AS16" i="12"/>
  <c r="AT16" i="12"/>
  <c r="AS17" i="12"/>
  <c r="AT17" i="12"/>
  <c r="AS18" i="12"/>
  <c r="AT18" i="12"/>
  <c r="AS19" i="12"/>
  <c r="AT19" i="12"/>
  <c r="AS20" i="12"/>
  <c r="AT20" i="12"/>
  <c r="AS21" i="12"/>
  <c r="AT21" i="12"/>
  <c r="AS24" i="12"/>
  <c r="AT24" i="12"/>
  <c r="AS25" i="12"/>
  <c r="AT25" i="12"/>
  <c r="AS26" i="12"/>
  <c r="AT26" i="12"/>
  <c r="AS27" i="12"/>
  <c r="AT27" i="12"/>
  <c r="AS28" i="12"/>
  <c r="AT28" i="12"/>
  <c r="AS29" i="12"/>
  <c r="AT29" i="12"/>
  <c r="AS30" i="12"/>
  <c r="AT30" i="12"/>
  <c r="AS31" i="12"/>
  <c r="AT31" i="12"/>
  <c r="AS32" i="12"/>
  <c r="AT32" i="12"/>
  <c r="AS33" i="12"/>
  <c r="AT33" i="12"/>
  <c r="AS34" i="12"/>
  <c r="AT34" i="12"/>
  <c r="AS35" i="12"/>
  <c r="AT35" i="12"/>
  <c r="AS36" i="12"/>
  <c r="AT36" i="12"/>
  <c r="AS39" i="12"/>
  <c r="AT39" i="12"/>
  <c r="AS40" i="12"/>
  <c r="AT40" i="12"/>
  <c r="AS41" i="12"/>
  <c r="AT41" i="12"/>
  <c r="AS42" i="12"/>
  <c r="AT42" i="12"/>
  <c r="AS43" i="12"/>
  <c r="AT43" i="12"/>
  <c r="AS44" i="12"/>
  <c r="AT44" i="12"/>
  <c r="AS45" i="12"/>
  <c r="AT45" i="12"/>
  <c r="AS46" i="12"/>
  <c r="AT46" i="12"/>
  <c r="AS47" i="12"/>
  <c r="AT47" i="12"/>
  <c r="AS48" i="12"/>
  <c r="AT48" i="12"/>
  <c r="AS49" i="12"/>
  <c r="AT49" i="12"/>
  <c r="AS50" i="12"/>
  <c r="AT50" i="12"/>
  <c r="AS53" i="12"/>
  <c r="AT53" i="12"/>
  <c r="AS54" i="12"/>
  <c r="AT54" i="12"/>
  <c r="AS55" i="12"/>
  <c r="AT55" i="12"/>
  <c r="AS56" i="12"/>
  <c r="AT56" i="12"/>
  <c r="AS57" i="12"/>
  <c r="AT57" i="12"/>
  <c r="AS58" i="12"/>
  <c r="AT58" i="12"/>
  <c r="AS59" i="12"/>
  <c r="AT59" i="12"/>
  <c r="AS60" i="12"/>
  <c r="AT60" i="12"/>
  <c r="AS61" i="12"/>
  <c r="AT61" i="12"/>
  <c r="AS62" i="12"/>
  <c r="AT62" i="12"/>
  <c r="BD5" i="10"/>
  <c r="BE5" i="10"/>
  <c r="BD23" i="10"/>
  <c r="BE23" i="10"/>
  <c r="BD38" i="10"/>
  <c r="BE38" i="10"/>
  <c r="BD52" i="10"/>
  <c r="BE52" i="10"/>
  <c r="AA52" i="10"/>
  <c r="AB52" i="10"/>
  <c r="AA38" i="10"/>
  <c r="AB38" i="10"/>
  <c r="AA23" i="10"/>
  <c r="AB23" i="10"/>
  <c r="AA5" i="10"/>
  <c r="AB5" i="10"/>
  <c r="BD4" i="10" l="1"/>
  <c r="BD53" i="10" s="1"/>
  <c r="BE4" i="10"/>
  <c r="BD24" i="10"/>
  <c r="BD6" i="10"/>
  <c r="BE24" i="10"/>
  <c r="BE53" i="10"/>
  <c r="AA4" i="10"/>
  <c r="AA53" i="10" s="1"/>
  <c r="AA6" i="10"/>
  <c r="AB4" i="10"/>
  <c r="AB24" i="10" l="1"/>
  <c r="BD39" i="10"/>
  <c r="BE6" i="10"/>
  <c r="BE39" i="10"/>
  <c r="AB53" i="10"/>
  <c r="AA24" i="10"/>
  <c r="AA39" i="10"/>
  <c r="AB39" i="10"/>
  <c r="AB6" i="10"/>
  <c r="BZ23" i="11" l="1"/>
  <c r="CA23" i="11"/>
  <c r="BZ38" i="11"/>
  <c r="CA38" i="11"/>
  <c r="BZ52" i="11"/>
  <c r="CA52" i="11"/>
  <c r="BZ5" i="11"/>
  <c r="CA5" i="11"/>
  <c r="AB5" i="11"/>
  <c r="AC5" i="11"/>
  <c r="AB23" i="11"/>
  <c r="AC23" i="11"/>
  <c r="AB38" i="11"/>
  <c r="AC38" i="11"/>
  <c r="AB52" i="11"/>
  <c r="AC52" i="11"/>
  <c r="AB5" i="9"/>
  <c r="AC5" i="9"/>
  <c r="AB23" i="9"/>
  <c r="AC23" i="9"/>
  <c r="AC4" i="9" s="1"/>
  <c r="AB38" i="9"/>
  <c r="AC38" i="9"/>
  <c r="AB52" i="9"/>
  <c r="AC52" i="9"/>
  <c r="CN5" i="1"/>
  <c r="CO5" i="1"/>
  <c r="CN23" i="1"/>
  <c r="AS22" i="12" s="1"/>
  <c r="CO23" i="1"/>
  <c r="CN38" i="1"/>
  <c r="CO38" i="1"/>
  <c r="CN52" i="1"/>
  <c r="CO52" i="1"/>
  <c r="AS52" i="1"/>
  <c r="AT52" i="1"/>
  <c r="AS38" i="1"/>
  <c r="AT38" i="1"/>
  <c r="AS23" i="1"/>
  <c r="AT23" i="1"/>
  <c r="AS5" i="1"/>
  <c r="AT5" i="1"/>
  <c r="Z5" i="8"/>
  <c r="AA5" i="8"/>
  <c r="Z23" i="8"/>
  <c r="AA23" i="8"/>
  <c r="Z38" i="8"/>
  <c r="AA38" i="8"/>
  <c r="Z52" i="8"/>
  <c r="AA52" i="8"/>
  <c r="AT52" i="7"/>
  <c r="AU52" i="7"/>
  <c r="AT38" i="7"/>
  <c r="AU38" i="7"/>
  <c r="AT23" i="7"/>
  <c r="AU23" i="7"/>
  <c r="AT5" i="7"/>
  <c r="AU5" i="7"/>
  <c r="AC6" i="9" l="1"/>
  <c r="AC39" i="9"/>
  <c r="AC39" i="11"/>
  <c r="Z4" i="8"/>
  <c r="Z6" i="8" s="1"/>
  <c r="CN4" i="1"/>
  <c r="AS4" i="12"/>
  <c r="AT22" i="12"/>
  <c r="AA4" i="8"/>
  <c r="AS51" i="12"/>
  <c r="AC53" i="9"/>
  <c r="AB4" i="11"/>
  <c r="AB39" i="11" s="1"/>
  <c r="AS37" i="12"/>
  <c r="AC24" i="9"/>
  <c r="AT4" i="12"/>
  <c r="AT51" i="12"/>
  <c r="CO4" i="1"/>
  <c r="AB4" i="9"/>
  <c r="AT37" i="12"/>
  <c r="AC4" i="11"/>
  <c r="BZ4" i="11"/>
  <c r="BZ6" i="11" s="1"/>
  <c r="CA4" i="11"/>
  <c r="CA6" i="11" s="1"/>
  <c r="CA53" i="11"/>
  <c r="BZ53" i="11"/>
  <c r="AC53" i="11"/>
  <c r="AC24" i="11"/>
  <c r="AB24" i="9"/>
  <c r="AB39" i="9"/>
  <c r="AB53" i="9"/>
  <c r="AB6" i="9"/>
  <c r="CN24" i="1"/>
  <c r="CN39" i="1"/>
  <c r="CN53" i="1"/>
  <c r="CN6" i="1"/>
  <c r="AT4" i="1"/>
  <c r="AT6" i="1" s="1"/>
  <c r="AS4" i="1"/>
  <c r="AA53" i="8"/>
  <c r="AA24" i="8"/>
  <c r="AU4" i="7"/>
  <c r="AU6" i="7"/>
  <c r="AT4" i="7"/>
  <c r="AR62" i="12"/>
  <c r="AR61" i="12"/>
  <c r="AR60" i="12"/>
  <c r="AR59" i="12"/>
  <c r="AR58" i="12"/>
  <c r="AR57" i="12"/>
  <c r="AR56" i="12"/>
  <c r="AR55" i="12"/>
  <c r="AR54" i="12"/>
  <c r="AR53" i="12"/>
  <c r="AR51" i="12"/>
  <c r="AR50" i="12"/>
  <c r="AR49" i="12"/>
  <c r="AR48" i="12"/>
  <c r="AR47" i="12"/>
  <c r="AR46" i="12"/>
  <c r="AR45" i="12"/>
  <c r="AR44" i="12"/>
  <c r="AR43" i="12"/>
  <c r="AR42" i="12"/>
  <c r="AR41" i="12"/>
  <c r="AR40" i="12"/>
  <c r="AR39" i="12"/>
  <c r="AR36" i="12"/>
  <c r="AR35" i="12"/>
  <c r="AR34" i="12"/>
  <c r="AR33" i="12"/>
  <c r="AR32" i="12"/>
  <c r="AR31" i="12"/>
  <c r="AR30" i="12"/>
  <c r="AR29" i="12"/>
  <c r="AR28" i="12"/>
  <c r="AR27" i="12"/>
  <c r="AR26" i="12"/>
  <c r="AR25" i="12"/>
  <c r="AR24" i="12"/>
  <c r="AR21" i="12"/>
  <c r="AR20" i="12"/>
  <c r="AR19" i="12"/>
  <c r="AR18" i="12"/>
  <c r="AR17" i="12"/>
  <c r="AR16" i="12"/>
  <c r="AR15" i="12"/>
  <c r="AR14" i="12"/>
  <c r="AR13" i="12"/>
  <c r="AR12" i="12"/>
  <c r="AR11" i="12"/>
  <c r="AR10" i="12"/>
  <c r="AR9" i="12"/>
  <c r="AR8" i="12"/>
  <c r="AR7" i="12"/>
  <c r="AR6" i="12"/>
  <c r="AS52" i="7"/>
  <c r="AS38" i="7"/>
  <c r="AS23" i="7"/>
  <c r="AS5" i="7"/>
  <c r="Y52" i="8"/>
  <c r="Y38" i="8"/>
  <c r="Y23" i="8"/>
  <c r="Y5" i="8"/>
  <c r="CM52" i="1"/>
  <c r="CM38" i="1"/>
  <c r="AR37" i="12" s="1"/>
  <c r="CM23" i="1"/>
  <c r="AR22" i="12" s="1"/>
  <c r="CM5" i="1"/>
  <c r="AR52" i="1"/>
  <c r="AR38" i="1"/>
  <c r="AR23" i="1"/>
  <c r="AR5" i="1"/>
  <c r="AA52" i="9"/>
  <c r="AA38" i="9"/>
  <c r="AA23" i="9"/>
  <c r="AA5" i="9"/>
  <c r="BY52" i="11"/>
  <c r="BY38" i="11"/>
  <c r="BY23" i="11"/>
  <c r="BY5" i="11"/>
  <c r="AA52" i="11"/>
  <c r="AA38" i="11"/>
  <c r="AA23" i="11"/>
  <c r="AA5" i="11"/>
  <c r="BC52" i="10"/>
  <c r="BC38" i="10"/>
  <c r="BC23" i="10"/>
  <c r="BC5" i="10"/>
  <c r="Z52" i="10"/>
  <c r="Z38" i="10"/>
  <c r="Z23" i="10"/>
  <c r="Z5" i="10"/>
  <c r="AB6" i="11" l="1"/>
  <c r="AB24" i="11"/>
  <c r="AB53" i="11"/>
  <c r="CO6" i="1"/>
  <c r="AT3" i="12"/>
  <c r="CO39" i="1"/>
  <c r="AA6" i="8"/>
  <c r="Z39" i="8"/>
  <c r="CA39" i="11"/>
  <c r="Z24" i="8"/>
  <c r="AA39" i="8"/>
  <c r="CO24" i="1"/>
  <c r="Z53" i="8"/>
  <c r="AC6" i="11"/>
  <c r="AS3" i="12"/>
  <c r="CA24" i="11"/>
  <c r="AT53" i="1"/>
  <c r="CO53" i="1"/>
  <c r="BZ39" i="11"/>
  <c r="BZ24" i="11"/>
  <c r="AS39" i="1"/>
  <c r="AS53" i="1"/>
  <c r="AT39" i="1"/>
  <c r="AS6" i="1"/>
  <c r="AS24" i="1"/>
  <c r="AT24" i="1"/>
  <c r="AT39" i="7"/>
  <c r="AT53" i="7"/>
  <c r="AU39" i="7"/>
  <c r="AU53" i="7"/>
  <c r="AU24" i="7"/>
  <c r="AT6" i="7"/>
  <c r="AT24" i="7"/>
  <c r="AA4" i="11"/>
  <c r="AA6" i="11" s="1"/>
  <c r="AA4" i="9"/>
  <c r="AA6" i="9" s="1"/>
  <c r="CM4" i="1"/>
  <c r="CM6" i="1" s="1"/>
  <c r="BC4" i="10"/>
  <c r="BC6" i="10" s="1"/>
  <c r="BY4" i="11"/>
  <c r="BY6" i="11" s="1"/>
  <c r="Y4" i="8"/>
  <c r="Y6" i="8" s="1"/>
  <c r="AR4" i="12"/>
  <c r="AS4" i="7"/>
  <c r="CM24" i="1"/>
  <c r="AR4" i="1"/>
  <c r="AR6" i="1" s="1"/>
  <c r="BC24" i="10"/>
  <c r="Z4" i="10"/>
  <c r="Z39" i="10" s="1"/>
  <c r="AQ6" i="12"/>
  <c r="AQ7" i="12"/>
  <c r="AQ8" i="12"/>
  <c r="AQ9" i="12"/>
  <c r="AQ10" i="12"/>
  <c r="AQ11" i="12"/>
  <c r="AQ12" i="12"/>
  <c r="AQ13" i="12"/>
  <c r="AQ14" i="12"/>
  <c r="AQ15" i="12"/>
  <c r="AQ16" i="12"/>
  <c r="AQ17" i="12"/>
  <c r="AQ18" i="12"/>
  <c r="AQ19" i="12"/>
  <c r="AQ20" i="12"/>
  <c r="AQ21" i="12"/>
  <c r="AQ24" i="12"/>
  <c r="AQ25" i="12"/>
  <c r="AQ26" i="12"/>
  <c r="AQ27" i="12"/>
  <c r="AQ28" i="12"/>
  <c r="AQ29" i="12"/>
  <c r="AQ30" i="12"/>
  <c r="AQ31" i="12"/>
  <c r="AQ32" i="12"/>
  <c r="AQ33" i="12"/>
  <c r="AQ34" i="12"/>
  <c r="AQ35" i="12"/>
  <c r="AQ36" i="12"/>
  <c r="AQ39" i="12"/>
  <c r="AQ40" i="12"/>
  <c r="AQ41" i="12"/>
  <c r="AQ42" i="12"/>
  <c r="AQ43" i="12"/>
  <c r="AQ44" i="12"/>
  <c r="AQ45" i="12"/>
  <c r="AQ46" i="12"/>
  <c r="AQ47" i="12"/>
  <c r="AQ48" i="12"/>
  <c r="AQ49" i="12"/>
  <c r="AQ50" i="12"/>
  <c r="AQ53" i="12"/>
  <c r="AQ54" i="12"/>
  <c r="AQ55" i="12"/>
  <c r="AQ56" i="12"/>
  <c r="AQ57" i="12"/>
  <c r="AQ58" i="12"/>
  <c r="AQ59" i="12"/>
  <c r="AQ60" i="12"/>
  <c r="AQ61" i="12"/>
  <c r="AQ62" i="12"/>
  <c r="BB5" i="10"/>
  <c r="BB23" i="10"/>
  <c r="BB38" i="10"/>
  <c r="BB52" i="10"/>
  <c r="Y5" i="10"/>
  <c r="Y23" i="10"/>
  <c r="Y38" i="10"/>
  <c r="Y52" i="10"/>
  <c r="AF7" i="10"/>
  <c r="AG7" i="10"/>
  <c r="AF8" i="10"/>
  <c r="AG8" i="10"/>
  <c r="AF10" i="10"/>
  <c r="AG10" i="10"/>
  <c r="AF11" i="10"/>
  <c r="AG11" i="10"/>
  <c r="AF12" i="10"/>
  <c r="AG12" i="10"/>
  <c r="AF13" i="10"/>
  <c r="AG13" i="10"/>
  <c r="AF14" i="10"/>
  <c r="AG14" i="10"/>
  <c r="AF15" i="10"/>
  <c r="AG15" i="10"/>
  <c r="AF16" i="10"/>
  <c r="AG16" i="10"/>
  <c r="AF17" i="10"/>
  <c r="AG17" i="10"/>
  <c r="AF18" i="10"/>
  <c r="AG18" i="10"/>
  <c r="AF19" i="10"/>
  <c r="AG19" i="10"/>
  <c r="AF20" i="10"/>
  <c r="AG20" i="10"/>
  <c r="AF21" i="10"/>
  <c r="AG21" i="10"/>
  <c r="AF22" i="10"/>
  <c r="AG22" i="10"/>
  <c r="BX5" i="11"/>
  <c r="BX23" i="11"/>
  <c r="L27" i="2" s="1"/>
  <c r="BX38" i="11"/>
  <c r="L42" i="2" s="1"/>
  <c r="BX52" i="11"/>
  <c r="L56" i="2" s="1"/>
  <c r="Z5" i="11"/>
  <c r="Z23" i="11"/>
  <c r="Z38" i="11"/>
  <c r="Z52" i="11"/>
  <c r="Z5" i="9"/>
  <c r="Z23" i="9"/>
  <c r="Z38" i="9"/>
  <c r="Z52" i="9"/>
  <c r="CL5" i="1"/>
  <c r="AQ4" i="12" s="1"/>
  <c r="CL23" i="1"/>
  <c r="CL38" i="1"/>
  <c r="CL52" i="1"/>
  <c r="AQ5" i="1"/>
  <c r="AQ23" i="1"/>
  <c r="AQ38" i="1"/>
  <c r="AQ52" i="1"/>
  <c r="X5" i="8"/>
  <c r="X23" i="8"/>
  <c r="X38" i="8"/>
  <c r="X52" i="8"/>
  <c r="W52" i="8"/>
  <c r="AR5" i="7"/>
  <c r="AR23" i="7"/>
  <c r="AR38" i="7"/>
  <c r="AR52" i="7"/>
  <c r="BY24" i="11" l="1"/>
  <c r="BY39" i="11"/>
  <c r="BY53" i="11"/>
  <c r="CM39" i="1"/>
  <c r="AA24" i="9"/>
  <c r="AR3" i="12"/>
  <c r="BC39" i="10"/>
  <c r="AQ51" i="12"/>
  <c r="AA53" i="9"/>
  <c r="CM53" i="1"/>
  <c r="Y4" i="10"/>
  <c r="Y24" i="10" s="1"/>
  <c r="AA24" i="11"/>
  <c r="AA53" i="11"/>
  <c r="Y53" i="8"/>
  <c r="BC53" i="10"/>
  <c r="AA39" i="9"/>
  <c r="Y39" i="8"/>
  <c r="AQ4" i="1"/>
  <c r="AQ6" i="1" s="1"/>
  <c r="AA39" i="11"/>
  <c r="Y24" i="8"/>
  <c r="Z24" i="10"/>
  <c r="AR39" i="1"/>
  <c r="Z4" i="11"/>
  <c r="Z53" i="11" s="1"/>
  <c r="AR53" i="1"/>
  <c r="AR53" i="7"/>
  <c r="Z4" i="9"/>
  <c r="Z6" i="9" s="1"/>
  <c r="X4" i="8"/>
  <c r="X53" i="8" s="1"/>
  <c r="AQ22" i="12"/>
  <c r="Z6" i="10"/>
  <c r="CL4" i="1"/>
  <c r="CL39" i="1" s="1"/>
  <c r="BX4" i="11"/>
  <c r="Y53" i="10"/>
  <c r="BB4" i="10"/>
  <c r="BB24" i="10" s="1"/>
  <c r="AR4" i="7"/>
  <c r="AR39" i="7" s="1"/>
  <c r="AR6" i="7"/>
  <c r="AQ37" i="12"/>
  <c r="AR24" i="1"/>
  <c r="AS6" i="7"/>
  <c r="AS53" i="7"/>
  <c r="AS39" i="7"/>
  <c r="AS24" i="7"/>
  <c r="Z53" i="10"/>
  <c r="BJ30" i="11"/>
  <c r="BX24" i="11" l="1"/>
  <c r="L8" i="2"/>
  <c r="Y39" i="10"/>
  <c r="AQ39" i="1"/>
  <c r="Y6" i="10"/>
  <c r="AQ24" i="1"/>
  <c r="BB6" i="10"/>
  <c r="CL24" i="1"/>
  <c r="AQ53" i="1"/>
  <c r="X6" i="8"/>
  <c r="AR24" i="7"/>
  <c r="BB39" i="10"/>
  <c r="CL53" i="1"/>
  <c r="Z24" i="11"/>
  <c r="BX39" i="11"/>
  <c r="Z24" i="9"/>
  <c r="Z39" i="9"/>
  <c r="Z53" i="9"/>
  <c r="AQ3" i="12"/>
  <c r="Z39" i="11"/>
  <c r="X24" i="8"/>
  <c r="CL6" i="1"/>
  <c r="BB53" i="10"/>
  <c r="X39" i="8"/>
  <c r="Z6" i="11"/>
  <c r="BX6" i="11"/>
  <c r="BX53" i="11"/>
  <c r="AP52" i="1"/>
  <c r="AP38" i="1"/>
  <c r="AP23" i="1"/>
  <c r="AP5" i="1"/>
  <c r="AP4" i="1" l="1"/>
  <c r="S5" i="10"/>
  <c r="S23" i="10"/>
  <c r="S38" i="10"/>
  <c r="S52" i="10"/>
  <c r="X52" i="10"/>
  <c r="X38" i="10"/>
  <c r="X23" i="10"/>
  <c r="X5" i="10"/>
  <c r="S4" i="10" l="1"/>
  <c r="AP24" i="1"/>
  <c r="AP53" i="1"/>
  <c r="AP6" i="1"/>
  <c r="AP39" i="1"/>
  <c r="S6" i="10"/>
  <c r="X4" i="10"/>
  <c r="BS52" i="11"/>
  <c r="BS38" i="11"/>
  <c r="BS23" i="11"/>
  <c r="BS5" i="11"/>
  <c r="AV52" i="10"/>
  <c r="AV38" i="10"/>
  <c r="AV5" i="10"/>
  <c r="AV23" i="10"/>
  <c r="T38" i="11"/>
  <c r="T23" i="11"/>
  <c r="T5" i="11"/>
  <c r="T52" i="11"/>
  <c r="T5" i="9"/>
  <c r="T52" i="9"/>
  <c r="T38" i="9"/>
  <c r="T23" i="9"/>
  <c r="AL52" i="7"/>
  <c r="AP6" i="12"/>
  <c r="AP7" i="12"/>
  <c r="AP8" i="12"/>
  <c r="AP9" i="12"/>
  <c r="AP10" i="12"/>
  <c r="AP11" i="12"/>
  <c r="AP12" i="12"/>
  <c r="AP13" i="12"/>
  <c r="AP14" i="12"/>
  <c r="AP15" i="12"/>
  <c r="AP16" i="12"/>
  <c r="AP17" i="12"/>
  <c r="AP18" i="12"/>
  <c r="AP19" i="12"/>
  <c r="AP20" i="12"/>
  <c r="AP21" i="12"/>
  <c r="AP24" i="12"/>
  <c r="AP25" i="12"/>
  <c r="AP26" i="12"/>
  <c r="AP27" i="12"/>
  <c r="AP28" i="12"/>
  <c r="AP29" i="12"/>
  <c r="AP30" i="12"/>
  <c r="AP31" i="12"/>
  <c r="AP32" i="12"/>
  <c r="AP33" i="12"/>
  <c r="AP34" i="12"/>
  <c r="AP35" i="12"/>
  <c r="AP36" i="12"/>
  <c r="AP39" i="12"/>
  <c r="AP40" i="12"/>
  <c r="AP41" i="12"/>
  <c r="AP42" i="12"/>
  <c r="AP43" i="12"/>
  <c r="AP44" i="12"/>
  <c r="AP45" i="12"/>
  <c r="AP46" i="12"/>
  <c r="AP47" i="12"/>
  <c r="AP48" i="12"/>
  <c r="AP49" i="12"/>
  <c r="AP50" i="12"/>
  <c r="AP53" i="12"/>
  <c r="AP54" i="12"/>
  <c r="AP55" i="12"/>
  <c r="AP56" i="12"/>
  <c r="AP57" i="12"/>
  <c r="AP58" i="12"/>
  <c r="AP59" i="12"/>
  <c r="AP60" i="12"/>
  <c r="AP61" i="12"/>
  <c r="AP62" i="12"/>
  <c r="BA52" i="10"/>
  <c r="BA38" i="10"/>
  <c r="BA23" i="10"/>
  <c r="BA5" i="10"/>
  <c r="BW52" i="11"/>
  <c r="BW38" i="11"/>
  <c r="BW23" i="11"/>
  <c r="BW5" i="11"/>
  <c r="Y52" i="11"/>
  <c r="Y38" i="11"/>
  <c r="Y23" i="11"/>
  <c r="Y5" i="11"/>
  <c r="Y52" i="9"/>
  <c r="Y38" i="9"/>
  <c r="Y23" i="9"/>
  <c r="Y5" i="9"/>
  <c r="CK52" i="1"/>
  <c r="CK38" i="1"/>
  <c r="AP37" i="12" s="1"/>
  <c r="CK23" i="1"/>
  <c r="CK5" i="1"/>
  <c r="AP4" i="12" s="1"/>
  <c r="W38" i="8"/>
  <c r="W23" i="8"/>
  <c r="W5" i="8"/>
  <c r="AQ52" i="7"/>
  <c r="AP51" i="12" s="1"/>
  <c r="AQ38" i="7"/>
  <c r="AQ23" i="7"/>
  <c r="AQ5" i="7"/>
  <c r="AP22" i="12" l="1"/>
  <c r="W4" i="8"/>
  <c r="T4" i="11"/>
  <c r="X39" i="10"/>
  <c r="X53" i="10"/>
  <c r="X6" i="10"/>
  <c r="X24" i="10"/>
  <c r="BS4" i="11"/>
  <c r="BS24" i="11" s="1"/>
  <c r="AV4" i="10"/>
  <c r="AV53" i="10" s="1"/>
  <c r="T4" i="9"/>
  <c r="T6" i="9" s="1"/>
  <c r="BA4" i="10"/>
  <c r="BA53" i="10" s="1"/>
  <c r="BW4" i="11"/>
  <c r="Y4" i="11"/>
  <c r="Y4" i="9"/>
  <c r="Y24" i="9" s="1"/>
  <c r="Y39" i="9"/>
  <c r="CK4" i="1"/>
  <c r="W39" i="8"/>
  <c r="W24" i="8"/>
  <c r="AQ4" i="7"/>
  <c r="AQ24" i="7" s="1"/>
  <c r="AQ39" i="7" l="1"/>
  <c r="AP3" i="12"/>
  <c r="W6" i="8"/>
  <c r="W53" i="8"/>
  <c r="Y53" i="11"/>
  <c r="T24" i="11"/>
  <c r="T53" i="11"/>
  <c r="T6" i="11"/>
  <c r="T39" i="11"/>
  <c r="BS53" i="11"/>
  <c r="BS6" i="11"/>
  <c r="BS39" i="11"/>
  <c r="AV6" i="10"/>
  <c r="AV39" i="10"/>
  <c r="BA24" i="10"/>
  <c r="BA6" i="10"/>
  <c r="BA39" i="10"/>
  <c r="BW39" i="11"/>
  <c r="BW53" i="11"/>
  <c r="BW6" i="11"/>
  <c r="BW24" i="11"/>
  <c r="Y24" i="11"/>
  <c r="Y6" i="11"/>
  <c r="Y39" i="11"/>
  <c r="Y6" i="9"/>
  <c r="Y53" i="9"/>
  <c r="CK39" i="1"/>
  <c r="CK53" i="1"/>
  <c r="CK6" i="1"/>
  <c r="CK24" i="1"/>
  <c r="AQ53" i="7"/>
  <c r="AQ6" i="7"/>
  <c r="AO6" i="12" l="1"/>
  <c r="AO7" i="12"/>
  <c r="AO8" i="12"/>
  <c r="AO9" i="12"/>
  <c r="AO10" i="12"/>
  <c r="AO11" i="12"/>
  <c r="AO12" i="12"/>
  <c r="AO13" i="12"/>
  <c r="AO14" i="12"/>
  <c r="AO15" i="12"/>
  <c r="AO16" i="12"/>
  <c r="AO17" i="12"/>
  <c r="AO18" i="12"/>
  <c r="AO19" i="12"/>
  <c r="AO20" i="12"/>
  <c r="AO21" i="12"/>
  <c r="AO24" i="12"/>
  <c r="AO25" i="12"/>
  <c r="AO26" i="12"/>
  <c r="AO27" i="12"/>
  <c r="AO28" i="12"/>
  <c r="AO29" i="12"/>
  <c r="AO30" i="12"/>
  <c r="AO31" i="12"/>
  <c r="AO32" i="12"/>
  <c r="AO33" i="12"/>
  <c r="AO34" i="12"/>
  <c r="AO35" i="12"/>
  <c r="AO36" i="12"/>
  <c r="AO39" i="12"/>
  <c r="AO40" i="12"/>
  <c r="AO41" i="12"/>
  <c r="AO42" i="12"/>
  <c r="AO43" i="12"/>
  <c r="AO44" i="12"/>
  <c r="AO45" i="12"/>
  <c r="AO46" i="12"/>
  <c r="AO47" i="12"/>
  <c r="AO48" i="12"/>
  <c r="AO49" i="12"/>
  <c r="AO50" i="12"/>
  <c r="AO53" i="12"/>
  <c r="AO54" i="12"/>
  <c r="AO55" i="12"/>
  <c r="AO56" i="12"/>
  <c r="AO57" i="12"/>
  <c r="AO58" i="12"/>
  <c r="AO59" i="12"/>
  <c r="AO60" i="12"/>
  <c r="AO61" i="12"/>
  <c r="AO62" i="12"/>
  <c r="AZ52" i="10"/>
  <c r="AZ38" i="10"/>
  <c r="AZ23" i="10"/>
  <c r="AZ5" i="10"/>
  <c r="W52" i="10"/>
  <c r="W38" i="10"/>
  <c r="W23" i="10"/>
  <c r="W5" i="10"/>
  <c r="BV52" i="11"/>
  <c r="BV38" i="11"/>
  <c r="BV23" i="11"/>
  <c r="BV5" i="11"/>
  <c r="X52" i="11"/>
  <c r="X38" i="11"/>
  <c r="X23" i="11"/>
  <c r="X5" i="11"/>
  <c r="X52" i="9"/>
  <c r="X38" i="9"/>
  <c r="X23" i="9"/>
  <c r="X5" i="9"/>
  <c r="CJ52" i="1"/>
  <c r="CJ38" i="1"/>
  <c r="CJ23" i="1"/>
  <c r="CJ5" i="1"/>
  <c r="AO52" i="1"/>
  <c r="AO38" i="1"/>
  <c r="AO23" i="1"/>
  <c r="AO5" i="1"/>
  <c r="V52" i="8"/>
  <c r="V38" i="8"/>
  <c r="V23" i="8"/>
  <c r="V5" i="8"/>
  <c r="AP52" i="7"/>
  <c r="AP38" i="7"/>
  <c r="AP23" i="7"/>
  <c r="AP5" i="7"/>
  <c r="V23" i="10"/>
  <c r="V38" i="10"/>
  <c r="V52" i="10"/>
  <c r="W23" i="11"/>
  <c r="W38" i="11"/>
  <c r="W52" i="11"/>
  <c r="W5" i="9"/>
  <c r="W23" i="9"/>
  <c r="W38" i="9"/>
  <c r="W52" i="9"/>
  <c r="CI23" i="1"/>
  <c r="CI38" i="1"/>
  <c r="CI52" i="1"/>
  <c r="AN23" i="1"/>
  <c r="AN38" i="1"/>
  <c r="AN52" i="1"/>
  <c r="U52" i="8"/>
  <c r="U38" i="8"/>
  <c r="U23" i="8"/>
  <c r="U5" i="8"/>
  <c r="AO5" i="7"/>
  <c r="AO52" i="7"/>
  <c r="AO38" i="7"/>
  <c r="AO23" i="7"/>
  <c r="AO51" i="12" l="1"/>
  <c r="X4" i="9"/>
  <c r="X39" i="9" s="1"/>
  <c r="AZ4" i="10"/>
  <c r="AZ39" i="10" s="1"/>
  <c r="AO37" i="12"/>
  <c r="AO22" i="12"/>
  <c r="AO4" i="12"/>
  <c r="W4" i="10"/>
  <c r="X4" i="11"/>
  <c r="X53" i="9"/>
  <c r="AZ24" i="10"/>
  <c r="BV4" i="11"/>
  <c r="X24" i="9"/>
  <c r="CJ4" i="1"/>
  <c r="AO4" i="1"/>
  <c r="AO24" i="1" s="1"/>
  <c r="V4" i="8"/>
  <c r="AP4" i="7"/>
  <c r="W4" i="9"/>
  <c r="W6" i="9" s="1"/>
  <c r="U4" i="8"/>
  <c r="U6" i="8" s="1"/>
  <c r="AO4" i="7"/>
  <c r="AO6" i="7" s="1"/>
  <c r="AN62" i="12"/>
  <c r="AM62" i="12"/>
  <c r="AL62" i="12"/>
  <c r="AK62" i="12"/>
  <c r="AJ62" i="12"/>
  <c r="AI62" i="12"/>
  <c r="AN61" i="12"/>
  <c r="AM61" i="12"/>
  <c r="AL61" i="12"/>
  <c r="AK61" i="12"/>
  <c r="AJ61" i="12"/>
  <c r="AI61" i="12"/>
  <c r="AN60" i="12"/>
  <c r="AM60" i="12"/>
  <c r="AL60" i="12"/>
  <c r="AK60" i="12"/>
  <c r="AJ60" i="12"/>
  <c r="AI60" i="12"/>
  <c r="AN59" i="12"/>
  <c r="AM59" i="12"/>
  <c r="AL59" i="12"/>
  <c r="AK59" i="12"/>
  <c r="AJ59" i="12"/>
  <c r="AI59" i="12"/>
  <c r="AN58" i="12"/>
  <c r="AM58" i="12"/>
  <c r="AL58" i="12"/>
  <c r="AK58" i="12"/>
  <c r="AJ58" i="12"/>
  <c r="AI58" i="12"/>
  <c r="AN57" i="12"/>
  <c r="AM57" i="12"/>
  <c r="AL57" i="12"/>
  <c r="AK57" i="12"/>
  <c r="AJ57" i="12"/>
  <c r="AI57" i="12"/>
  <c r="AN56" i="12"/>
  <c r="AM56" i="12"/>
  <c r="AL56" i="12"/>
  <c r="AK56" i="12"/>
  <c r="AJ56" i="12"/>
  <c r="AI56" i="12"/>
  <c r="AN55" i="12"/>
  <c r="AM55" i="12"/>
  <c r="AL55" i="12"/>
  <c r="AK55" i="12"/>
  <c r="AJ55" i="12"/>
  <c r="AI55" i="12"/>
  <c r="AN54" i="12"/>
  <c r="AM54" i="12"/>
  <c r="AL54" i="12"/>
  <c r="AK54" i="12"/>
  <c r="AJ54" i="12"/>
  <c r="AI54" i="12"/>
  <c r="AN53" i="12"/>
  <c r="AM53" i="12"/>
  <c r="AL53" i="12"/>
  <c r="AK53" i="12"/>
  <c r="AJ53" i="12"/>
  <c r="AI53" i="12"/>
  <c r="AN51" i="12"/>
  <c r="AN50" i="12"/>
  <c r="AM50" i="12"/>
  <c r="AL50" i="12"/>
  <c r="AK50" i="12"/>
  <c r="AJ50" i="12"/>
  <c r="AI50" i="12"/>
  <c r="AN49" i="12"/>
  <c r="AM49" i="12"/>
  <c r="AL49" i="12"/>
  <c r="AK49" i="12"/>
  <c r="AJ49" i="12"/>
  <c r="AI49" i="12"/>
  <c r="AN48" i="12"/>
  <c r="AM48" i="12"/>
  <c r="AL48" i="12"/>
  <c r="AK48" i="12"/>
  <c r="AJ48" i="12"/>
  <c r="AI48" i="12"/>
  <c r="AN47" i="12"/>
  <c r="AM47" i="12"/>
  <c r="AL47" i="12"/>
  <c r="AK47" i="12"/>
  <c r="AJ47" i="12"/>
  <c r="AI47" i="12"/>
  <c r="AN46" i="12"/>
  <c r="AM46" i="12"/>
  <c r="AL46" i="12"/>
  <c r="AK46" i="12"/>
  <c r="AJ46" i="12"/>
  <c r="AI46" i="12"/>
  <c r="AN45" i="12"/>
  <c r="AM45" i="12"/>
  <c r="AL45" i="12"/>
  <c r="AK45" i="12"/>
  <c r="AJ45" i="12"/>
  <c r="AI45" i="12"/>
  <c r="AN44" i="12"/>
  <c r="AM44" i="12"/>
  <c r="AL44" i="12"/>
  <c r="AK44" i="12"/>
  <c r="AJ44" i="12"/>
  <c r="AI44" i="12"/>
  <c r="AN43" i="12"/>
  <c r="AM43" i="12"/>
  <c r="AL43" i="12"/>
  <c r="AK43" i="12"/>
  <c r="AJ43" i="12"/>
  <c r="AI43" i="12"/>
  <c r="AN42" i="12"/>
  <c r="AM42" i="12"/>
  <c r="AL42" i="12"/>
  <c r="AK42" i="12"/>
  <c r="AJ42" i="12"/>
  <c r="AI42" i="12"/>
  <c r="AN41" i="12"/>
  <c r="AM41" i="12"/>
  <c r="AL41" i="12"/>
  <c r="AK41" i="12"/>
  <c r="AJ41" i="12"/>
  <c r="AI41" i="12"/>
  <c r="AN40" i="12"/>
  <c r="AM40" i="12"/>
  <c r="AL40" i="12"/>
  <c r="AK40" i="12"/>
  <c r="AJ40" i="12"/>
  <c r="AI40" i="12"/>
  <c r="AN39" i="12"/>
  <c r="AM39" i="12"/>
  <c r="AL39" i="12"/>
  <c r="AK39" i="12"/>
  <c r="AJ39" i="12"/>
  <c r="AI39" i="12"/>
  <c r="AN37" i="12"/>
  <c r="AN36" i="12"/>
  <c r="AM36" i="12"/>
  <c r="AL36" i="12"/>
  <c r="AK36" i="12"/>
  <c r="AJ36" i="12"/>
  <c r="AI36" i="12"/>
  <c r="AN35" i="12"/>
  <c r="AM35" i="12"/>
  <c r="AL35" i="12"/>
  <c r="AK35" i="12"/>
  <c r="AJ35" i="12"/>
  <c r="AI35" i="12"/>
  <c r="AN34" i="12"/>
  <c r="AM34" i="12"/>
  <c r="AL34" i="12"/>
  <c r="AK34" i="12"/>
  <c r="AJ34" i="12"/>
  <c r="AI34" i="12"/>
  <c r="AN33" i="12"/>
  <c r="AM33" i="12"/>
  <c r="AL33" i="12"/>
  <c r="AK33" i="12"/>
  <c r="AJ33" i="12"/>
  <c r="AI33" i="12"/>
  <c r="AN32" i="12"/>
  <c r="AM32" i="12"/>
  <c r="AL32" i="12"/>
  <c r="AK32" i="12"/>
  <c r="AJ32" i="12"/>
  <c r="AI32" i="12"/>
  <c r="AN31" i="12"/>
  <c r="AM31" i="12"/>
  <c r="AL31" i="12"/>
  <c r="AK31" i="12"/>
  <c r="AJ31" i="12"/>
  <c r="AI31" i="12"/>
  <c r="AN30" i="12"/>
  <c r="AM30" i="12"/>
  <c r="AL30" i="12"/>
  <c r="AK30" i="12"/>
  <c r="AJ30" i="12"/>
  <c r="AI30" i="12"/>
  <c r="AN29" i="12"/>
  <c r="AM29" i="12"/>
  <c r="AL29" i="12"/>
  <c r="AK29" i="12"/>
  <c r="AJ29" i="12"/>
  <c r="AI29" i="12"/>
  <c r="AN28" i="12"/>
  <c r="AM28" i="12"/>
  <c r="AL28" i="12"/>
  <c r="AK28" i="12"/>
  <c r="AJ28" i="12"/>
  <c r="AI28" i="12"/>
  <c r="AN27" i="12"/>
  <c r="AM27" i="12"/>
  <c r="AL27" i="12"/>
  <c r="AK27" i="12"/>
  <c r="AJ27" i="12"/>
  <c r="AI27" i="12"/>
  <c r="AN26" i="12"/>
  <c r="AM26" i="12"/>
  <c r="AL26" i="12"/>
  <c r="AK26" i="12"/>
  <c r="AJ26" i="12"/>
  <c r="AI26" i="12"/>
  <c r="AN25" i="12"/>
  <c r="AM25" i="12"/>
  <c r="AL25" i="12"/>
  <c r="AK25" i="12"/>
  <c r="AJ25" i="12"/>
  <c r="AI25" i="12"/>
  <c r="AN24" i="12"/>
  <c r="AM24" i="12"/>
  <c r="AL24" i="12"/>
  <c r="AK24" i="12"/>
  <c r="AJ24" i="12"/>
  <c r="AI24" i="12"/>
  <c r="AN22" i="12"/>
  <c r="AN21" i="12"/>
  <c r="AM21" i="12"/>
  <c r="AL21" i="12"/>
  <c r="AK21" i="12"/>
  <c r="AJ21" i="12"/>
  <c r="AI21" i="12"/>
  <c r="AN20" i="12"/>
  <c r="AM20" i="12"/>
  <c r="AL20" i="12"/>
  <c r="AK20" i="12"/>
  <c r="AJ20" i="12"/>
  <c r="AI20" i="12"/>
  <c r="AN19" i="12"/>
  <c r="AM19" i="12"/>
  <c r="AL19" i="12"/>
  <c r="AK19" i="12"/>
  <c r="AJ19" i="12"/>
  <c r="AI19" i="12"/>
  <c r="AN18" i="12"/>
  <c r="AM18" i="12"/>
  <c r="AL18" i="12"/>
  <c r="AK18" i="12"/>
  <c r="AJ18" i="12"/>
  <c r="AI18" i="12"/>
  <c r="AN17" i="12"/>
  <c r="AM17" i="12"/>
  <c r="AL17" i="12"/>
  <c r="AK17" i="12"/>
  <c r="AJ17" i="12"/>
  <c r="AI17" i="12"/>
  <c r="AN16" i="12"/>
  <c r="AM16" i="12"/>
  <c r="AL16" i="12"/>
  <c r="AK16" i="12"/>
  <c r="AJ16" i="12"/>
  <c r="AI16" i="12"/>
  <c r="AN15" i="12"/>
  <c r="AM15" i="12"/>
  <c r="AL15" i="12"/>
  <c r="AK15" i="12"/>
  <c r="AJ15" i="12"/>
  <c r="AI15" i="12"/>
  <c r="AN14" i="12"/>
  <c r="AM14" i="12"/>
  <c r="AL14" i="12"/>
  <c r="AK14" i="12"/>
  <c r="AJ14" i="12"/>
  <c r="AI14" i="12"/>
  <c r="AN13" i="12"/>
  <c r="AM13" i="12"/>
  <c r="AL13" i="12"/>
  <c r="AK13" i="12"/>
  <c r="AJ13" i="12"/>
  <c r="AI13" i="12"/>
  <c r="AN12" i="12"/>
  <c r="AM12" i="12"/>
  <c r="AL12" i="12"/>
  <c r="AK12" i="12"/>
  <c r="AJ12" i="12"/>
  <c r="AI12" i="12"/>
  <c r="AN11" i="12"/>
  <c r="AM11" i="12"/>
  <c r="AL11" i="12"/>
  <c r="AK11" i="12"/>
  <c r="AJ11" i="12"/>
  <c r="AI11" i="12"/>
  <c r="AN10" i="12"/>
  <c r="AM10" i="12"/>
  <c r="AL10" i="12"/>
  <c r="AK10" i="12"/>
  <c r="AJ10" i="12"/>
  <c r="AI10" i="12"/>
  <c r="AN9" i="12"/>
  <c r="AM9" i="12"/>
  <c r="AL9" i="12"/>
  <c r="AK9" i="12"/>
  <c r="AJ9" i="12"/>
  <c r="AI9" i="12"/>
  <c r="AN8" i="12"/>
  <c r="AM8" i="12"/>
  <c r="AL8" i="12"/>
  <c r="AK8" i="12"/>
  <c r="AJ8" i="12"/>
  <c r="AI8" i="12"/>
  <c r="AN7" i="12"/>
  <c r="AM7" i="12"/>
  <c r="AL7" i="12"/>
  <c r="AK7" i="12"/>
  <c r="AJ7" i="12"/>
  <c r="AI7" i="12"/>
  <c r="AN6" i="12"/>
  <c r="AM6" i="12"/>
  <c r="AL6" i="12"/>
  <c r="AK6" i="12"/>
  <c r="AJ6" i="12"/>
  <c r="AI6" i="12"/>
  <c r="X39" i="11" l="1"/>
  <c r="CJ39" i="1"/>
  <c r="AZ6" i="10"/>
  <c r="X6" i="9"/>
  <c r="AZ53" i="10"/>
  <c r="X6" i="11"/>
  <c r="W6" i="10"/>
  <c r="CJ6" i="1"/>
  <c r="W39" i="10"/>
  <c r="CJ24" i="1"/>
  <c r="AO3" i="12"/>
  <c r="AP39" i="7"/>
  <c r="V53" i="8"/>
  <c r="X53" i="11"/>
  <c r="W24" i="10"/>
  <c r="W53" i="10"/>
  <c r="X24" i="11"/>
  <c r="BV24" i="11"/>
  <c r="BV53" i="11"/>
  <c r="BV6" i="11"/>
  <c r="BV39" i="11"/>
  <c r="CJ53" i="1"/>
  <c r="AO6" i="1"/>
  <c r="AO39" i="1"/>
  <c r="AO53" i="1"/>
  <c r="V6" i="8"/>
  <c r="V24" i="8"/>
  <c r="V39" i="8"/>
  <c r="AP53" i="7"/>
  <c r="AP24" i="7"/>
  <c r="AP6" i="7"/>
  <c r="U53" i="8"/>
  <c r="U39" i="8"/>
  <c r="U24" i="8"/>
  <c r="B6" i="12"/>
  <c r="C6" i="12"/>
  <c r="D6" i="12"/>
  <c r="E6" i="12"/>
  <c r="F6" i="12"/>
  <c r="G6" i="12"/>
  <c r="H6" i="12"/>
  <c r="I6" i="12"/>
  <c r="J6" i="12"/>
  <c r="K6" i="12"/>
  <c r="L6" i="12"/>
  <c r="M6" i="12"/>
  <c r="N6" i="12"/>
  <c r="O6" i="12"/>
  <c r="P6" i="12"/>
  <c r="Q6" i="12"/>
  <c r="R6" i="12"/>
  <c r="S6" i="12"/>
  <c r="T6" i="12"/>
  <c r="U6" i="12"/>
  <c r="V6" i="12"/>
  <c r="W6" i="12"/>
  <c r="X6" i="12"/>
  <c r="Y6" i="12"/>
  <c r="Z6" i="12"/>
  <c r="AA6" i="12"/>
  <c r="AB6" i="12"/>
  <c r="AC6" i="12"/>
  <c r="AD6" i="12"/>
  <c r="AE6" i="12"/>
  <c r="AF6" i="12"/>
  <c r="AG6" i="12"/>
  <c r="AH6" i="12"/>
  <c r="B7" i="12"/>
  <c r="C7" i="12"/>
  <c r="D7" i="12"/>
  <c r="E7" i="12"/>
  <c r="F7" i="12"/>
  <c r="G7"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B8" i="12"/>
  <c r="C8" i="12"/>
  <c r="D8" i="12"/>
  <c r="E8" i="12"/>
  <c r="F8" i="12"/>
  <c r="G8" i="12"/>
  <c r="H8" i="12"/>
  <c r="I8" i="12"/>
  <c r="J8" i="12"/>
  <c r="K8" i="12"/>
  <c r="L8" i="12"/>
  <c r="M8" i="12"/>
  <c r="N8" i="12"/>
  <c r="O8" i="12"/>
  <c r="P8" i="12"/>
  <c r="Q8" i="12"/>
  <c r="R8" i="12"/>
  <c r="S8" i="12"/>
  <c r="T8" i="12"/>
  <c r="U8" i="12"/>
  <c r="V8" i="12"/>
  <c r="W8" i="12"/>
  <c r="X8" i="12"/>
  <c r="Y8" i="12"/>
  <c r="Z8" i="12"/>
  <c r="AA8" i="12"/>
  <c r="AB8" i="12"/>
  <c r="AC8" i="12"/>
  <c r="AD8" i="12"/>
  <c r="AE8" i="12"/>
  <c r="AF8" i="12"/>
  <c r="AG8" i="12"/>
  <c r="AH8" i="12"/>
  <c r="B9" i="12"/>
  <c r="C9" i="12"/>
  <c r="D9" i="12"/>
  <c r="E9" i="12"/>
  <c r="F9" i="12"/>
  <c r="G9" i="12"/>
  <c r="H9" i="12"/>
  <c r="I9" i="12"/>
  <c r="J9" i="12"/>
  <c r="K9" i="12"/>
  <c r="L9" i="12"/>
  <c r="M9" i="12"/>
  <c r="N9" i="12"/>
  <c r="O9" i="12"/>
  <c r="P9" i="12"/>
  <c r="Q9" i="12"/>
  <c r="R9" i="12"/>
  <c r="S9" i="12"/>
  <c r="T9" i="12"/>
  <c r="U9" i="12"/>
  <c r="V9" i="12"/>
  <c r="W9" i="12"/>
  <c r="X9" i="12"/>
  <c r="Y9" i="12"/>
  <c r="Z9" i="12"/>
  <c r="AA9" i="12"/>
  <c r="AB9" i="12"/>
  <c r="AC9" i="12"/>
  <c r="AD9" i="12"/>
  <c r="AE9" i="12"/>
  <c r="AF9" i="12"/>
  <c r="AG9" i="12"/>
  <c r="AH9" i="12"/>
  <c r="B10" i="12"/>
  <c r="C10" i="12"/>
  <c r="D10" i="12"/>
  <c r="E10" i="12"/>
  <c r="F10" i="12"/>
  <c r="G10"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B11" i="12"/>
  <c r="C11" i="12"/>
  <c r="D11" i="12"/>
  <c r="E11" i="12"/>
  <c r="F11" i="12"/>
  <c r="G11" i="12"/>
  <c r="H11" i="12"/>
  <c r="I11" i="12"/>
  <c r="J11" i="12"/>
  <c r="K11" i="12"/>
  <c r="L11" i="12"/>
  <c r="M11" i="12"/>
  <c r="N11" i="12"/>
  <c r="O11" i="12"/>
  <c r="P11" i="12"/>
  <c r="Q11" i="12"/>
  <c r="R11" i="12"/>
  <c r="S11" i="12"/>
  <c r="T11" i="12"/>
  <c r="U11" i="12"/>
  <c r="V11" i="12"/>
  <c r="W11" i="12"/>
  <c r="X11" i="12"/>
  <c r="Y11" i="12"/>
  <c r="Z11" i="12"/>
  <c r="AA11" i="12"/>
  <c r="AB11" i="12"/>
  <c r="AC11" i="12"/>
  <c r="AD11" i="12"/>
  <c r="AE11" i="12"/>
  <c r="AF11" i="12"/>
  <c r="AG11" i="12"/>
  <c r="AH11" i="12"/>
  <c r="B12" i="12"/>
  <c r="C12" i="12"/>
  <c r="D12" i="12"/>
  <c r="E12" i="12"/>
  <c r="F12" i="12"/>
  <c r="G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B13" i="12"/>
  <c r="C13" i="12"/>
  <c r="D13" i="12"/>
  <c r="E13" i="12"/>
  <c r="F13" i="12"/>
  <c r="G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B14" i="12"/>
  <c r="C14" i="12"/>
  <c r="D14" i="12"/>
  <c r="E14" i="12"/>
  <c r="F14" i="12"/>
  <c r="G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B15" i="12"/>
  <c r="C15" i="12"/>
  <c r="D15" i="12"/>
  <c r="E15" i="12"/>
  <c r="F15" i="12"/>
  <c r="G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B16" i="12"/>
  <c r="C16" i="12"/>
  <c r="D16" i="12"/>
  <c r="E16" i="12"/>
  <c r="F16" i="12"/>
  <c r="G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B17" i="12"/>
  <c r="C17" i="12"/>
  <c r="D17" i="12"/>
  <c r="E17" i="12"/>
  <c r="F17" i="12"/>
  <c r="G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B18" i="12"/>
  <c r="C18" i="12"/>
  <c r="D18" i="12"/>
  <c r="E18" i="12"/>
  <c r="F18" i="12"/>
  <c r="G18" i="12"/>
  <c r="H18" i="12"/>
  <c r="I18" i="12"/>
  <c r="J18" i="12"/>
  <c r="K18" i="12"/>
  <c r="L18" i="12"/>
  <c r="M18" i="12"/>
  <c r="N18" i="12"/>
  <c r="O18" i="12"/>
  <c r="P18" i="12"/>
  <c r="Q18" i="12"/>
  <c r="R18" i="12"/>
  <c r="S18" i="12"/>
  <c r="T18" i="12"/>
  <c r="U18" i="12"/>
  <c r="V18" i="12"/>
  <c r="W18" i="12"/>
  <c r="X18" i="12"/>
  <c r="Y18" i="12"/>
  <c r="Z18" i="12"/>
  <c r="AA18" i="12"/>
  <c r="AB18" i="12"/>
  <c r="AC18" i="12"/>
  <c r="AD18" i="12"/>
  <c r="AE18" i="12"/>
  <c r="AF18" i="12"/>
  <c r="AG18" i="12"/>
  <c r="AH18" i="12"/>
  <c r="B19" i="12"/>
  <c r="C19" i="12"/>
  <c r="D19" i="12"/>
  <c r="E19" i="12"/>
  <c r="F19" i="12"/>
  <c r="G19" i="12"/>
  <c r="H19" i="12"/>
  <c r="I19" i="12"/>
  <c r="J19" i="12"/>
  <c r="K19" i="12"/>
  <c r="L19" i="12"/>
  <c r="M19" i="12"/>
  <c r="N19" i="12"/>
  <c r="O19" i="12"/>
  <c r="P19" i="12"/>
  <c r="Q19" i="12"/>
  <c r="R19" i="12"/>
  <c r="S19" i="12"/>
  <c r="T19" i="12"/>
  <c r="U19" i="12"/>
  <c r="V19" i="12"/>
  <c r="W19" i="12"/>
  <c r="X19" i="12"/>
  <c r="Y19" i="12"/>
  <c r="Z19" i="12"/>
  <c r="AA19" i="12"/>
  <c r="AB19" i="12"/>
  <c r="AC19" i="12"/>
  <c r="AD19" i="12"/>
  <c r="AE19" i="12"/>
  <c r="AF19" i="12"/>
  <c r="AG19" i="12"/>
  <c r="AH19" i="12"/>
  <c r="B20" i="12"/>
  <c r="C20" i="12"/>
  <c r="D20" i="12"/>
  <c r="E20" i="12"/>
  <c r="F20" i="12"/>
  <c r="G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B21" i="12"/>
  <c r="C21" i="12"/>
  <c r="D21" i="12"/>
  <c r="E21" i="12"/>
  <c r="F21" i="12"/>
  <c r="G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B24" i="12"/>
  <c r="C24" i="12"/>
  <c r="D24" i="12"/>
  <c r="E24" i="12"/>
  <c r="F24" i="12"/>
  <c r="G24" i="12"/>
  <c r="H24" i="12"/>
  <c r="I24" i="12"/>
  <c r="J24" i="12"/>
  <c r="K24" i="12"/>
  <c r="L24" i="12"/>
  <c r="M24" i="12"/>
  <c r="N24" i="12"/>
  <c r="O24" i="12"/>
  <c r="P24" i="12"/>
  <c r="Q24" i="12"/>
  <c r="R24" i="12"/>
  <c r="S24" i="12"/>
  <c r="T24" i="12"/>
  <c r="U24" i="12"/>
  <c r="V24" i="12"/>
  <c r="W24" i="12"/>
  <c r="X24" i="12"/>
  <c r="Y24" i="12"/>
  <c r="Z24" i="12"/>
  <c r="AA24" i="12"/>
  <c r="AB24" i="12"/>
  <c r="AC24" i="12"/>
  <c r="AD24" i="12"/>
  <c r="AE24" i="12"/>
  <c r="AF24" i="12"/>
  <c r="AG24" i="12"/>
  <c r="AH24" i="12"/>
  <c r="B25" i="12"/>
  <c r="C25" i="12"/>
  <c r="D25" i="12"/>
  <c r="E25" i="12"/>
  <c r="F25" i="12"/>
  <c r="G25" i="12"/>
  <c r="H25" i="12"/>
  <c r="I25" i="12"/>
  <c r="J25" i="12"/>
  <c r="K25" i="12"/>
  <c r="L25" i="12"/>
  <c r="M25" i="12"/>
  <c r="N25" i="12"/>
  <c r="O25" i="12"/>
  <c r="P25" i="12"/>
  <c r="Q25" i="12"/>
  <c r="R25" i="12"/>
  <c r="S25" i="12"/>
  <c r="T25" i="12"/>
  <c r="U25" i="12"/>
  <c r="V25" i="12"/>
  <c r="W25" i="12"/>
  <c r="X25" i="12"/>
  <c r="Y25" i="12"/>
  <c r="Z25" i="12"/>
  <c r="AA25" i="12"/>
  <c r="AB25" i="12"/>
  <c r="AC25" i="12"/>
  <c r="AD25" i="12"/>
  <c r="AE25" i="12"/>
  <c r="AF25" i="12"/>
  <c r="AG25" i="12"/>
  <c r="AH25" i="12"/>
  <c r="B26" i="12"/>
  <c r="C26" i="12"/>
  <c r="D26" i="12"/>
  <c r="E26" i="12"/>
  <c r="F26" i="12"/>
  <c r="G26" i="12"/>
  <c r="H26" i="12"/>
  <c r="I26" i="12"/>
  <c r="J26" i="12"/>
  <c r="K26" i="12"/>
  <c r="L26" i="12"/>
  <c r="M26" i="12"/>
  <c r="N26" i="12"/>
  <c r="O26" i="12"/>
  <c r="P26" i="12"/>
  <c r="Q26" i="12"/>
  <c r="R26" i="12"/>
  <c r="S26" i="12"/>
  <c r="T26" i="12"/>
  <c r="U26" i="12"/>
  <c r="V26" i="12"/>
  <c r="W26" i="12"/>
  <c r="X26" i="12"/>
  <c r="Y26" i="12"/>
  <c r="Z26" i="12"/>
  <c r="AA26" i="12"/>
  <c r="AB26" i="12"/>
  <c r="AC26" i="12"/>
  <c r="AD26" i="12"/>
  <c r="AE26" i="12"/>
  <c r="AF26" i="12"/>
  <c r="AG26" i="12"/>
  <c r="AH26" i="12"/>
  <c r="B27" i="12"/>
  <c r="C27" i="12"/>
  <c r="D27" i="12"/>
  <c r="E27" i="12"/>
  <c r="F27" i="12"/>
  <c r="G27" i="12"/>
  <c r="H27" i="12"/>
  <c r="I27" i="12"/>
  <c r="J27" i="12"/>
  <c r="K27" i="12"/>
  <c r="L27" i="12"/>
  <c r="M27" i="12"/>
  <c r="N27" i="12"/>
  <c r="O27" i="12"/>
  <c r="P27" i="12"/>
  <c r="Q27" i="12"/>
  <c r="R27" i="12"/>
  <c r="S27" i="12"/>
  <c r="T27" i="12"/>
  <c r="U27" i="12"/>
  <c r="V27" i="12"/>
  <c r="W27" i="12"/>
  <c r="X27" i="12"/>
  <c r="Y27" i="12"/>
  <c r="Z27" i="12"/>
  <c r="AA27" i="12"/>
  <c r="AB27" i="12"/>
  <c r="AC27" i="12"/>
  <c r="AD27" i="12"/>
  <c r="AE27" i="12"/>
  <c r="AF27" i="12"/>
  <c r="AG27" i="12"/>
  <c r="AH27" i="12"/>
  <c r="B28" i="12"/>
  <c r="C28" i="12"/>
  <c r="D28" i="12"/>
  <c r="E28" i="12"/>
  <c r="F28" i="12"/>
  <c r="G28" i="12"/>
  <c r="H28" i="12"/>
  <c r="I28" i="12"/>
  <c r="J28" i="12"/>
  <c r="K28" i="12"/>
  <c r="L28" i="12"/>
  <c r="M28" i="12"/>
  <c r="N28" i="12"/>
  <c r="O28" i="12"/>
  <c r="P28" i="12"/>
  <c r="Q28" i="12"/>
  <c r="R28" i="12"/>
  <c r="S28" i="12"/>
  <c r="T28" i="12"/>
  <c r="U28" i="12"/>
  <c r="V28" i="12"/>
  <c r="W28" i="12"/>
  <c r="X28" i="12"/>
  <c r="Y28" i="12"/>
  <c r="Z28" i="12"/>
  <c r="AA28" i="12"/>
  <c r="AB28" i="12"/>
  <c r="AC28" i="12"/>
  <c r="AD28" i="12"/>
  <c r="AE28" i="12"/>
  <c r="AF28" i="12"/>
  <c r="AG28" i="12"/>
  <c r="AH28" i="12"/>
  <c r="B29" i="12"/>
  <c r="C29" i="12"/>
  <c r="D29" i="12"/>
  <c r="E29" i="12"/>
  <c r="F29" i="12"/>
  <c r="G29" i="12"/>
  <c r="H29" i="12"/>
  <c r="I29" i="12"/>
  <c r="J29" i="12"/>
  <c r="K29" i="12"/>
  <c r="L29" i="12"/>
  <c r="M29" i="12"/>
  <c r="N29" i="12"/>
  <c r="O29" i="12"/>
  <c r="P29" i="12"/>
  <c r="Q29" i="12"/>
  <c r="R29" i="12"/>
  <c r="S29" i="12"/>
  <c r="T29" i="12"/>
  <c r="U29" i="12"/>
  <c r="V29" i="12"/>
  <c r="W29" i="12"/>
  <c r="X29" i="12"/>
  <c r="Y29" i="12"/>
  <c r="Z29" i="12"/>
  <c r="AA29" i="12"/>
  <c r="AB29" i="12"/>
  <c r="AC29" i="12"/>
  <c r="AD29" i="12"/>
  <c r="AE29" i="12"/>
  <c r="AF29" i="12"/>
  <c r="AG29" i="12"/>
  <c r="AH29" i="12"/>
  <c r="B30" i="12"/>
  <c r="C30" i="12"/>
  <c r="D30" i="12"/>
  <c r="E30" i="12"/>
  <c r="F30" i="12"/>
  <c r="G30" i="12"/>
  <c r="H30" i="12"/>
  <c r="I30" i="12"/>
  <c r="J30" i="12"/>
  <c r="K30" i="12"/>
  <c r="L30" i="12"/>
  <c r="M30" i="12"/>
  <c r="N30" i="12"/>
  <c r="O30" i="12"/>
  <c r="P30" i="12"/>
  <c r="Q30" i="12"/>
  <c r="R30" i="12"/>
  <c r="S30" i="12"/>
  <c r="T30" i="12"/>
  <c r="U30" i="12"/>
  <c r="V30" i="12"/>
  <c r="W30" i="12"/>
  <c r="X30" i="12"/>
  <c r="Y30" i="12"/>
  <c r="Z30" i="12"/>
  <c r="AA30" i="12"/>
  <c r="AB30" i="12"/>
  <c r="AC30" i="12"/>
  <c r="AD30" i="12"/>
  <c r="AE30" i="12"/>
  <c r="AF30" i="12"/>
  <c r="AG30" i="12"/>
  <c r="AH30" i="12"/>
  <c r="B31" i="12"/>
  <c r="C31" i="12"/>
  <c r="D31" i="12"/>
  <c r="E31" i="12"/>
  <c r="F31" i="12"/>
  <c r="G31" i="12"/>
  <c r="H31" i="12"/>
  <c r="I31" i="12"/>
  <c r="J31" i="12"/>
  <c r="K31" i="12"/>
  <c r="L31" i="12"/>
  <c r="M31" i="12"/>
  <c r="N31" i="12"/>
  <c r="O31" i="12"/>
  <c r="P31" i="12"/>
  <c r="Q31" i="12"/>
  <c r="R31" i="12"/>
  <c r="S31" i="12"/>
  <c r="T31" i="12"/>
  <c r="U31" i="12"/>
  <c r="V31" i="12"/>
  <c r="W31" i="12"/>
  <c r="X31" i="12"/>
  <c r="Y31" i="12"/>
  <c r="Z31" i="12"/>
  <c r="AA31" i="12"/>
  <c r="AB31" i="12"/>
  <c r="AC31" i="12"/>
  <c r="AD31" i="12"/>
  <c r="AE31" i="12"/>
  <c r="AF31" i="12"/>
  <c r="AG31" i="12"/>
  <c r="AH31" i="12"/>
  <c r="B32" i="12"/>
  <c r="C32" i="12"/>
  <c r="D32" i="12"/>
  <c r="E32" i="12"/>
  <c r="F32" i="12"/>
  <c r="G32" i="12"/>
  <c r="H32" i="12"/>
  <c r="I32" i="12"/>
  <c r="J32" i="12"/>
  <c r="K32" i="12"/>
  <c r="L32" i="12"/>
  <c r="M32" i="12"/>
  <c r="N32" i="12"/>
  <c r="O32" i="12"/>
  <c r="P32" i="12"/>
  <c r="Q32" i="12"/>
  <c r="R32" i="12"/>
  <c r="S32" i="12"/>
  <c r="T32" i="12"/>
  <c r="U32" i="12"/>
  <c r="V32" i="12"/>
  <c r="W32" i="12"/>
  <c r="X32" i="12"/>
  <c r="Y32" i="12"/>
  <c r="Z32" i="12"/>
  <c r="AA32" i="12"/>
  <c r="AB32" i="12"/>
  <c r="AC32" i="12"/>
  <c r="AD32" i="12"/>
  <c r="AE32" i="12"/>
  <c r="AF32" i="12"/>
  <c r="AG32" i="12"/>
  <c r="AH32" i="12"/>
  <c r="B33" i="12"/>
  <c r="C33" i="12"/>
  <c r="D33" i="12"/>
  <c r="E33" i="12"/>
  <c r="F33" i="12"/>
  <c r="G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B34" i="12"/>
  <c r="C34" i="12"/>
  <c r="D34" i="12"/>
  <c r="E34" i="12"/>
  <c r="F34" i="12"/>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B35" i="12"/>
  <c r="C35" i="12"/>
  <c r="D35" i="12"/>
  <c r="E35" i="12"/>
  <c r="F35" i="12"/>
  <c r="G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B36" i="12"/>
  <c r="C36" i="12"/>
  <c r="D36" i="12"/>
  <c r="E36" i="12"/>
  <c r="F36" i="12"/>
  <c r="G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B39" i="12"/>
  <c r="C39" i="12"/>
  <c r="D39" i="12"/>
  <c r="E39" i="12"/>
  <c r="F39" i="12"/>
  <c r="G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B40" i="12"/>
  <c r="C40" i="12"/>
  <c r="D40" i="12"/>
  <c r="E40" i="12"/>
  <c r="F40" i="12"/>
  <c r="G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B41" i="12"/>
  <c r="C41" i="12"/>
  <c r="D41" i="12"/>
  <c r="E41" i="12"/>
  <c r="F41" i="12"/>
  <c r="G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B42" i="12"/>
  <c r="C42" i="12"/>
  <c r="D42" i="12"/>
  <c r="E42" i="12"/>
  <c r="F42" i="12"/>
  <c r="G42" i="12"/>
  <c r="H42" i="12"/>
  <c r="I42" i="12"/>
  <c r="J42" i="12"/>
  <c r="K42" i="12"/>
  <c r="L42" i="12"/>
  <c r="M42" i="12"/>
  <c r="N42" i="12"/>
  <c r="O42" i="12"/>
  <c r="P42" i="12"/>
  <c r="Q42" i="12"/>
  <c r="R42" i="12"/>
  <c r="S42" i="12"/>
  <c r="T42" i="12"/>
  <c r="U42" i="12"/>
  <c r="V42" i="12"/>
  <c r="W42" i="12"/>
  <c r="X42" i="12"/>
  <c r="Y42" i="12"/>
  <c r="Z42" i="12"/>
  <c r="AA42" i="12"/>
  <c r="AB42" i="12"/>
  <c r="AC42" i="12"/>
  <c r="AD42" i="12"/>
  <c r="AE42" i="12"/>
  <c r="AF42" i="12"/>
  <c r="AG42" i="12"/>
  <c r="AH42" i="12"/>
  <c r="B43" i="12"/>
  <c r="C43" i="12"/>
  <c r="D43" i="12"/>
  <c r="E43" i="12"/>
  <c r="F43" i="12"/>
  <c r="G43" i="12"/>
  <c r="H43" i="12"/>
  <c r="I43" i="12"/>
  <c r="J43" i="12"/>
  <c r="K43" i="12"/>
  <c r="L43" i="12"/>
  <c r="M43" i="12"/>
  <c r="N43" i="12"/>
  <c r="O43" i="12"/>
  <c r="P43" i="12"/>
  <c r="Q43" i="12"/>
  <c r="R43" i="12"/>
  <c r="S43" i="12"/>
  <c r="T43" i="12"/>
  <c r="U43" i="12"/>
  <c r="V43" i="12"/>
  <c r="W43" i="12"/>
  <c r="X43" i="12"/>
  <c r="Y43" i="12"/>
  <c r="Z43" i="12"/>
  <c r="AA43" i="12"/>
  <c r="AB43" i="12"/>
  <c r="AC43" i="12"/>
  <c r="AD43" i="12"/>
  <c r="AE43" i="12"/>
  <c r="AF43" i="12"/>
  <c r="AG43" i="12"/>
  <c r="AH43" i="12"/>
  <c r="B44" i="12"/>
  <c r="C44" i="12"/>
  <c r="D44" i="12"/>
  <c r="E44" i="12"/>
  <c r="F44" i="12"/>
  <c r="G44" i="12"/>
  <c r="H44" i="12"/>
  <c r="I44" i="12"/>
  <c r="J44" i="12"/>
  <c r="K44" i="12"/>
  <c r="L44" i="12"/>
  <c r="M44" i="12"/>
  <c r="N44" i="12"/>
  <c r="O44" i="12"/>
  <c r="P44" i="12"/>
  <c r="Q44" i="12"/>
  <c r="R44" i="12"/>
  <c r="S44" i="12"/>
  <c r="T44" i="12"/>
  <c r="U44" i="12"/>
  <c r="V44" i="12"/>
  <c r="W44" i="12"/>
  <c r="X44" i="12"/>
  <c r="Y44" i="12"/>
  <c r="Z44" i="12"/>
  <c r="AA44" i="12"/>
  <c r="AB44" i="12"/>
  <c r="AC44" i="12"/>
  <c r="AD44" i="12"/>
  <c r="AE44" i="12"/>
  <c r="AF44" i="12"/>
  <c r="AG44" i="12"/>
  <c r="AH44" i="12"/>
  <c r="B45" i="12"/>
  <c r="C45" i="12"/>
  <c r="D45" i="12"/>
  <c r="E45" i="12"/>
  <c r="F45" i="12"/>
  <c r="G45" i="12"/>
  <c r="H45" i="12"/>
  <c r="I45" i="12"/>
  <c r="J45" i="12"/>
  <c r="K45" i="12"/>
  <c r="L45" i="12"/>
  <c r="M45" i="12"/>
  <c r="N45" i="12"/>
  <c r="O45" i="12"/>
  <c r="P45" i="12"/>
  <c r="Q45" i="12"/>
  <c r="R45" i="12"/>
  <c r="S45" i="12"/>
  <c r="T45" i="12"/>
  <c r="U45" i="12"/>
  <c r="V45" i="12"/>
  <c r="W45" i="12"/>
  <c r="X45" i="12"/>
  <c r="Y45" i="12"/>
  <c r="Z45" i="12"/>
  <c r="AA45" i="12"/>
  <c r="AB45" i="12"/>
  <c r="AC45" i="12"/>
  <c r="AD45" i="12"/>
  <c r="AE45" i="12"/>
  <c r="AF45" i="12"/>
  <c r="AG45" i="12"/>
  <c r="AH45" i="12"/>
  <c r="B46" i="12"/>
  <c r="C46" i="12"/>
  <c r="D46" i="12"/>
  <c r="E46" i="12"/>
  <c r="F46" i="12"/>
  <c r="G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B47" i="12"/>
  <c r="C47" i="12"/>
  <c r="D47" i="12"/>
  <c r="E47" i="12"/>
  <c r="F47" i="12"/>
  <c r="G47" i="12"/>
  <c r="H47" i="12"/>
  <c r="I47" i="12"/>
  <c r="J47" i="12"/>
  <c r="K47" i="12"/>
  <c r="L47" i="12"/>
  <c r="M47" i="12"/>
  <c r="N47" i="12"/>
  <c r="O47" i="12"/>
  <c r="P47" i="12"/>
  <c r="Q47" i="12"/>
  <c r="R47" i="12"/>
  <c r="S47" i="12"/>
  <c r="T47" i="12"/>
  <c r="U47" i="12"/>
  <c r="V47" i="12"/>
  <c r="W47" i="12"/>
  <c r="X47" i="12"/>
  <c r="Y47" i="12"/>
  <c r="Z47" i="12"/>
  <c r="AA47" i="12"/>
  <c r="AB47" i="12"/>
  <c r="AC47" i="12"/>
  <c r="AD47" i="12"/>
  <c r="AE47" i="12"/>
  <c r="AF47" i="12"/>
  <c r="AG47" i="12"/>
  <c r="AH47" i="12"/>
  <c r="B48" i="12"/>
  <c r="C48" i="12"/>
  <c r="D48" i="12"/>
  <c r="E48" i="12"/>
  <c r="F48" i="12"/>
  <c r="G48" i="12"/>
  <c r="H48" i="12"/>
  <c r="I48" i="12"/>
  <c r="J48" i="12"/>
  <c r="K48" i="12"/>
  <c r="L48" i="12"/>
  <c r="M48" i="12"/>
  <c r="N48" i="12"/>
  <c r="O48" i="12"/>
  <c r="P48" i="12"/>
  <c r="Q48" i="12"/>
  <c r="R48" i="12"/>
  <c r="S48" i="12"/>
  <c r="T48" i="12"/>
  <c r="U48" i="12"/>
  <c r="V48" i="12"/>
  <c r="W48" i="12"/>
  <c r="X48" i="12"/>
  <c r="Y48" i="12"/>
  <c r="Z48" i="12"/>
  <c r="AA48" i="12"/>
  <c r="AB48" i="12"/>
  <c r="AC48" i="12"/>
  <c r="AD48" i="12"/>
  <c r="AE48" i="12"/>
  <c r="AF48" i="12"/>
  <c r="AG48" i="12"/>
  <c r="AH48" i="12"/>
  <c r="B49" i="12"/>
  <c r="C49" i="12"/>
  <c r="D49" i="12"/>
  <c r="E49" i="12"/>
  <c r="F49" i="12"/>
  <c r="G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B50" i="12"/>
  <c r="C50" i="12"/>
  <c r="D50" i="12"/>
  <c r="E50" i="12"/>
  <c r="F50" i="12"/>
  <c r="G50" i="12"/>
  <c r="H50" i="12"/>
  <c r="I50" i="12"/>
  <c r="J50" i="12"/>
  <c r="K50" i="12"/>
  <c r="L50" i="12"/>
  <c r="M50" i="12"/>
  <c r="N50" i="12"/>
  <c r="O50" i="12"/>
  <c r="P50" i="12"/>
  <c r="Q50" i="12"/>
  <c r="R50" i="12"/>
  <c r="S50" i="12"/>
  <c r="T50" i="12"/>
  <c r="U50" i="12"/>
  <c r="V50" i="12"/>
  <c r="W50" i="12"/>
  <c r="X50" i="12"/>
  <c r="Y50" i="12"/>
  <c r="Z50" i="12"/>
  <c r="AA50" i="12"/>
  <c r="AB50" i="12"/>
  <c r="AC50" i="12"/>
  <c r="AD50" i="12"/>
  <c r="AE50" i="12"/>
  <c r="AF50" i="12"/>
  <c r="AG50" i="12"/>
  <c r="AH50" i="12"/>
  <c r="B53" i="12"/>
  <c r="C53" i="12"/>
  <c r="D53" i="12"/>
  <c r="E53" i="12"/>
  <c r="F53" i="12"/>
  <c r="G53" i="12"/>
  <c r="H53" i="12"/>
  <c r="I53" i="12"/>
  <c r="J53" i="12"/>
  <c r="K53" i="12"/>
  <c r="L53" i="12"/>
  <c r="M53" i="12"/>
  <c r="N53" i="12"/>
  <c r="O53" i="12"/>
  <c r="P53" i="12"/>
  <c r="Q53" i="12"/>
  <c r="R53" i="12"/>
  <c r="S53" i="12"/>
  <c r="T53" i="12"/>
  <c r="U53" i="12"/>
  <c r="V53" i="12"/>
  <c r="W53" i="12"/>
  <c r="X53" i="12"/>
  <c r="Y53" i="12"/>
  <c r="Z53" i="12"/>
  <c r="AA53" i="12"/>
  <c r="AB53" i="12"/>
  <c r="AC53" i="12"/>
  <c r="AD53" i="12"/>
  <c r="AE53" i="12"/>
  <c r="AF53" i="12"/>
  <c r="AG53" i="12"/>
  <c r="AH53" i="12"/>
  <c r="B54" i="12"/>
  <c r="C54" i="12"/>
  <c r="D54" i="12"/>
  <c r="E54" i="12"/>
  <c r="F54" i="12"/>
  <c r="G54" i="12"/>
  <c r="H54" i="12"/>
  <c r="I54" i="12"/>
  <c r="J54" i="12"/>
  <c r="K54" i="12"/>
  <c r="L54" i="12"/>
  <c r="M54" i="12"/>
  <c r="N54" i="12"/>
  <c r="O54" i="12"/>
  <c r="P54" i="12"/>
  <c r="Q54" i="12"/>
  <c r="R54" i="12"/>
  <c r="S54" i="12"/>
  <c r="T54" i="12"/>
  <c r="U54" i="12"/>
  <c r="V54" i="12"/>
  <c r="W54" i="12"/>
  <c r="X54" i="12"/>
  <c r="Y54" i="12"/>
  <c r="Z54" i="12"/>
  <c r="AA54" i="12"/>
  <c r="AB54" i="12"/>
  <c r="AC54" i="12"/>
  <c r="AD54" i="12"/>
  <c r="AE54" i="12"/>
  <c r="AF54" i="12"/>
  <c r="AG54" i="12"/>
  <c r="AH54" i="12"/>
  <c r="B55" i="12"/>
  <c r="C55" i="12"/>
  <c r="D55" i="12"/>
  <c r="E55" i="12"/>
  <c r="F55" i="12"/>
  <c r="G55" i="12"/>
  <c r="H55" i="12"/>
  <c r="I55" i="12"/>
  <c r="J55" i="12"/>
  <c r="K55" i="12"/>
  <c r="L55" i="12"/>
  <c r="M55" i="12"/>
  <c r="N55" i="12"/>
  <c r="O55" i="12"/>
  <c r="P55" i="12"/>
  <c r="Q55" i="12"/>
  <c r="R55" i="12"/>
  <c r="S55" i="12"/>
  <c r="T55" i="12"/>
  <c r="U55" i="12"/>
  <c r="V55" i="12"/>
  <c r="W55" i="12"/>
  <c r="X55" i="12"/>
  <c r="Y55" i="12"/>
  <c r="Z55" i="12"/>
  <c r="AA55" i="12"/>
  <c r="AB55" i="12"/>
  <c r="AC55" i="12"/>
  <c r="AD55" i="12"/>
  <c r="AE55" i="12"/>
  <c r="AF55" i="12"/>
  <c r="AG55" i="12"/>
  <c r="AH55" i="12"/>
  <c r="B56" i="12"/>
  <c r="C56" i="12"/>
  <c r="D56" i="12"/>
  <c r="E56" i="12"/>
  <c r="F56" i="12"/>
  <c r="G56" i="12"/>
  <c r="H56" i="12"/>
  <c r="I56" i="12"/>
  <c r="J56" i="12"/>
  <c r="K56" i="12"/>
  <c r="L56" i="12"/>
  <c r="M56" i="12"/>
  <c r="N56" i="12"/>
  <c r="O56" i="12"/>
  <c r="P56" i="12"/>
  <c r="Q56" i="12"/>
  <c r="R56" i="12"/>
  <c r="S56" i="12"/>
  <c r="T56" i="12"/>
  <c r="U56" i="12"/>
  <c r="V56" i="12"/>
  <c r="W56" i="12"/>
  <c r="X56" i="12"/>
  <c r="Y56" i="12"/>
  <c r="Z56" i="12"/>
  <c r="AA56" i="12"/>
  <c r="AB56" i="12"/>
  <c r="AC56" i="12"/>
  <c r="AD56" i="12"/>
  <c r="AE56" i="12"/>
  <c r="AF56" i="12"/>
  <c r="AG56" i="12"/>
  <c r="AH56" i="12"/>
  <c r="B57" i="12"/>
  <c r="C57" i="12"/>
  <c r="D57" i="12"/>
  <c r="E57" i="12"/>
  <c r="F57" i="12"/>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B58" i="12"/>
  <c r="C58" i="12"/>
  <c r="D58" i="12"/>
  <c r="E58" i="12"/>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B59" i="12"/>
  <c r="C59" i="12"/>
  <c r="D59" i="12"/>
  <c r="E59" i="12"/>
  <c r="F59" i="12"/>
  <c r="G59" i="12"/>
  <c r="H59" i="12"/>
  <c r="I59" i="12"/>
  <c r="J59" i="12"/>
  <c r="K59" i="12"/>
  <c r="L59" i="12"/>
  <c r="M59" i="12"/>
  <c r="N59" i="12"/>
  <c r="O59" i="12"/>
  <c r="P59" i="12"/>
  <c r="Q59" i="12"/>
  <c r="R59" i="12"/>
  <c r="S59" i="12"/>
  <c r="T59" i="12"/>
  <c r="U59" i="12"/>
  <c r="V59" i="12"/>
  <c r="W59" i="12"/>
  <c r="X59" i="12"/>
  <c r="Y59" i="12"/>
  <c r="Z59" i="12"/>
  <c r="AA59" i="12"/>
  <c r="AB59" i="12"/>
  <c r="AC59" i="12"/>
  <c r="AD59" i="12"/>
  <c r="AE59" i="12"/>
  <c r="AF59" i="12"/>
  <c r="AG59" i="12"/>
  <c r="AH59" i="12"/>
  <c r="B60" i="12"/>
  <c r="C60" i="12"/>
  <c r="D60" i="12"/>
  <c r="E60" i="12"/>
  <c r="F60" i="12"/>
  <c r="G60" i="12"/>
  <c r="H60" i="12"/>
  <c r="I60" i="12"/>
  <c r="J60" i="12"/>
  <c r="K60" i="12"/>
  <c r="L60" i="12"/>
  <c r="M60" i="12"/>
  <c r="N60" i="12"/>
  <c r="O60" i="12"/>
  <c r="P60" i="12"/>
  <c r="Q60" i="12"/>
  <c r="R60" i="12"/>
  <c r="S60" i="12"/>
  <c r="T60" i="12"/>
  <c r="U60" i="12"/>
  <c r="V60" i="12"/>
  <c r="W60" i="12"/>
  <c r="X60" i="12"/>
  <c r="Y60" i="12"/>
  <c r="Z60" i="12"/>
  <c r="AA60" i="12"/>
  <c r="AB60" i="12"/>
  <c r="AC60" i="12"/>
  <c r="AD60" i="12"/>
  <c r="AE60" i="12"/>
  <c r="AF60" i="12"/>
  <c r="AG60" i="12"/>
  <c r="AH60" i="12"/>
  <c r="B61" i="12"/>
  <c r="C61" i="12"/>
  <c r="D61" i="12"/>
  <c r="E61" i="12"/>
  <c r="F61" i="12"/>
  <c r="G61" i="12"/>
  <c r="H61" i="12"/>
  <c r="I61" i="12"/>
  <c r="J61" i="12"/>
  <c r="K61" i="12"/>
  <c r="L61" i="12"/>
  <c r="M61" i="12"/>
  <c r="N61" i="12"/>
  <c r="O61" i="12"/>
  <c r="P61" i="12"/>
  <c r="Q61" i="12"/>
  <c r="R61" i="12"/>
  <c r="S61" i="12"/>
  <c r="T61" i="12"/>
  <c r="U61" i="12"/>
  <c r="V61" i="12"/>
  <c r="W61" i="12"/>
  <c r="X61" i="12"/>
  <c r="Y61" i="12"/>
  <c r="Z61" i="12"/>
  <c r="AA61" i="12"/>
  <c r="AB61" i="12"/>
  <c r="AC61" i="12"/>
  <c r="AD61" i="12"/>
  <c r="AE61" i="12"/>
  <c r="AF61" i="12"/>
  <c r="AG61" i="12"/>
  <c r="AH61" i="12"/>
  <c r="B62" i="12"/>
  <c r="C62" i="12"/>
  <c r="D62" i="12"/>
  <c r="E62" i="12"/>
  <c r="F62" i="12"/>
  <c r="G62" i="12"/>
  <c r="H62" i="12"/>
  <c r="I62" i="12"/>
  <c r="J62" i="12"/>
  <c r="K62" i="12"/>
  <c r="L62" i="12"/>
  <c r="M62" i="12"/>
  <c r="N62" i="12"/>
  <c r="O62" i="12"/>
  <c r="P62" i="12"/>
  <c r="Q62" i="12"/>
  <c r="R62" i="12"/>
  <c r="S62" i="12"/>
  <c r="T62" i="12"/>
  <c r="U62" i="12"/>
  <c r="V62" i="12"/>
  <c r="W62" i="12"/>
  <c r="X62" i="12"/>
  <c r="Y62" i="12"/>
  <c r="Z62" i="12"/>
  <c r="AA62" i="12"/>
  <c r="AB62" i="12"/>
  <c r="AC62" i="12"/>
  <c r="AD62" i="12"/>
  <c r="AE62" i="12"/>
  <c r="AF62" i="12"/>
  <c r="AG62" i="12"/>
  <c r="AH62" i="12"/>
  <c r="AI52" i="1" l="1"/>
  <c r="AI38" i="1"/>
  <c r="AI23" i="1"/>
  <c r="AI5" i="1"/>
  <c r="CD52" i="1"/>
  <c r="CD38" i="1"/>
  <c r="CD23" i="1"/>
  <c r="CD5" i="1"/>
  <c r="AJ52" i="7"/>
  <c r="AJ38" i="7"/>
  <c r="AJ23" i="7"/>
  <c r="AJ5" i="7"/>
  <c r="BQ52" i="11"/>
  <c r="AI37" i="12" l="1"/>
  <c r="AI51" i="12"/>
  <c r="AI4" i="12"/>
  <c r="AI22" i="12"/>
  <c r="AI4" i="1"/>
  <c r="AI24" i="1" s="1"/>
  <c r="CD4" i="1"/>
  <c r="AJ4" i="7"/>
  <c r="CD24" i="1" l="1"/>
  <c r="AI3" i="12"/>
  <c r="AJ53" i="7"/>
  <c r="CD39" i="1"/>
  <c r="AI53" i="1"/>
  <c r="AI6" i="1"/>
  <c r="AI39" i="1"/>
  <c r="CD53" i="1"/>
  <c r="CD6" i="1"/>
  <c r="AJ6" i="7"/>
  <c r="AJ39" i="7"/>
  <c r="AJ24" i="7"/>
  <c r="AY52" i="10" l="1"/>
  <c r="V5" i="10"/>
  <c r="AX52" i="10"/>
  <c r="AW52" i="10"/>
  <c r="AU52" i="10"/>
  <c r="AT52" i="10"/>
  <c r="AS52" i="10"/>
  <c r="AP52" i="10"/>
  <c r="AN52" i="10"/>
  <c r="AM52" i="10"/>
  <c r="AL52" i="10"/>
  <c r="AK52" i="10"/>
  <c r="AJ52" i="10"/>
  <c r="AI52" i="10"/>
  <c r="AH52" i="10"/>
  <c r="AE52" i="10"/>
  <c r="U52" i="10"/>
  <c r="T52" i="10"/>
  <c r="R52" i="10"/>
  <c r="Q52" i="10"/>
  <c r="P52" i="10"/>
  <c r="M52" i="10"/>
  <c r="K52" i="10"/>
  <c r="J52" i="10"/>
  <c r="I52" i="10"/>
  <c r="H52" i="10"/>
  <c r="G52" i="10"/>
  <c r="F52" i="10"/>
  <c r="E52" i="10"/>
  <c r="B52" i="10"/>
  <c r="AY38" i="10"/>
  <c r="AX38" i="10"/>
  <c r="AW38" i="10"/>
  <c r="AU38" i="10"/>
  <c r="AT38" i="10"/>
  <c r="AS38" i="10"/>
  <c r="AP38" i="10"/>
  <c r="AN38" i="10"/>
  <c r="AM38" i="10"/>
  <c r="AL38" i="10"/>
  <c r="AK38" i="10"/>
  <c r="AJ38" i="10"/>
  <c r="AI38" i="10"/>
  <c r="AH38" i="10"/>
  <c r="AE38" i="10"/>
  <c r="U38" i="10"/>
  <c r="T38" i="10"/>
  <c r="R38" i="10"/>
  <c r="Q38" i="10"/>
  <c r="P38" i="10"/>
  <c r="M38" i="10"/>
  <c r="K38" i="10"/>
  <c r="J38" i="10"/>
  <c r="I38" i="10"/>
  <c r="H38" i="10"/>
  <c r="G38" i="10"/>
  <c r="F38" i="10"/>
  <c r="E38" i="10"/>
  <c r="B38" i="10"/>
  <c r="AY23" i="10"/>
  <c r="AX23" i="10"/>
  <c r="AW23" i="10"/>
  <c r="AU23" i="10"/>
  <c r="AT23" i="10"/>
  <c r="AS23" i="10"/>
  <c r="AP23" i="10"/>
  <c r="AN23" i="10"/>
  <c r="AM23" i="10"/>
  <c r="AL23" i="10"/>
  <c r="AK23" i="10"/>
  <c r="AJ23" i="10"/>
  <c r="AI23" i="10"/>
  <c r="AH23" i="10"/>
  <c r="AE23" i="10"/>
  <c r="U23" i="10"/>
  <c r="T23" i="10"/>
  <c r="R23" i="10"/>
  <c r="Q23" i="10"/>
  <c r="P23" i="10"/>
  <c r="M23" i="10"/>
  <c r="K23" i="10"/>
  <c r="J23" i="10"/>
  <c r="I23" i="10"/>
  <c r="H23" i="10"/>
  <c r="G23" i="10"/>
  <c r="F23" i="10"/>
  <c r="E23" i="10"/>
  <c r="B23" i="10"/>
  <c r="AY5" i="10"/>
  <c r="AX5" i="10"/>
  <c r="AW5" i="10"/>
  <c r="AU5" i="10"/>
  <c r="AT5" i="10"/>
  <c r="AS5" i="10"/>
  <c r="AP5" i="10"/>
  <c r="AN5" i="10"/>
  <c r="AM5" i="10"/>
  <c r="AL5" i="10"/>
  <c r="AK5" i="10"/>
  <c r="AJ5" i="10"/>
  <c r="AI5" i="10"/>
  <c r="AH5" i="10"/>
  <c r="AE5" i="10"/>
  <c r="U5" i="10"/>
  <c r="T5" i="10"/>
  <c r="R5" i="10"/>
  <c r="Q5" i="10"/>
  <c r="Q4" i="10" s="1"/>
  <c r="P5" i="10"/>
  <c r="M5" i="10"/>
  <c r="K5" i="10"/>
  <c r="J5" i="10"/>
  <c r="I5" i="10"/>
  <c r="H5" i="10"/>
  <c r="G5" i="10"/>
  <c r="F5" i="10"/>
  <c r="E5" i="10"/>
  <c r="B5" i="10"/>
  <c r="AU53" i="11"/>
  <c r="AT53" i="11"/>
  <c r="AI53" i="11"/>
  <c r="AH53" i="11"/>
  <c r="AF53" i="11"/>
  <c r="AU39" i="11"/>
  <c r="AT39" i="11"/>
  <c r="AI39" i="11"/>
  <c r="AH39" i="11"/>
  <c r="AF39" i="11"/>
  <c r="AF24" i="11"/>
  <c r="AH24" i="11"/>
  <c r="AI24" i="11"/>
  <c r="AT24" i="11"/>
  <c r="AU24" i="11"/>
  <c r="BU38" i="11"/>
  <c r="BT38" i="11"/>
  <c r="BR38" i="11"/>
  <c r="BQ38" i="11"/>
  <c r="BP38" i="11"/>
  <c r="BC38" i="11"/>
  <c r="BB38" i="11"/>
  <c r="BA38" i="11"/>
  <c r="AZ38" i="11"/>
  <c r="AY38" i="11"/>
  <c r="AX38" i="11"/>
  <c r="AW38" i="11"/>
  <c r="AV38" i="11"/>
  <c r="AS38" i="11"/>
  <c r="AQ38" i="11"/>
  <c r="AP38" i="11"/>
  <c r="AO38" i="11"/>
  <c r="AN38" i="11"/>
  <c r="AM38" i="11"/>
  <c r="AL38" i="11"/>
  <c r="AK38" i="11"/>
  <c r="AJ38" i="11"/>
  <c r="AG38" i="11"/>
  <c r="V38" i="11"/>
  <c r="U38" i="11"/>
  <c r="S38" i="11"/>
  <c r="R38" i="11"/>
  <c r="Q38" i="11"/>
  <c r="N38" i="11"/>
  <c r="L38" i="11"/>
  <c r="K38" i="11"/>
  <c r="J38" i="11"/>
  <c r="I38" i="11"/>
  <c r="H38" i="11"/>
  <c r="G38" i="11"/>
  <c r="F38" i="11"/>
  <c r="C38" i="11"/>
  <c r="BU23" i="11"/>
  <c r="BT23" i="11"/>
  <c r="BR23" i="11"/>
  <c r="BQ23" i="11"/>
  <c r="BP23" i="11"/>
  <c r="BC23" i="11"/>
  <c r="BB23" i="11"/>
  <c r="BA23" i="11"/>
  <c r="AZ23" i="11"/>
  <c r="AY23" i="11"/>
  <c r="AX23" i="11"/>
  <c r="AW23" i="11"/>
  <c r="AV23" i="11"/>
  <c r="AS23" i="11"/>
  <c r="AQ23" i="11"/>
  <c r="AP23" i="11"/>
  <c r="AO23" i="11"/>
  <c r="AN23" i="11"/>
  <c r="AM23" i="11"/>
  <c r="AL23" i="11"/>
  <c r="AK23" i="11"/>
  <c r="AJ23" i="11"/>
  <c r="AG23" i="11"/>
  <c r="V23" i="11"/>
  <c r="U23" i="11"/>
  <c r="S23" i="11"/>
  <c r="R23" i="11"/>
  <c r="Q23" i="11"/>
  <c r="N23" i="11"/>
  <c r="L23" i="11"/>
  <c r="K23" i="11"/>
  <c r="J23" i="11"/>
  <c r="I23" i="11"/>
  <c r="H23" i="11"/>
  <c r="G23" i="11"/>
  <c r="F23" i="11"/>
  <c r="C23" i="11"/>
  <c r="BU5" i="11"/>
  <c r="BT5" i="11"/>
  <c r="BR5" i="11"/>
  <c r="BQ5" i="11"/>
  <c r="BP5" i="11"/>
  <c r="BC5" i="11"/>
  <c r="BB5" i="11"/>
  <c r="BA5" i="11"/>
  <c r="AZ5" i="11"/>
  <c r="AY5" i="11"/>
  <c r="AX5" i="11"/>
  <c r="AW5" i="11"/>
  <c r="AV5" i="11"/>
  <c r="AS5" i="11"/>
  <c r="AQ5" i="11"/>
  <c r="AP5" i="11"/>
  <c r="AO5" i="11"/>
  <c r="AN5" i="11"/>
  <c r="AM5" i="11"/>
  <c r="AL5" i="11"/>
  <c r="AK5" i="11"/>
  <c r="AJ5" i="11"/>
  <c r="AG5" i="11"/>
  <c r="W5" i="11"/>
  <c r="W4" i="11" s="1"/>
  <c r="V5" i="11"/>
  <c r="U5" i="11"/>
  <c r="S5" i="11"/>
  <c r="R5" i="11"/>
  <c r="Q5" i="11"/>
  <c r="N5" i="11"/>
  <c r="L5" i="11"/>
  <c r="K5" i="11"/>
  <c r="J5" i="11"/>
  <c r="I5" i="11"/>
  <c r="H5" i="11"/>
  <c r="G5" i="11"/>
  <c r="F5" i="11"/>
  <c r="C5" i="11"/>
  <c r="BU52" i="11"/>
  <c r="BT52" i="11"/>
  <c r="BR52" i="11"/>
  <c r="BP52" i="11"/>
  <c r="BC52" i="11"/>
  <c r="BB52" i="11"/>
  <c r="BA52" i="11"/>
  <c r="AZ52" i="11"/>
  <c r="AY52" i="11"/>
  <c r="AX52" i="11"/>
  <c r="AW52" i="11"/>
  <c r="AV52" i="11"/>
  <c r="AS52" i="11"/>
  <c r="AQ52" i="11"/>
  <c r="AP52" i="11"/>
  <c r="AO52" i="11"/>
  <c r="AM52" i="11"/>
  <c r="AK52" i="11"/>
  <c r="AJ52" i="11"/>
  <c r="AG52" i="11"/>
  <c r="V52" i="11"/>
  <c r="U52" i="11"/>
  <c r="S52" i="11"/>
  <c r="R52" i="11"/>
  <c r="Q52" i="11"/>
  <c r="N52" i="11"/>
  <c r="L52" i="11"/>
  <c r="K52" i="11"/>
  <c r="J52" i="11"/>
  <c r="I52" i="11"/>
  <c r="H52" i="11"/>
  <c r="G52" i="11"/>
  <c r="F52" i="11"/>
  <c r="C52" i="11"/>
  <c r="V52" i="9"/>
  <c r="U52" i="9"/>
  <c r="S52" i="9"/>
  <c r="R52" i="9"/>
  <c r="Q52" i="9"/>
  <c r="N52" i="9"/>
  <c r="L52" i="9"/>
  <c r="K52" i="9"/>
  <c r="J52" i="9"/>
  <c r="I52" i="9"/>
  <c r="H52" i="9"/>
  <c r="G52" i="9"/>
  <c r="F52" i="9"/>
  <c r="C52" i="9"/>
  <c r="V38" i="9"/>
  <c r="U38" i="9"/>
  <c r="S38" i="9"/>
  <c r="R38" i="9"/>
  <c r="Q38" i="9"/>
  <c r="N38" i="9"/>
  <c r="L38" i="9"/>
  <c r="K38" i="9"/>
  <c r="J38" i="9"/>
  <c r="I38" i="9"/>
  <c r="H38" i="9"/>
  <c r="G38" i="9"/>
  <c r="F38" i="9"/>
  <c r="C38" i="9"/>
  <c r="V23" i="9"/>
  <c r="U23" i="9"/>
  <c r="S23" i="9"/>
  <c r="R23" i="9"/>
  <c r="Q23" i="9"/>
  <c r="N23" i="9"/>
  <c r="L23" i="9"/>
  <c r="K23" i="9"/>
  <c r="J23" i="9"/>
  <c r="I23" i="9"/>
  <c r="H23" i="9"/>
  <c r="G23" i="9"/>
  <c r="F23" i="9"/>
  <c r="C23" i="9"/>
  <c r="CH52" i="1"/>
  <c r="CG52" i="1"/>
  <c r="CF52" i="1"/>
  <c r="CE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M52" i="1"/>
  <c r="AL52" i="1"/>
  <c r="AK52" i="1"/>
  <c r="AJ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CH38" i="1"/>
  <c r="CG38" i="1"/>
  <c r="CF38" i="1"/>
  <c r="CE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AM38" i="1"/>
  <c r="AL38" i="1"/>
  <c r="AK38" i="1"/>
  <c r="AJ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CH23" i="1"/>
  <c r="CG23" i="1"/>
  <c r="CF23" i="1"/>
  <c r="CE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Y23" i="1"/>
  <c r="AX23" i="1"/>
  <c r="AW23" i="1"/>
  <c r="AM23" i="1"/>
  <c r="AL23" i="1"/>
  <c r="AK23" i="1"/>
  <c r="AJ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CI5" i="1"/>
  <c r="AN4" i="12" s="1"/>
  <c r="CH5" i="1"/>
  <c r="CG5" i="1"/>
  <c r="CF5" i="1"/>
  <c r="CE5" i="1"/>
  <c r="CC5" i="1"/>
  <c r="CB5" i="1"/>
  <c r="CA5" i="1"/>
  <c r="BZ5" i="1"/>
  <c r="BY5" i="1"/>
  <c r="BX5" i="1"/>
  <c r="BW5" i="1"/>
  <c r="BV5" i="1"/>
  <c r="BU5" i="1"/>
  <c r="BT5" i="1"/>
  <c r="BS5" i="1"/>
  <c r="BR5" i="1"/>
  <c r="BQ5" i="1"/>
  <c r="BP5" i="1"/>
  <c r="BO5" i="1"/>
  <c r="BN5" i="1"/>
  <c r="BM5" i="1"/>
  <c r="BL5" i="1"/>
  <c r="BK5" i="1"/>
  <c r="BJ5" i="1"/>
  <c r="BI5" i="1"/>
  <c r="BH5" i="1"/>
  <c r="BG5" i="1"/>
  <c r="BF5" i="1"/>
  <c r="BE5" i="1"/>
  <c r="BD5" i="1"/>
  <c r="BC5" i="1"/>
  <c r="BB5" i="1"/>
  <c r="BA5" i="1"/>
  <c r="AZ5" i="1"/>
  <c r="AY5" i="1"/>
  <c r="AX5" i="1"/>
  <c r="AW5" i="1"/>
  <c r="AN5" i="1"/>
  <c r="AN4" i="1" s="1"/>
  <c r="AM5" i="1"/>
  <c r="AL5" i="1"/>
  <c r="AK5" i="1"/>
  <c r="AJ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2" i="1"/>
  <c r="B38" i="1"/>
  <c r="B23" i="1"/>
  <c r="B5" i="1"/>
  <c r="T52" i="8"/>
  <c r="S52" i="8"/>
  <c r="R52" i="8"/>
  <c r="Q52" i="8"/>
  <c r="P52" i="8"/>
  <c r="O52" i="8"/>
  <c r="N52" i="8"/>
  <c r="M52" i="8"/>
  <c r="L52" i="8"/>
  <c r="K52" i="8"/>
  <c r="J52" i="8"/>
  <c r="I52" i="8"/>
  <c r="H52" i="8"/>
  <c r="G52" i="8"/>
  <c r="F52" i="8"/>
  <c r="E52" i="8"/>
  <c r="D52" i="8"/>
  <c r="C52" i="8"/>
  <c r="B52" i="8"/>
  <c r="T38" i="8"/>
  <c r="S38" i="8"/>
  <c r="R38" i="8"/>
  <c r="Q38" i="8"/>
  <c r="P38" i="8"/>
  <c r="O38" i="8"/>
  <c r="N38" i="8"/>
  <c r="M38" i="8"/>
  <c r="L38" i="8"/>
  <c r="K38" i="8"/>
  <c r="J38" i="8"/>
  <c r="I38" i="8"/>
  <c r="H38" i="8"/>
  <c r="G38" i="8"/>
  <c r="F38" i="8"/>
  <c r="E38" i="8"/>
  <c r="D38" i="8"/>
  <c r="C38" i="8"/>
  <c r="B38" i="8"/>
  <c r="T23" i="8"/>
  <c r="S23" i="8"/>
  <c r="R23" i="8"/>
  <c r="Q23" i="8"/>
  <c r="P23" i="8"/>
  <c r="O23" i="8"/>
  <c r="N23" i="8"/>
  <c r="M23" i="8"/>
  <c r="L23" i="8"/>
  <c r="K23" i="8"/>
  <c r="J23" i="8"/>
  <c r="I23" i="8"/>
  <c r="H23" i="8"/>
  <c r="G23" i="8"/>
  <c r="F23" i="8"/>
  <c r="E23" i="8"/>
  <c r="D23" i="8"/>
  <c r="C23" i="8"/>
  <c r="B23" i="8"/>
  <c r="T5" i="8"/>
  <c r="S5" i="8"/>
  <c r="R5" i="8"/>
  <c r="Q5" i="8"/>
  <c r="P5" i="8"/>
  <c r="O5" i="8"/>
  <c r="N5" i="8"/>
  <c r="M5" i="8"/>
  <c r="M4" i="8" s="1"/>
  <c r="L5" i="8"/>
  <c r="K5" i="8"/>
  <c r="J5" i="8"/>
  <c r="I5" i="8"/>
  <c r="H5" i="8"/>
  <c r="G5" i="8"/>
  <c r="F5" i="8"/>
  <c r="E5" i="8"/>
  <c r="E4" i="8" s="1"/>
  <c r="D5" i="8"/>
  <c r="C5" i="8"/>
  <c r="B5" i="8"/>
  <c r="C5" i="7"/>
  <c r="D5" i="7"/>
  <c r="E5" i="7"/>
  <c r="F5" i="7"/>
  <c r="G5" i="7"/>
  <c r="H5" i="7"/>
  <c r="I5" i="7"/>
  <c r="J5" i="7"/>
  <c r="K5" i="7"/>
  <c r="L5" i="7"/>
  <c r="M5" i="7"/>
  <c r="N5" i="7"/>
  <c r="O5" i="7"/>
  <c r="P5" i="7"/>
  <c r="Q5" i="7"/>
  <c r="R5" i="7"/>
  <c r="S5" i="7"/>
  <c r="T5" i="7"/>
  <c r="U5" i="7"/>
  <c r="V5" i="7"/>
  <c r="W5" i="7"/>
  <c r="X5" i="7"/>
  <c r="Y5" i="7"/>
  <c r="Z5" i="7"/>
  <c r="AA5" i="7"/>
  <c r="AB5" i="7"/>
  <c r="AC5" i="7"/>
  <c r="AD5" i="7"/>
  <c r="AE5" i="7"/>
  <c r="AF5" i="7"/>
  <c r="AG5" i="7"/>
  <c r="AH5" i="7"/>
  <c r="AI5" i="7"/>
  <c r="AK5" i="7"/>
  <c r="AL5" i="7"/>
  <c r="AM5" i="7"/>
  <c r="AN5" i="7"/>
  <c r="B5" i="7"/>
  <c r="AN52" i="7"/>
  <c r="AM52" i="7"/>
  <c r="AK52" i="7"/>
  <c r="AI52" i="7"/>
  <c r="AH51" i="12" s="1"/>
  <c r="AH52" i="7"/>
  <c r="AG52" i="7"/>
  <c r="AF52" i="7"/>
  <c r="AE52" i="7"/>
  <c r="AD52" i="7"/>
  <c r="AC52" i="7"/>
  <c r="AB52" i="7"/>
  <c r="AA52" i="7"/>
  <c r="Z51" i="12" s="1"/>
  <c r="Z52" i="7"/>
  <c r="Y52" i="7"/>
  <c r="X52" i="7"/>
  <c r="W52" i="7"/>
  <c r="V52" i="7"/>
  <c r="U52" i="7"/>
  <c r="T52" i="7"/>
  <c r="S52" i="7"/>
  <c r="R51" i="12" s="1"/>
  <c r="R52" i="7"/>
  <c r="Q52" i="7"/>
  <c r="P52" i="7"/>
  <c r="O52" i="7"/>
  <c r="N52" i="7"/>
  <c r="M52" i="7"/>
  <c r="L52" i="7"/>
  <c r="K52" i="7"/>
  <c r="J51" i="12" s="1"/>
  <c r="J52" i="7"/>
  <c r="I52" i="7"/>
  <c r="H52" i="7"/>
  <c r="G52" i="7"/>
  <c r="F52" i="7"/>
  <c r="E52" i="7"/>
  <c r="D52" i="7"/>
  <c r="C52" i="7"/>
  <c r="B51" i="12" s="1"/>
  <c r="B52" i="7"/>
  <c r="AN38" i="7"/>
  <c r="AM38" i="7"/>
  <c r="AL38" i="7"/>
  <c r="AK38" i="7"/>
  <c r="AI38" i="7"/>
  <c r="AH38" i="7"/>
  <c r="AG38" i="7"/>
  <c r="AF37" i="12" s="1"/>
  <c r="AF38" i="7"/>
  <c r="AE38" i="7"/>
  <c r="AD38" i="7"/>
  <c r="AC38" i="7"/>
  <c r="AB38" i="7"/>
  <c r="AA38" i="7"/>
  <c r="Z38" i="7"/>
  <c r="Y38" i="7"/>
  <c r="X37" i="12" s="1"/>
  <c r="X38" i="7"/>
  <c r="W38" i="7"/>
  <c r="V38" i="7"/>
  <c r="U38" i="7"/>
  <c r="T38" i="7"/>
  <c r="S38" i="7"/>
  <c r="R38" i="7"/>
  <c r="Q38" i="7"/>
  <c r="P37" i="12" s="1"/>
  <c r="P38" i="7"/>
  <c r="O38" i="7"/>
  <c r="N38" i="7"/>
  <c r="M38" i="7"/>
  <c r="L38" i="7"/>
  <c r="K38" i="7"/>
  <c r="J38" i="7"/>
  <c r="I38" i="7"/>
  <c r="H37" i="12" s="1"/>
  <c r="H38" i="7"/>
  <c r="G38" i="7"/>
  <c r="F38" i="7"/>
  <c r="E38" i="7"/>
  <c r="D38" i="7"/>
  <c r="C38" i="7"/>
  <c r="B38" i="7"/>
  <c r="C23" i="7"/>
  <c r="D23" i="7"/>
  <c r="E23" i="7"/>
  <c r="F23" i="7"/>
  <c r="G23" i="7"/>
  <c r="H23" i="7"/>
  <c r="I23" i="7"/>
  <c r="J23" i="7"/>
  <c r="K23" i="7"/>
  <c r="L23" i="7"/>
  <c r="M23" i="7"/>
  <c r="N23" i="7"/>
  <c r="O23" i="7"/>
  <c r="P23" i="7"/>
  <c r="Q23" i="7"/>
  <c r="R23" i="7"/>
  <c r="Q22" i="12" s="1"/>
  <c r="S23" i="7"/>
  <c r="T23" i="7"/>
  <c r="U23" i="7"/>
  <c r="V23" i="7"/>
  <c r="W23" i="7"/>
  <c r="X23" i="7"/>
  <c r="Y23" i="7"/>
  <c r="Z23" i="7"/>
  <c r="Y22" i="12" s="1"/>
  <c r="AA23" i="7"/>
  <c r="AB23" i="7"/>
  <c r="AC23" i="7"/>
  <c r="AD23" i="7"/>
  <c r="AE23" i="7"/>
  <c r="AF23" i="7"/>
  <c r="AG23" i="7"/>
  <c r="AH23" i="7"/>
  <c r="AG22" i="12" s="1"/>
  <c r="AI23" i="7"/>
  <c r="AK23" i="7"/>
  <c r="AL23" i="7"/>
  <c r="AM23" i="7"/>
  <c r="AN23" i="7"/>
  <c r="B23" i="7"/>
  <c r="W22" i="12" l="1"/>
  <c r="O22" i="12"/>
  <c r="G22" i="12"/>
  <c r="E51" i="12"/>
  <c r="M51" i="12"/>
  <c r="U51" i="12"/>
  <c r="AC51" i="12"/>
  <c r="AE4" i="10"/>
  <c r="AE6" i="10" s="1"/>
  <c r="AE22" i="12"/>
  <c r="L4" i="8"/>
  <c r="P51" i="12"/>
  <c r="AF51" i="12"/>
  <c r="AA22" i="12"/>
  <c r="S22" i="12"/>
  <c r="K22" i="12"/>
  <c r="C22" i="12"/>
  <c r="I51" i="12"/>
  <c r="Q51" i="12"/>
  <c r="Y51" i="12"/>
  <c r="AG51" i="12"/>
  <c r="AB4" i="12"/>
  <c r="T4" i="12"/>
  <c r="L4" i="12"/>
  <c r="D4" i="12"/>
  <c r="X4" i="1"/>
  <c r="X6" i="1" s="1"/>
  <c r="H51" i="12"/>
  <c r="X51" i="12"/>
  <c r="AH22" i="12"/>
  <c r="Z22" i="12"/>
  <c r="R22" i="12"/>
  <c r="J22" i="12"/>
  <c r="B22" i="12"/>
  <c r="AM4" i="10"/>
  <c r="R37" i="12"/>
  <c r="F4" i="10"/>
  <c r="F6" i="10" s="1"/>
  <c r="P4" i="10"/>
  <c r="P53" i="10" s="1"/>
  <c r="C37" i="12"/>
  <c r="K37" i="12"/>
  <c r="S37" i="12"/>
  <c r="AA37" i="12"/>
  <c r="G4" i="8"/>
  <c r="O4" i="8"/>
  <c r="O24" i="8" s="1"/>
  <c r="D4" i="8"/>
  <c r="D53" i="8" s="1"/>
  <c r="BD4" i="1"/>
  <c r="BD6" i="1" s="1"/>
  <c r="BL4" i="1"/>
  <c r="BL6" i="1" s="1"/>
  <c r="BT4" i="1"/>
  <c r="BT6" i="1" s="1"/>
  <c r="CB4" i="1"/>
  <c r="CB6" i="1" s="1"/>
  <c r="BN4" i="1"/>
  <c r="BN6" i="1" s="1"/>
  <c r="B37" i="12"/>
  <c r="AH37" i="12"/>
  <c r="AC22" i="12"/>
  <c r="U22" i="12"/>
  <c r="M22" i="12"/>
  <c r="E22" i="12"/>
  <c r="T4" i="8"/>
  <c r="T53" i="8" s="1"/>
  <c r="I4" i="8"/>
  <c r="I24" i="8" s="1"/>
  <c r="F4" i="8"/>
  <c r="N4" i="8"/>
  <c r="N24" i="8" s="1"/>
  <c r="C4" i="8"/>
  <c r="C39" i="8" s="1"/>
  <c r="K4" i="8"/>
  <c r="K39" i="8" s="1"/>
  <c r="S4" i="8"/>
  <c r="S39" i="8" s="1"/>
  <c r="BV4" i="1"/>
  <c r="BV6" i="1" s="1"/>
  <c r="T4" i="10"/>
  <c r="T24" i="10" s="1"/>
  <c r="AF4" i="1"/>
  <c r="AF6" i="1" s="1"/>
  <c r="J37" i="12"/>
  <c r="Z37" i="12"/>
  <c r="AB22" i="12"/>
  <c r="T22" i="12"/>
  <c r="L22" i="12"/>
  <c r="D22" i="12"/>
  <c r="B4" i="8"/>
  <c r="B53" i="8" s="1"/>
  <c r="J4" i="8"/>
  <c r="J6" i="8" s="1"/>
  <c r="H4" i="8"/>
  <c r="H6" i="8" s="1"/>
  <c r="P4" i="8"/>
  <c r="P39" i="8" s="1"/>
  <c r="AL4" i="1"/>
  <c r="AL6" i="1" s="1"/>
  <c r="BB4" i="1"/>
  <c r="BB6" i="1" s="1"/>
  <c r="BJ4" i="1"/>
  <c r="BJ6" i="1" s="1"/>
  <c r="BR4" i="1"/>
  <c r="BR6" i="1" s="1"/>
  <c r="BZ4" i="1"/>
  <c r="BZ6" i="1" s="1"/>
  <c r="AX4" i="1"/>
  <c r="AX6" i="1" s="1"/>
  <c r="D4" i="1"/>
  <c r="D6" i="1" s="1"/>
  <c r="L4" i="1"/>
  <c r="L6" i="1" s="1"/>
  <c r="T4" i="1"/>
  <c r="T6" i="1" s="1"/>
  <c r="AB4" i="1"/>
  <c r="AB6" i="1" s="1"/>
  <c r="AJ4" i="1"/>
  <c r="AJ6" i="1" s="1"/>
  <c r="AM37" i="12"/>
  <c r="D51" i="12"/>
  <c r="L51" i="12"/>
  <c r="T51" i="12"/>
  <c r="AB51" i="12"/>
  <c r="H4" i="1"/>
  <c r="H6" i="1" s="1"/>
  <c r="P4" i="1"/>
  <c r="P6" i="1" s="1"/>
  <c r="AM51" i="12"/>
  <c r="AK4" i="10"/>
  <c r="AK39" i="10" s="1"/>
  <c r="X4" i="12"/>
  <c r="H4" i="12"/>
  <c r="AW4" i="10"/>
  <c r="AW53" i="10" s="1"/>
  <c r="AN4" i="10"/>
  <c r="AD22" i="12"/>
  <c r="V22" i="12"/>
  <c r="N22" i="12"/>
  <c r="F22" i="12"/>
  <c r="J4" i="10"/>
  <c r="J6" i="10" s="1"/>
  <c r="AF4" i="12"/>
  <c r="P4" i="12"/>
  <c r="BF4" i="1"/>
  <c r="BF6" i="1" s="1"/>
  <c r="E37" i="12"/>
  <c r="M37" i="12"/>
  <c r="U37" i="12"/>
  <c r="AC37" i="12"/>
  <c r="G51" i="12"/>
  <c r="O51" i="12"/>
  <c r="W51" i="12"/>
  <c r="AE51" i="12"/>
  <c r="AD4" i="12"/>
  <c r="V4" i="12"/>
  <c r="N4" i="12"/>
  <c r="F4" i="12"/>
  <c r="U4" i="10"/>
  <c r="U53" i="10" s="1"/>
  <c r="AY4" i="10"/>
  <c r="AY53" i="10" s="1"/>
  <c r="BQ4" i="11"/>
  <c r="BQ53" i="11" s="1"/>
  <c r="R4" i="8"/>
  <c r="R39" i="8" s="1"/>
  <c r="AK37" i="12"/>
  <c r="V37" i="12"/>
  <c r="CH4" i="1"/>
  <c r="AK4" i="12"/>
  <c r="I22" i="12"/>
  <c r="I37" i="12"/>
  <c r="Q37" i="12"/>
  <c r="Y37" i="12"/>
  <c r="AG37" i="12"/>
  <c r="C51" i="12"/>
  <c r="K51" i="12"/>
  <c r="S51" i="12"/>
  <c r="AA51" i="12"/>
  <c r="AZ4" i="1"/>
  <c r="AZ6" i="1" s="1"/>
  <c r="BH4" i="1"/>
  <c r="BH6" i="1" s="1"/>
  <c r="BP4" i="1"/>
  <c r="BP6" i="1" s="1"/>
  <c r="BX4" i="1"/>
  <c r="BX6" i="1" s="1"/>
  <c r="AL4" i="12"/>
  <c r="AJ22" i="12"/>
  <c r="AI4" i="10"/>
  <c r="AI39" i="10" s="1"/>
  <c r="AL51" i="12"/>
  <c r="N37" i="12"/>
  <c r="H4" i="10"/>
  <c r="H6" i="10" s="1"/>
  <c r="AF22" i="12"/>
  <c r="X22" i="12"/>
  <c r="P22" i="12"/>
  <c r="H22" i="12"/>
  <c r="AH4" i="12"/>
  <c r="Z4" i="12"/>
  <c r="R4" i="12"/>
  <c r="J4" i="12"/>
  <c r="B4" i="12"/>
  <c r="Q4" i="8"/>
  <c r="Q53" i="8" s="1"/>
  <c r="B4" i="1"/>
  <c r="B39" i="1" s="1"/>
  <c r="AM4" i="12"/>
  <c r="AK22" i="12"/>
  <c r="AJ37" i="12"/>
  <c r="AS4" i="10"/>
  <c r="AS39" i="10" s="1"/>
  <c r="J4" i="1"/>
  <c r="J6" i="1" s="1"/>
  <c r="R4" i="1"/>
  <c r="R6" i="1" s="1"/>
  <c r="Z4" i="1"/>
  <c r="Z6" i="1" s="1"/>
  <c r="AH4" i="1"/>
  <c r="AH6" i="1" s="1"/>
  <c r="AL22" i="12"/>
  <c r="AJ51" i="12"/>
  <c r="B4" i="10"/>
  <c r="B6" i="10" s="1"/>
  <c r="D37" i="12"/>
  <c r="L37" i="12"/>
  <c r="T37" i="12"/>
  <c r="AB37" i="12"/>
  <c r="F51" i="12"/>
  <c r="N51" i="12"/>
  <c r="V51" i="12"/>
  <c r="AD51" i="12"/>
  <c r="AM22" i="12"/>
  <c r="AL37" i="12"/>
  <c r="AK51" i="12"/>
  <c r="M4" i="10"/>
  <c r="M6" i="10" s="1"/>
  <c r="AU4" i="10"/>
  <c r="AU39" i="10" s="1"/>
  <c r="F37" i="12"/>
  <c r="AD37" i="12"/>
  <c r="AX4" i="10"/>
  <c r="AX53" i="10" s="1"/>
  <c r="G37" i="12"/>
  <c r="O37" i="12"/>
  <c r="W37" i="12"/>
  <c r="AE37" i="12"/>
  <c r="CF4" i="1"/>
  <c r="CF6" i="1" s="1"/>
  <c r="AJ4" i="12"/>
  <c r="F4" i="1"/>
  <c r="F6" i="1" s="1"/>
  <c r="N4" i="1"/>
  <c r="N6" i="1" s="1"/>
  <c r="V4" i="1"/>
  <c r="V6" i="1" s="1"/>
  <c r="AD4" i="1"/>
  <c r="AD6" i="1" s="1"/>
  <c r="AL4" i="11"/>
  <c r="AL53" i="11" s="1"/>
  <c r="AG4" i="12"/>
  <c r="AE4" i="12"/>
  <c r="AC4" i="12"/>
  <c r="AA4" i="12"/>
  <c r="Y4" i="12"/>
  <c r="W4" i="12"/>
  <c r="U4" i="12"/>
  <c r="S4" i="12"/>
  <c r="Q4" i="12"/>
  <c r="O4" i="12"/>
  <c r="M4" i="12"/>
  <c r="K4" i="12"/>
  <c r="I4" i="12"/>
  <c r="G4" i="12"/>
  <c r="E4" i="12"/>
  <c r="C4" i="12"/>
  <c r="AN39" i="1"/>
  <c r="AN24" i="1"/>
  <c r="AN6" i="1"/>
  <c r="AN53" i="1"/>
  <c r="V4" i="10"/>
  <c r="V24" i="10" s="1"/>
  <c r="J53" i="10"/>
  <c r="Q53" i="10"/>
  <c r="AM53" i="10"/>
  <c r="AN53" i="10"/>
  <c r="AN39" i="10"/>
  <c r="AW39" i="10"/>
  <c r="AY39" i="10"/>
  <c r="Q39" i="10"/>
  <c r="AM39" i="10"/>
  <c r="AN24" i="10"/>
  <c r="AM24" i="10"/>
  <c r="Q24" i="10"/>
  <c r="M39" i="10"/>
  <c r="AN6" i="10"/>
  <c r="AW6" i="10"/>
  <c r="AM6" i="10"/>
  <c r="J24" i="10"/>
  <c r="Q6" i="10"/>
  <c r="AP4" i="10"/>
  <c r="AP6" i="10" s="1"/>
  <c r="AT4" i="10"/>
  <c r="E4" i="10"/>
  <c r="E53" i="10" s="1"/>
  <c r="G4" i="10"/>
  <c r="G53" i="10" s="1"/>
  <c r="I4" i="10"/>
  <c r="I53" i="10" s="1"/>
  <c r="K4" i="10"/>
  <c r="K53" i="10" s="1"/>
  <c r="R4" i="10"/>
  <c r="AH4" i="10"/>
  <c r="AH6" i="10" s="1"/>
  <c r="AJ4" i="10"/>
  <c r="AJ6" i="10" s="1"/>
  <c r="AL4" i="10"/>
  <c r="AL6" i="10" s="1"/>
  <c r="AN4" i="11"/>
  <c r="AN24" i="11" s="1"/>
  <c r="G4" i="11"/>
  <c r="G6" i="11" s="1"/>
  <c r="I4" i="11"/>
  <c r="I6" i="11" s="1"/>
  <c r="K4" i="11"/>
  <c r="K6" i="11" s="1"/>
  <c r="Q4" i="11"/>
  <c r="Q6" i="11" s="1"/>
  <c r="S4" i="11"/>
  <c r="V4" i="11"/>
  <c r="AG4" i="11"/>
  <c r="AG6" i="11" s="1"/>
  <c r="AK4" i="11"/>
  <c r="AK6" i="11" s="1"/>
  <c r="AM4" i="11"/>
  <c r="AM6" i="11" s="1"/>
  <c r="AO4" i="11"/>
  <c r="AO6" i="11" s="1"/>
  <c r="AQ4" i="11"/>
  <c r="AQ6" i="11" s="1"/>
  <c r="AW4" i="11"/>
  <c r="AW6" i="11" s="1"/>
  <c r="BA4" i="11"/>
  <c r="BA6" i="11" s="1"/>
  <c r="BU4" i="11"/>
  <c r="F4" i="11"/>
  <c r="F6" i="11" s="1"/>
  <c r="H4" i="11"/>
  <c r="H6" i="11" s="1"/>
  <c r="J4" i="11"/>
  <c r="J6" i="11" s="1"/>
  <c r="L4" i="11"/>
  <c r="L6" i="11" s="1"/>
  <c r="R4" i="11"/>
  <c r="AJ4" i="11"/>
  <c r="AJ6" i="11" s="1"/>
  <c r="AP4" i="11"/>
  <c r="AP6" i="11" s="1"/>
  <c r="AS4" i="11"/>
  <c r="AS6" i="11" s="1"/>
  <c r="AY4" i="11"/>
  <c r="AY6" i="11" s="1"/>
  <c r="BC4" i="11"/>
  <c r="BC6" i="11" s="1"/>
  <c r="BT4" i="11"/>
  <c r="BT6" i="11" s="1"/>
  <c r="AV4" i="11"/>
  <c r="AV6" i="11" s="1"/>
  <c r="AX4" i="11"/>
  <c r="AX6" i="11" s="1"/>
  <c r="AZ4" i="11"/>
  <c r="AZ6" i="11" s="1"/>
  <c r="BB4" i="11"/>
  <c r="BB6" i="11" s="1"/>
  <c r="BP4" i="11"/>
  <c r="BP6" i="11" s="1"/>
  <c r="BR4" i="11"/>
  <c r="U4" i="11"/>
  <c r="W24" i="11"/>
  <c r="C4" i="11"/>
  <c r="C6" i="11" s="1"/>
  <c r="N4" i="11"/>
  <c r="N6" i="11" s="1"/>
  <c r="D53" i="1"/>
  <c r="J53" i="1"/>
  <c r="R53" i="1"/>
  <c r="X53" i="1"/>
  <c r="AD53" i="1"/>
  <c r="AJ53" i="1"/>
  <c r="AZ53" i="1"/>
  <c r="BF53" i="1"/>
  <c r="BH53" i="1"/>
  <c r="BL53" i="1"/>
  <c r="BR53" i="1"/>
  <c r="BV53" i="1"/>
  <c r="CB53" i="1"/>
  <c r="D39" i="1"/>
  <c r="J39" i="1"/>
  <c r="X39" i="1"/>
  <c r="Z39" i="1"/>
  <c r="AJ39" i="1"/>
  <c r="BF39" i="1"/>
  <c r="BH39" i="1"/>
  <c r="BL39" i="1"/>
  <c r="BR39" i="1"/>
  <c r="BV39" i="1"/>
  <c r="D24" i="1"/>
  <c r="H24" i="1"/>
  <c r="J24" i="1"/>
  <c r="X24" i="1"/>
  <c r="AD24" i="1"/>
  <c r="AJ24" i="1"/>
  <c r="AX24" i="1"/>
  <c r="BF24" i="1"/>
  <c r="BH24" i="1"/>
  <c r="BR24" i="1"/>
  <c r="BV24" i="1"/>
  <c r="BX24" i="1"/>
  <c r="CB24" i="1"/>
  <c r="C4" i="1"/>
  <c r="C6" i="1" s="1"/>
  <c r="E4" i="1"/>
  <c r="E6" i="1" s="1"/>
  <c r="G4" i="1"/>
  <c r="G24" i="1" s="1"/>
  <c r="I4" i="1"/>
  <c r="I6" i="1" s="1"/>
  <c r="K4" i="1"/>
  <c r="K6" i="1" s="1"/>
  <c r="M4" i="1"/>
  <c r="M6" i="1" s="1"/>
  <c r="O4" i="1"/>
  <c r="O24" i="1" s="1"/>
  <c r="Q4" i="1"/>
  <c r="Q6" i="1" s="1"/>
  <c r="S4" i="1"/>
  <c r="S6" i="1" s="1"/>
  <c r="U4" i="1"/>
  <c r="U6" i="1" s="1"/>
  <c r="W4" i="1"/>
  <c r="W24" i="1" s="1"/>
  <c r="Y4" i="1"/>
  <c r="Y6" i="1" s="1"/>
  <c r="AA4" i="1"/>
  <c r="AA6" i="1" s="1"/>
  <c r="AC4" i="1"/>
  <c r="AC6" i="1" s="1"/>
  <c r="AE4" i="1"/>
  <c r="AE24" i="1" s="1"/>
  <c r="AG4" i="1"/>
  <c r="AG6" i="1" s="1"/>
  <c r="AK4" i="1"/>
  <c r="AK6" i="1" s="1"/>
  <c r="AM4" i="1"/>
  <c r="AM24" i="1" s="1"/>
  <c r="AW4" i="1"/>
  <c r="AW6" i="1" s="1"/>
  <c r="AY4" i="1"/>
  <c r="AY6" i="1" s="1"/>
  <c r="BA4" i="1"/>
  <c r="BA6" i="1" s="1"/>
  <c r="BC4" i="1"/>
  <c r="BC24" i="1" s="1"/>
  <c r="BE4" i="1"/>
  <c r="BE6" i="1" s="1"/>
  <c r="BG4" i="1"/>
  <c r="BG6" i="1" s="1"/>
  <c r="BI4" i="1"/>
  <c r="BI6" i="1" s="1"/>
  <c r="BK4" i="1"/>
  <c r="BK24" i="1" s="1"/>
  <c r="BM4" i="1"/>
  <c r="BM6" i="1" s="1"/>
  <c r="BO4" i="1"/>
  <c r="BO6" i="1" s="1"/>
  <c r="BQ4" i="1"/>
  <c r="BQ6" i="1" s="1"/>
  <c r="BS4" i="1"/>
  <c r="BS24" i="1" s="1"/>
  <c r="BU4" i="1"/>
  <c r="BU6" i="1" s="1"/>
  <c r="BW4" i="1"/>
  <c r="BW6" i="1" s="1"/>
  <c r="BY4" i="1"/>
  <c r="BY6" i="1" s="1"/>
  <c r="CA4" i="1"/>
  <c r="CA24" i="1" s="1"/>
  <c r="CC4" i="1"/>
  <c r="CC6" i="1" s="1"/>
  <c r="CE4" i="1"/>
  <c r="CG4" i="1"/>
  <c r="CI4" i="1"/>
  <c r="CI24" i="1" s="1"/>
  <c r="C53" i="8"/>
  <c r="E53" i="8"/>
  <c r="G53" i="8"/>
  <c r="M53" i="8"/>
  <c r="O53" i="8"/>
  <c r="F53" i="8"/>
  <c r="J53" i="8"/>
  <c r="L53" i="8"/>
  <c r="N53" i="8"/>
  <c r="P53" i="8"/>
  <c r="R53" i="8"/>
  <c r="E39" i="8"/>
  <c r="G39" i="8"/>
  <c r="M39" i="8"/>
  <c r="O39" i="8"/>
  <c r="B39" i="8"/>
  <c r="D39" i="8"/>
  <c r="F39" i="8"/>
  <c r="H39" i="8"/>
  <c r="L39" i="8"/>
  <c r="N39" i="8"/>
  <c r="B24" i="8"/>
  <c r="D24" i="8"/>
  <c r="F24" i="8"/>
  <c r="H24" i="8"/>
  <c r="L24" i="8"/>
  <c r="E24" i="8"/>
  <c r="G24" i="8"/>
  <c r="M24" i="8"/>
  <c r="D6" i="8"/>
  <c r="F6" i="8"/>
  <c r="L6" i="8"/>
  <c r="R6" i="8"/>
  <c r="T6" i="8"/>
  <c r="C6" i="8"/>
  <c r="E6" i="8"/>
  <c r="G6" i="8"/>
  <c r="M6" i="8"/>
  <c r="O6" i="8"/>
  <c r="S6" i="8"/>
  <c r="AM4" i="7"/>
  <c r="AK4" i="7"/>
  <c r="AI4" i="7"/>
  <c r="AI6" i="7" s="1"/>
  <c r="AG4" i="7"/>
  <c r="AG6" i="7" s="1"/>
  <c r="AE4" i="7"/>
  <c r="AE6" i="7" s="1"/>
  <c r="AC4" i="7"/>
  <c r="AC6" i="7" s="1"/>
  <c r="AA4" i="7"/>
  <c r="AA6" i="7" s="1"/>
  <c r="Y4" i="7"/>
  <c r="Y6" i="7" s="1"/>
  <c r="W4" i="7"/>
  <c r="W6" i="7" s="1"/>
  <c r="U4" i="7"/>
  <c r="U6" i="7" s="1"/>
  <c r="S4" i="7"/>
  <c r="S6" i="7" s="1"/>
  <c r="Q4" i="7"/>
  <c r="Q6" i="7" s="1"/>
  <c r="O4" i="7"/>
  <c r="O6" i="7" s="1"/>
  <c r="M4" i="7"/>
  <c r="M6" i="7" s="1"/>
  <c r="K4" i="7"/>
  <c r="K6" i="7" s="1"/>
  <c r="I4" i="7"/>
  <c r="I6" i="7" s="1"/>
  <c r="G4" i="7"/>
  <c r="G6" i="7" s="1"/>
  <c r="E4" i="7"/>
  <c r="E6" i="7" s="1"/>
  <c r="C4" i="7"/>
  <c r="C6" i="7" s="1"/>
  <c r="AN4" i="7"/>
  <c r="AL4" i="7"/>
  <c r="AH4" i="7"/>
  <c r="AH6" i="7" s="1"/>
  <c r="AF4" i="7"/>
  <c r="AF6" i="7" s="1"/>
  <c r="AD4" i="7"/>
  <c r="AD6" i="7" s="1"/>
  <c r="AB4" i="7"/>
  <c r="AB6" i="7" s="1"/>
  <c r="Z4" i="7"/>
  <c r="Z6" i="7" s="1"/>
  <c r="X4" i="7"/>
  <c r="X6" i="7" s="1"/>
  <c r="V4" i="7"/>
  <c r="V6" i="7" s="1"/>
  <c r="T4" i="7"/>
  <c r="T6" i="7" s="1"/>
  <c r="R4" i="7"/>
  <c r="R6" i="7" s="1"/>
  <c r="P4" i="7"/>
  <c r="P6" i="7" s="1"/>
  <c r="N4" i="7"/>
  <c r="N6" i="7" s="1"/>
  <c r="L4" i="7"/>
  <c r="L6" i="7" s="1"/>
  <c r="J4" i="7"/>
  <c r="J6" i="7" s="1"/>
  <c r="H4" i="7"/>
  <c r="H6" i="7" s="1"/>
  <c r="F4" i="7"/>
  <c r="F6" i="7" s="1"/>
  <c r="D4" i="7"/>
  <c r="D6" i="7" s="1"/>
  <c r="B4" i="7"/>
  <c r="B6" i="7" s="1"/>
  <c r="P53" i="1" l="1"/>
  <c r="AU6" i="10"/>
  <c r="Q6" i="8"/>
  <c r="C24" i="8"/>
  <c r="T39" i="8"/>
  <c r="Q39" i="8"/>
  <c r="BD24" i="1"/>
  <c r="P24" i="1"/>
  <c r="BN39" i="1"/>
  <c r="AF39" i="1"/>
  <c r="BX53" i="1"/>
  <c r="P39" i="10"/>
  <c r="V24" i="1"/>
  <c r="AH39" i="1"/>
  <c r="AX53" i="1"/>
  <c r="T24" i="8"/>
  <c r="AZ24" i="1"/>
  <c r="AB39" i="1"/>
  <c r="AF53" i="1"/>
  <c r="H53" i="1"/>
  <c r="P6" i="10"/>
  <c r="P24" i="10"/>
  <c r="AE53" i="10"/>
  <c r="AS53" i="10"/>
  <c r="B6" i="1"/>
  <c r="AE39" i="10"/>
  <c r="B6" i="8"/>
  <c r="CB39" i="1"/>
  <c r="AZ39" i="1"/>
  <c r="P39" i="1"/>
  <c r="T6" i="10"/>
  <c r="AE24" i="10"/>
  <c r="T39" i="10"/>
  <c r="T53" i="10"/>
  <c r="I6" i="8"/>
  <c r="J24" i="8"/>
  <c r="J39" i="8"/>
  <c r="AB53" i="1"/>
  <c r="AB24" i="1"/>
  <c r="BX39" i="1"/>
  <c r="AX39" i="1"/>
  <c r="V53" i="1"/>
  <c r="S53" i="8"/>
  <c r="K6" i="8"/>
  <c r="N6" i="8"/>
  <c r="R24" i="8"/>
  <c r="I39" i="8"/>
  <c r="BT24" i="1"/>
  <c r="R24" i="1"/>
  <c r="BD39" i="1"/>
  <c r="BB53" i="1"/>
  <c r="F24" i="10"/>
  <c r="AX24" i="10"/>
  <c r="AX6" i="10"/>
  <c r="AY24" i="10"/>
  <c r="AK53" i="10"/>
  <c r="K53" i="8"/>
  <c r="BT39" i="1"/>
  <c r="BT53" i="1"/>
  <c r="B39" i="10"/>
  <c r="K24" i="8"/>
  <c r="H53" i="8"/>
  <c r="I53" i="8"/>
  <c r="BN24" i="1"/>
  <c r="L24" i="1"/>
  <c r="R39" i="1"/>
  <c r="J39" i="10"/>
  <c r="AU53" i="10"/>
  <c r="F53" i="10"/>
  <c r="B53" i="10"/>
  <c r="AX39" i="10"/>
  <c r="P6" i="8"/>
  <c r="S24" i="8"/>
  <c r="BB24" i="1"/>
  <c r="BD53" i="1"/>
  <c r="P24" i="8"/>
  <c r="BB39" i="1"/>
  <c r="AU24" i="10"/>
  <c r="BL24" i="1"/>
  <c r="AF24" i="1"/>
  <c r="BP39" i="1"/>
  <c r="BN53" i="1"/>
  <c r="L53" i="1"/>
  <c r="AY6" i="10"/>
  <c r="AK24" i="10"/>
  <c r="F39" i="10"/>
  <c r="L39" i="1"/>
  <c r="V6" i="11"/>
  <c r="AW24" i="10"/>
  <c r="AI6" i="10"/>
  <c r="AI53" i="10"/>
  <c r="H39" i="1"/>
  <c r="F39" i="1"/>
  <c r="AK3" i="12"/>
  <c r="B24" i="1"/>
  <c r="CF24" i="1"/>
  <c r="AL24" i="1"/>
  <c r="T24" i="1"/>
  <c r="CF39" i="1"/>
  <c r="V39" i="1"/>
  <c r="AL53" i="1"/>
  <c r="T53" i="1"/>
  <c r="AS6" i="10"/>
  <c r="AS24" i="10"/>
  <c r="CH6" i="1"/>
  <c r="CH39" i="1"/>
  <c r="AI24" i="10"/>
  <c r="B53" i="1"/>
  <c r="BJ24" i="1"/>
  <c r="AL39" i="1"/>
  <c r="T39" i="1"/>
  <c r="BJ53" i="1"/>
  <c r="AK6" i="10"/>
  <c r="V6" i="10"/>
  <c r="BZ24" i="1"/>
  <c r="AH24" i="1"/>
  <c r="BZ39" i="1"/>
  <c r="BJ39" i="1"/>
  <c r="BZ53" i="1"/>
  <c r="AH53" i="1"/>
  <c r="U6" i="10"/>
  <c r="U24" i="10"/>
  <c r="U39" i="10"/>
  <c r="U6" i="11"/>
  <c r="BQ6" i="11"/>
  <c r="BQ39" i="11"/>
  <c r="BQ24" i="11"/>
  <c r="AL39" i="11"/>
  <c r="AL6" i="11"/>
  <c r="CF53" i="1"/>
  <c r="AM3" i="12"/>
  <c r="Q24" i="8"/>
  <c r="H24" i="10"/>
  <c r="B24" i="10"/>
  <c r="H39" i="10"/>
  <c r="N24" i="1"/>
  <c r="N53" i="1"/>
  <c r="M24" i="10"/>
  <c r="CH24" i="1"/>
  <c r="BP24" i="1"/>
  <c r="Z24" i="1"/>
  <c r="CH53" i="1"/>
  <c r="BP53" i="1"/>
  <c r="Z53" i="1"/>
  <c r="M53" i="10"/>
  <c r="F24" i="1"/>
  <c r="AD39" i="1"/>
  <c r="N39" i="1"/>
  <c r="F53" i="1"/>
  <c r="AL24" i="11"/>
  <c r="H53" i="10"/>
  <c r="S6" i="11"/>
  <c r="BR6" i="11"/>
  <c r="CG6" i="1"/>
  <c r="AL3" i="12"/>
  <c r="CE6" i="1"/>
  <c r="AJ3" i="12"/>
  <c r="V53" i="10"/>
  <c r="V39" i="10"/>
  <c r="W53" i="11"/>
  <c r="W39" i="11"/>
  <c r="W39" i="9"/>
  <c r="W24" i="9"/>
  <c r="W53" i="9"/>
  <c r="CI53" i="1"/>
  <c r="CI39" i="1"/>
  <c r="AO39" i="7"/>
  <c r="AO53" i="7"/>
  <c r="AN3" i="12"/>
  <c r="AO24" i="7"/>
  <c r="AT39" i="10"/>
  <c r="BU6" i="11"/>
  <c r="R6" i="11"/>
  <c r="AN6" i="7"/>
  <c r="AK6" i="7"/>
  <c r="AL6" i="7"/>
  <c r="AM6" i="7"/>
  <c r="AP53" i="10"/>
  <c r="AT53" i="10"/>
  <c r="R6" i="10"/>
  <c r="R53" i="10"/>
  <c r="AL53" i="10"/>
  <c r="AH53" i="10"/>
  <c r="AJ53" i="10"/>
  <c r="AJ39" i="10"/>
  <c r="R39" i="10"/>
  <c r="AP39" i="10"/>
  <c r="AL39" i="10"/>
  <c r="AH39" i="10"/>
  <c r="I6" i="10"/>
  <c r="I39" i="10"/>
  <c r="E6" i="10"/>
  <c r="E39" i="10"/>
  <c r="K6" i="10"/>
  <c r="K39" i="10"/>
  <c r="G6" i="10"/>
  <c r="G39" i="10"/>
  <c r="AT6" i="10"/>
  <c r="AT24" i="10"/>
  <c r="AP24" i="10"/>
  <c r="AJ24" i="10"/>
  <c r="R24" i="10"/>
  <c r="I24" i="10"/>
  <c r="E24" i="10"/>
  <c r="AL24" i="10"/>
  <c r="AH24" i="10"/>
  <c r="K24" i="10"/>
  <c r="G24" i="10"/>
  <c r="W6" i="11"/>
  <c r="BT39" i="11"/>
  <c r="BB39" i="11"/>
  <c r="AX39" i="11"/>
  <c r="AN39" i="11"/>
  <c r="R39" i="11"/>
  <c r="K39" i="11"/>
  <c r="G39" i="11"/>
  <c r="BT24" i="11"/>
  <c r="BB24" i="11"/>
  <c r="AX24" i="11"/>
  <c r="R24" i="11"/>
  <c r="K24" i="11"/>
  <c r="G24" i="11"/>
  <c r="BU53" i="11"/>
  <c r="BC53" i="11"/>
  <c r="AY53" i="11"/>
  <c r="AS53" i="11"/>
  <c r="AM53" i="11"/>
  <c r="V53" i="11"/>
  <c r="Q53" i="11"/>
  <c r="J53" i="11"/>
  <c r="F53" i="11"/>
  <c r="BR39" i="11"/>
  <c r="BC39" i="11"/>
  <c r="AY39" i="11"/>
  <c r="AS39" i="11"/>
  <c r="AO39" i="11"/>
  <c r="AK39" i="11"/>
  <c r="V39" i="11"/>
  <c r="Q39" i="11"/>
  <c r="J39" i="11"/>
  <c r="F39" i="11"/>
  <c r="BR24" i="11"/>
  <c r="BC24" i="11"/>
  <c r="AY24" i="11"/>
  <c r="AS24" i="11"/>
  <c r="AO24" i="11"/>
  <c r="AK24" i="11"/>
  <c r="V24" i="11"/>
  <c r="Q24" i="11"/>
  <c r="J24" i="11"/>
  <c r="F24" i="11"/>
  <c r="BP53" i="11"/>
  <c r="AZ53" i="11"/>
  <c r="AV53" i="11"/>
  <c r="AQ53" i="11"/>
  <c r="AK53" i="11"/>
  <c r="U53" i="11"/>
  <c r="N53" i="11"/>
  <c r="I53" i="11"/>
  <c r="C53" i="11"/>
  <c r="AN6" i="11"/>
  <c r="AN53" i="11"/>
  <c r="AZ39" i="11"/>
  <c r="AV39" i="11"/>
  <c r="AP39" i="11"/>
  <c r="AJ39" i="11"/>
  <c r="U39" i="11"/>
  <c r="N39" i="11"/>
  <c r="I39" i="11"/>
  <c r="C39" i="11"/>
  <c r="AZ24" i="11"/>
  <c r="AV24" i="11"/>
  <c r="AP24" i="11"/>
  <c r="AJ24" i="11"/>
  <c r="U24" i="11"/>
  <c r="N24" i="11"/>
  <c r="I24" i="11"/>
  <c r="C24" i="11"/>
  <c r="BR53" i="11"/>
  <c r="BA53" i="11"/>
  <c r="AW53" i="11"/>
  <c r="AP53" i="11"/>
  <c r="AJ53" i="11"/>
  <c r="S53" i="11"/>
  <c r="L53" i="11"/>
  <c r="H53" i="11"/>
  <c r="BU39" i="11"/>
  <c r="BP39" i="11"/>
  <c r="BA39" i="11"/>
  <c r="AW39" i="11"/>
  <c r="AQ39" i="11"/>
  <c r="AM39" i="11"/>
  <c r="AG39" i="11"/>
  <c r="S39" i="11"/>
  <c r="L39" i="11"/>
  <c r="H39" i="11"/>
  <c r="BU24" i="11"/>
  <c r="BP24" i="11"/>
  <c r="BA24" i="11"/>
  <c r="AW24" i="11"/>
  <c r="AQ24" i="11"/>
  <c r="AM24" i="11"/>
  <c r="AG24" i="11"/>
  <c r="S24" i="11"/>
  <c r="L24" i="11"/>
  <c r="H24" i="11"/>
  <c r="BT53" i="11"/>
  <c r="BB53" i="11"/>
  <c r="AX53" i="11"/>
  <c r="AO53" i="11"/>
  <c r="AG53" i="11"/>
  <c r="R53" i="11"/>
  <c r="K53" i="11"/>
  <c r="G53" i="11"/>
  <c r="CE53" i="1"/>
  <c r="CA53" i="1"/>
  <c r="BW53" i="1"/>
  <c r="BS53" i="1"/>
  <c r="BO53" i="1"/>
  <c r="BK53" i="1"/>
  <c r="BG53" i="1"/>
  <c r="BC53" i="1"/>
  <c r="AY53" i="1"/>
  <c r="AM53" i="1"/>
  <c r="AE53" i="1"/>
  <c r="AA53" i="1"/>
  <c r="W53" i="1"/>
  <c r="S53" i="1"/>
  <c r="O53" i="1"/>
  <c r="K53" i="1"/>
  <c r="G53" i="1"/>
  <c r="C53" i="1"/>
  <c r="CG53" i="1"/>
  <c r="CC53" i="1"/>
  <c r="BY53" i="1"/>
  <c r="BU53" i="1"/>
  <c r="BQ53" i="1"/>
  <c r="BM53" i="1"/>
  <c r="BI53" i="1"/>
  <c r="BE53" i="1"/>
  <c r="BA53" i="1"/>
  <c r="AW53" i="1"/>
  <c r="AK53" i="1"/>
  <c r="AG53" i="1"/>
  <c r="AC53" i="1"/>
  <c r="Y53" i="1"/>
  <c r="U53" i="1"/>
  <c r="Q53" i="1"/>
  <c r="M53" i="1"/>
  <c r="I53" i="1"/>
  <c r="E53" i="1"/>
  <c r="CE39" i="1"/>
  <c r="CA39" i="1"/>
  <c r="BW39" i="1"/>
  <c r="BS39" i="1"/>
  <c r="BO39" i="1"/>
  <c r="BK39" i="1"/>
  <c r="BG39" i="1"/>
  <c r="BC39" i="1"/>
  <c r="AY39" i="1"/>
  <c r="AM39" i="1"/>
  <c r="AE39" i="1"/>
  <c r="AA39" i="1"/>
  <c r="W39" i="1"/>
  <c r="S39" i="1"/>
  <c r="O39" i="1"/>
  <c r="K39" i="1"/>
  <c r="G39" i="1"/>
  <c r="C39" i="1"/>
  <c r="CG39" i="1"/>
  <c r="CC39" i="1"/>
  <c r="BY39" i="1"/>
  <c r="BU39" i="1"/>
  <c r="BQ39" i="1"/>
  <c r="BM39" i="1"/>
  <c r="BI39" i="1"/>
  <c r="BE39" i="1"/>
  <c r="BA39" i="1"/>
  <c r="AW39" i="1"/>
  <c r="AK39" i="1"/>
  <c r="AG39" i="1"/>
  <c r="AC39" i="1"/>
  <c r="Y39" i="1"/>
  <c r="U39" i="1"/>
  <c r="Q39" i="1"/>
  <c r="M39" i="1"/>
  <c r="I39" i="1"/>
  <c r="E39" i="1"/>
  <c r="CI6" i="1"/>
  <c r="CA6" i="1"/>
  <c r="BS6" i="1"/>
  <c r="BK6" i="1"/>
  <c r="BC6" i="1"/>
  <c r="AM6" i="1"/>
  <c r="AE6" i="1"/>
  <c r="W6" i="1"/>
  <c r="O6" i="1"/>
  <c r="G6" i="1"/>
  <c r="CE24" i="1"/>
  <c r="BW24" i="1"/>
  <c r="BO24" i="1"/>
  <c r="BG24" i="1"/>
  <c r="AY24" i="1"/>
  <c r="AA24" i="1"/>
  <c r="S24" i="1"/>
  <c r="K24" i="1"/>
  <c r="C24" i="1"/>
  <c r="CG24" i="1"/>
  <c r="CC24" i="1"/>
  <c r="BY24" i="1"/>
  <c r="BU24" i="1"/>
  <c r="BQ24" i="1"/>
  <c r="BM24" i="1"/>
  <c r="BI24" i="1"/>
  <c r="BE24" i="1"/>
  <c r="BA24" i="1"/>
  <c r="AW24" i="1"/>
  <c r="AK24" i="1"/>
  <c r="AG24" i="1"/>
  <c r="AC24" i="1"/>
  <c r="Y24" i="1"/>
  <c r="U24" i="1"/>
  <c r="Q24" i="1"/>
  <c r="M24" i="1"/>
  <c r="I24" i="1"/>
  <c r="E24" i="1"/>
  <c r="AO4" i="10"/>
  <c r="AQ4" i="10"/>
  <c r="AR4" i="10"/>
  <c r="AO5" i="10"/>
  <c r="AQ5" i="10"/>
  <c r="AR5" i="10"/>
  <c r="L4" i="10"/>
  <c r="N4" i="10"/>
  <c r="N6" i="10" s="1"/>
  <c r="O4" i="10"/>
  <c r="L5" i="10"/>
  <c r="N5" i="10"/>
  <c r="O5" i="10"/>
  <c r="M4" i="9"/>
  <c r="O4" i="9"/>
  <c r="P4" i="9"/>
  <c r="M5" i="9"/>
  <c r="N5" i="9"/>
  <c r="N4" i="9" s="1"/>
  <c r="O5" i="9"/>
  <c r="P5" i="9"/>
  <c r="V5" i="9"/>
  <c r="U5" i="9"/>
  <c r="S5" i="9"/>
  <c r="R5" i="9"/>
  <c r="R4" i="9" s="1"/>
  <c r="Q5" i="9"/>
  <c r="Q4" i="9" s="1"/>
  <c r="G5" i="9"/>
  <c r="G4" i="9" s="1"/>
  <c r="BF22" i="11"/>
  <c r="BF21" i="11"/>
  <c r="BF20" i="11"/>
  <c r="BF19" i="11"/>
  <c r="BF18" i="11"/>
  <c r="BF17" i="11"/>
  <c r="BF16" i="11"/>
  <c r="BF15" i="11"/>
  <c r="BF14" i="11"/>
  <c r="BF13" i="11"/>
  <c r="BF12" i="11"/>
  <c r="BF11" i="11"/>
  <c r="BF10" i="11"/>
  <c r="BF9" i="11"/>
  <c r="BF8" i="11"/>
  <c r="BF7" i="11"/>
  <c r="BF25" i="11"/>
  <c r="BF26" i="11"/>
  <c r="BF27" i="11"/>
  <c r="BF28" i="11"/>
  <c r="BF54" i="11"/>
  <c r="BF29" i="11"/>
  <c r="BF30" i="11"/>
  <c r="BF40" i="11"/>
  <c r="BF41" i="11"/>
  <c r="BF42" i="11"/>
  <c r="BF43" i="11"/>
  <c r="BF55" i="11"/>
  <c r="BF56" i="11"/>
  <c r="BF44" i="11"/>
  <c r="BF45" i="11"/>
  <c r="BF46" i="11"/>
  <c r="BF31" i="11"/>
  <c r="BF47" i="11"/>
  <c r="BF32" i="11"/>
  <c r="BF57" i="11"/>
  <c r="BF58" i="11"/>
  <c r="BF33" i="11"/>
  <c r="BF59" i="11"/>
  <c r="BF48" i="11"/>
  <c r="BF49" i="11"/>
  <c r="BF34" i="11"/>
  <c r="BF60" i="11"/>
  <c r="BF61" i="11"/>
  <c r="BF50" i="11"/>
  <c r="BF35" i="11"/>
  <c r="BF62" i="11"/>
  <c r="BF36" i="11"/>
  <c r="BF51" i="11"/>
  <c r="BF37" i="11"/>
  <c r="BM22" i="11"/>
  <c r="BM14" i="11"/>
  <c r="BM9" i="11"/>
  <c r="BM7" i="11"/>
  <c r="BM8" i="11"/>
  <c r="BM10" i="11"/>
  <c r="BM11" i="11"/>
  <c r="BM12" i="11"/>
  <c r="BM13" i="11"/>
  <c r="BM15" i="11"/>
  <c r="BM16" i="11"/>
  <c r="BM17" i="11"/>
  <c r="BM18" i="11"/>
  <c r="BM19" i="11"/>
  <c r="BM20" i="11"/>
  <c r="BM21" i="11"/>
  <c r="BM25" i="11"/>
  <c r="BM27" i="11"/>
  <c r="BM28" i="11"/>
  <c r="BM54" i="11"/>
  <c r="BM29" i="11"/>
  <c r="BM30" i="11"/>
  <c r="BM40" i="11"/>
  <c r="BM41" i="11"/>
  <c r="BM42" i="11"/>
  <c r="BM43" i="11"/>
  <c r="BM55" i="11"/>
  <c r="BM56" i="11"/>
  <c r="BM44" i="11"/>
  <c r="BM45" i="11"/>
  <c r="BM46" i="11"/>
  <c r="BM31" i="11"/>
  <c r="BM47" i="11"/>
  <c r="BM32" i="11"/>
  <c r="BM57" i="11"/>
  <c r="BM58" i="11"/>
  <c r="BM33" i="11"/>
  <c r="BM59" i="11"/>
  <c r="BM48" i="11"/>
  <c r="BM49" i="11"/>
  <c r="BM34" i="11"/>
  <c r="BM60" i="11"/>
  <c r="BM61" i="11"/>
  <c r="BM50" i="11"/>
  <c r="BM35" i="11"/>
  <c r="BM62" i="11"/>
  <c r="BM36" i="11"/>
  <c r="BM51" i="11"/>
  <c r="BM37" i="11"/>
  <c r="BI22" i="11"/>
  <c r="BI17" i="11"/>
  <c r="BI12" i="11"/>
  <c r="BI9" i="11"/>
  <c r="BI7" i="11"/>
  <c r="BI8" i="11"/>
  <c r="BI10" i="11"/>
  <c r="BI11" i="11"/>
  <c r="BI13" i="11"/>
  <c r="BI14" i="11"/>
  <c r="BI15" i="11"/>
  <c r="BI16" i="11"/>
  <c r="BI18" i="11"/>
  <c r="BI19" i="11"/>
  <c r="BI20" i="11"/>
  <c r="BI21" i="11"/>
  <c r="BI25" i="11"/>
  <c r="BI26" i="11"/>
  <c r="BI27" i="11"/>
  <c r="BI28" i="11"/>
  <c r="BI54" i="11"/>
  <c r="BI29" i="11"/>
  <c r="BI30" i="11"/>
  <c r="BI40" i="11"/>
  <c r="BI41" i="11"/>
  <c r="BI42" i="11"/>
  <c r="BI43" i="11"/>
  <c r="BI55" i="11"/>
  <c r="BI56" i="11"/>
  <c r="BI44" i="11"/>
  <c r="BI45" i="11"/>
  <c r="BI46" i="11"/>
  <c r="BI31" i="11"/>
  <c r="BI47" i="11"/>
  <c r="BI32" i="11"/>
  <c r="BI57" i="11"/>
  <c r="BI58" i="11"/>
  <c r="BI33" i="11"/>
  <c r="BI59" i="11"/>
  <c r="BI48" i="11"/>
  <c r="BI49" i="11"/>
  <c r="BI34" i="11"/>
  <c r="BI60" i="11"/>
  <c r="BI61" i="11"/>
  <c r="BI50" i="11"/>
  <c r="BI35" i="11"/>
  <c r="BI62" i="11"/>
  <c r="BI36" i="11"/>
  <c r="BI51" i="11"/>
  <c r="BI37" i="11"/>
  <c r="BM63" i="11"/>
  <c r="L5" i="9"/>
  <c r="L4" i="9" s="1"/>
  <c r="J5" i="9"/>
  <c r="J4" i="9" s="1"/>
  <c r="I5" i="9"/>
  <c r="H5" i="9"/>
  <c r="H4" i="9" s="1"/>
  <c r="E22" i="9"/>
  <c r="D22" i="9"/>
  <c r="B22" i="9"/>
  <c r="E21" i="9"/>
  <c r="D21" i="9"/>
  <c r="B21" i="9"/>
  <c r="E20" i="9"/>
  <c r="D20" i="9"/>
  <c r="B20" i="9"/>
  <c r="E19" i="9"/>
  <c r="D19" i="9"/>
  <c r="B19" i="9"/>
  <c r="E18" i="9"/>
  <c r="D18" i="9"/>
  <c r="B18" i="9"/>
  <c r="E17" i="9"/>
  <c r="D17" i="9"/>
  <c r="B17" i="9"/>
  <c r="E16" i="9"/>
  <c r="D16" i="9"/>
  <c r="B16" i="9"/>
  <c r="E15" i="9"/>
  <c r="D15" i="9"/>
  <c r="B15" i="9"/>
  <c r="E14" i="9"/>
  <c r="D14" i="9"/>
  <c r="B14" i="9"/>
  <c r="E13" i="9"/>
  <c r="D13" i="9"/>
  <c r="B13" i="9"/>
  <c r="E12" i="9"/>
  <c r="D12" i="9"/>
  <c r="B12" i="9"/>
  <c r="E11" i="9"/>
  <c r="D11" i="9"/>
  <c r="B11" i="9"/>
  <c r="E10" i="9"/>
  <c r="D10" i="9"/>
  <c r="B10" i="9"/>
  <c r="E8" i="9"/>
  <c r="D8" i="9"/>
  <c r="B8" i="9"/>
  <c r="E7" i="9"/>
  <c r="D7" i="9"/>
  <c r="B7" i="9"/>
  <c r="K5" i="9"/>
  <c r="F5" i="9"/>
  <c r="F4" i="9" s="1"/>
  <c r="E4" i="9"/>
  <c r="D4" i="9"/>
  <c r="C5" i="9"/>
  <c r="C4" i="9" s="1"/>
  <c r="B4" i="9"/>
  <c r="BK7" i="11"/>
  <c r="BK8" i="11"/>
  <c r="BK9" i="11"/>
  <c r="BK10" i="11"/>
  <c r="BK11" i="11"/>
  <c r="BK12" i="11"/>
  <c r="BK13" i="11"/>
  <c r="BK14" i="11"/>
  <c r="BK15" i="11"/>
  <c r="BK16" i="11"/>
  <c r="BK17" i="11"/>
  <c r="BK18" i="11"/>
  <c r="BK19" i="11"/>
  <c r="BK20" i="11"/>
  <c r="BK21" i="11"/>
  <c r="BK22" i="11"/>
  <c r="BK25" i="11"/>
  <c r="BK26" i="11"/>
  <c r="BK27" i="11"/>
  <c r="BK28" i="11"/>
  <c r="BK54" i="11"/>
  <c r="BK63" i="11"/>
  <c r="BK29" i="11"/>
  <c r="BK42" i="11"/>
  <c r="BK30" i="11"/>
  <c r="BK40" i="11"/>
  <c r="BK41" i="11"/>
  <c r="BK43" i="11"/>
  <c r="BK56" i="11"/>
  <c r="BK55" i="11"/>
  <c r="BK44" i="11"/>
  <c r="BK45" i="11"/>
  <c r="BK46" i="11"/>
  <c r="BK31" i="11"/>
  <c r="BK48" i="11"/>
  <c r="BK47" i="11"/>
  <c r="BK57" i="11"/>
  <c r="BK58" i="11"/>
  <c r="BK33" i="11"/>
  <c r="BK32" i="11"/>
  <c r="BK59" i="11"/>
  <c r="BK49" i="11"/>
  <c r="BK34" i="11"/>
  <c r="BK60" i="11"/>
  <c r="BK61" i="11"/>
  <c r="BK50" i="11"/>
  <c r="BK35" i="11"/>
  <c r="BK62" i="11"/>
  <c r="BK36" i="11"/>
  <c r="BK51" i="11"/>
  <c r="BK37" i="11"/>
  <c r="BI63" i="11"/>
  <c r="BH7" i="11"/>
  <c r="BH8" i="11"/>
  <c r="BH9" i="11"/>
  <c r="BH10" i="11"/>
  <c r="BH11" i="11"/>
  <c r="BH12" i="11"/>
  <c r="BH13" i="11"/>
  <c r="BH14" i="11"/>
  <c r="BH15" i="11"/>
  <c r="BH16" i="11"/>
  <c r="BH17" i="11"/>
  <c r="BH18" i="11"/>
  <c r="BH19" i="11"/>
  <c r="BH20" i="11"/>
  <c r="BH21" i="11"/>
  <c r="BH22" i="11"/>
  <c r="BH25" i="11"/>
  <c r="BH26" i="11"/>
  <c r="BH27" i="11"/>
  <c r="BH28" i="11"/>
  <c r="BH54" i="11"/>
  <c r="BH63" i="11"/>
  <c r="BH29" i="11"/>
  <c r="BH42" i="11"/>
  <c r="BH30" i="11"/>
  <c r="BH40" i="11"/>
  <c r="BH41" i="11"/>
  <c r="BH43" i="11"/>
  <c r="BH56" i="11"/>
  <c r="BH55" i="11"/>
  <c r="BH44" i="11"/>
  <c r="BH45" i="11"/>
  <c r="BH46" i="11"/>
  <c r="BH31" i="11"/>
  <c r="BH48" i="11"/>
  <c r="BH47" i="11"/>
  <c r="BH57" i="11"/>
  <c r="BH58" i="11"/>
  <c r="BH33" i="11"/>
  <c r="BH32" i="11"/>
  <c r="BH59" i="11"/>
  <c r="BH49" i="11"/>
  <c r="BH34" i="11"/>
  <c r="BH60" i="11"/>
  <c r="BH61" i="11"/>
  <c r="BH50" i="11"/>
  <c r="BH35" i="11"/>
  <c r="BH62" i="11"/>
  <c r="BH36" i="11"/>
  <c r="BH51" i="11"/>
  <c r="BH37" i="11"/>
  <c r="BG7" i="11"/>
  <c r="BG8" i="11"/>
  <c r="BG9" i="11"/>
  <c r="BG10" i="11"/>
  <c r="BG11" i="11"/>
  <c r="BG12" i="11"/>
  <c r="BG13" i="11"/>
  <c r="BG14" i="11"/>
  <c r="BG15" i="11"/>
  <c r="BG16" i="11"/>
  <c r="BG17" i="11"/>
  <c r="BG18" i="11"/>
  <c r="BG19" i="11"/>
  <c r="BG20" i="11"/>
  <c r="BG21" i="11"/>
  <c r="BG22" i="11"/>
  <c r="BG25" i="11"/>
  <c r="BG26" i="11"/>
  <c r="BG27" i="11"/>
  <c r="BG28" i="11"/>
  <c r="BG54" i="11"/>
  <c r="BG63" i="11"/>
  <c r="BG29" i="11"/>
  <c r="BG42" i="11"/>
  <c r="BG30" i="11"/>
  <c r="BG40" i="11"/>
  <c r="BG41" i="11"/>
  <c r="BG43" i="11"/>
  <c r="BG56" i="11"/>
  <c r="BG55" i="11"/>
  <c r="BG44" i="11"/>
  <c r="BG45" i="11"/>
  <c r="BG46" i="11"/>
  <c r="BG31" i="11"/>
  <c r="BG48" i="11"/>
  <c r="BG47" i="11"/>
  <c r="BG57" i="11"/>
  <c r="BG58" i="11"/>
  <c r="BG33" i="11"/>
  <c r="BG32" i="11"/>
  <c r="BG59" i="11"/>
  <c r="BG49" i="11"/>
  <c r="BG34" i="11"/>
  <c r="BG60" i="11"/>
  <c r="BG61" i="11"/>
  <c r="BG50" i="11"/>
  <c r="BG35" i="11"/>
  <c r="BG62" i="11"/>
  <c r="BG36" i="11"/>
  <c r="BG51" i="11"/>
  <c r="BG37" i="11"/>
  <c r="BF63" i="11"/>
  <c r="BJ8" i="11"/>
  <c r="BJ9" i="11"/>
  <c r="BJ10" i="11"/>
  <c r="BJ11" i="11"/>
  <c r="BJ12" i="11"/>
  <c r="BJ13" i="11"/>
  <c r="BJ14" i="11"/>
  <c r="BJ15" i="11"/>
  <c r="BJ16" i="11"/>
  <c r="BJ17" i="11"/>
  <c r="BJ18" i="11"/>
  <c r="BJ19" i="11"/>
  <c r="BJ20" i="11"/>
  <c r="BJ21" i="11"/>
  <c r="BJ22" i="11"/>
  <c r="BJ25" i="11"/>
  <c r="BJ26" i="11"/>
  <c r="BJ27" i="11"/>
  <c r="BJ28" i="11"/>
  <c r="BJ54" i="11"/>
  <c r="BJ63" i="11"/>
  <c r="BJ29" i="11"/>
  <c r="BJ42" i="11"/>
  <c r="BJ40" i="11"/>
  <c r="BJ41" i="11"/>
  <c r="BJ43" i="11"/>
  <c r="BJ56" i="11"/>
  <c r="BJ55" i="11"/>
  <c r="BJ44" i="11"/>
  <c r="BJ45" i="11"/>
  <c r="BJ46" i="11"/>
  <c r="BJ31" i="11"/>
  <c r="BJ48" i="11"/>
  <c r="BJ47" i="11"/>
  <c r="BJ57" i="11"/>
  <c r="BJ58" i="11"/>
  <c r="BJ33" i="11"/>
  <c r="BJ32" i="11"/>
  <c r="BJ59" i="11"/>
  <c r="BJ49" i="11"/>
  <c r="BJ34" i="11"/>
  <c r="BJ60" i="11"/>
  <c r="BJ61" i="11"/>
  <c r="BJ50" i="11"/>
  <c r="BJ35" i="11"/>
  <c r="BJ62" i="11"/>
  <c r="BJ36" i="11"/>
  <c r="BJ51" i="11"/>
  <c r="BJ37" i="11"/>
  <c r="BE8" i="11"/>
  <c r="BE9" i="11"/>
  <c r="BE10" i="11"/>
  <c r="BE11" i="11"/>
  <c r="BE12" i="11"/>
  <c r="BE13" i="11"/>
  <c r="BE14" i="11"/>
  <c r="BE15" i="11"/>
  <c r="BE16" i="11"/>
  <c r="BE17" i="11"/>
  <c r="BE18" i="11"/>
  <c r="BE19" i="11"/>
  <c r="BE20" i="11"/>
  <c r="BE21" i="11"/>
  <c r="BE22" i="11"/>
  <c r="BE25" i="11"/>
  <c r="BE26" i="11"/>
  <c r="BE27" i="11"/>
  <c r="BE28" i="11"/>
  <c r="BE54" i="11"/>
  <c r="BE63" i="11"/>
  <c r="BE29" i="11"/>
  <c r="BE42" i="11"/>
  <c r="BE30" i="11"/>
  <c r="BE40" i="11"/>
  <c r="BE41" i="11"/>
  <c r="BE43" i="11"/>
  <c r="BE56" i="11"/>
  <c r="BE55" i="11"/>
  <c r="BE44" i="11"/>
  <c r="BE45" i="11"/>
  <c r="BE46" i="11"/>
  <c r="BE31" i="11"/>
  <c r="BE48" i="11"/>
  <c r="BE47" i="11"/>
  <c r="BE57" i="11"/>
  <c r="BE58" i="11"/>
  <c r="BE33" i="11"/>
  <c r="BE32" i="11"/>
  <c r="BE59" i="11"/>
  <c r="BE49" i="11"/>
  <c r="BE34" i="11"/>
  <c r="BE60" i="11"/>
  <c r="BE61" i="11"/>
  <c r="BE50" i="11"/>
  <c r="BE35" i="11"/>
  <c r="BE62" i="11"/>
  <c r="BE36" i="11"/>
  <c r="BE51" i="11"/>
  <c r="BE37" i="11"/>
  <c r="BJ7" i="11"/>
  <c r="BE7" i="11"/>
  <c r="BD8" i="11"/>
  <c r="BD9" i="11"/>
  <c r="BD10" i="11"/>
  <c r="BD11" i="11"/>
  <c r="BD12" i="11"/>
  <c r="BD13" i="11"/>
  <c r="BD14" i="11"/>
  <c r="BD15" i="11"/>
  <c r="BD16" i="11"/>
  <c r="BD17" i="11"/>
  <c r="BD18" i="11"/>
  <c r="BD19" i="11"/>
  <c r="BD20" i="11"/>
  <c r="BD21" i="11"/>
  <c r="BD22" i="11"/>
  <c r="BD25" i="11"/>
  <c r="BD26" i="11"/>
  <c r="BD27" i="11"/>
  <c r="BD28" i="11"/>
  <c r="BD54" i="11"/>
  <c r="BD63" i="11"/>
  <c r="BD29" i="11"/>
  <c r="BD42" i="11"/>
  <c r="BD30" i="11"/>
  <c r="BD40" i="11"/>
  <c r="BD41" i="11"/>
  <c r="BD43" i="11"/>
  <c r="BD56" i="11"/>
  <c r="BD55" i="11"/>
  <c r="BD44" i="11"/>
  <c r="BD45" i="11"/>
  <c r="BD46" i="11"/>
  <c r="BD31" i="11"/>
  <c r="BD48" i="11"/>
  <c r="BD47" i="11"/>
  <c r="BD57" i="11"/>
  <c r="BD58" i="11"/>
  <c r="BD33" i="11"/>
  <c r="BD32" i="11"/>
  <c r="BD59" i="11"/>
  <c r="BD49" i="11"/>
  <c r="BD34" i="11"/>
  <c r="BD60" i="11"/>
  <c r="BD61" i="11"/>
  <c r="BD50" i="11"/>
  <c r="BD35" i="11"/>
  <c r="BD62" i="11"/>
  <c r="BD36" i="11"/>
  <c r="BD51" i="11"/>
  <c r="BD37" i="11"/>
  <c r="BD7" i="11"/>
  <c r="E22" i="11"/>
  <c r="D22" i="11"/>
  <c r="B22" i="11"/>
  <c r="E21" i="11"/>
  <c r="D21" i="11"/>
  <c r="B21" i="11"/>
  <c r="E20" i="11"/>
  <c r="D20" i="11"/>
  <c r="B20" i="11"/>
  <c r="E19" i="11"/>
  <c r="D19" i="11"/>
  <c r="B19" i="11"/>
  <c r="E18" i="11"/>
  <c r="D18" i="11"/>
  <c r="B18" i="11"/>
  <c r="E17" i="11"/>
  <c r="D17" i="11"/>
  <c r="B17" i="11"/>
  <c r="E16" i="11"/>
  <c r="D16" i="11"/>
  <c r="B16" i="11"/>
  <c r="E15" i="11"/>
  <c r="D15" i="11"/>
  <c r="B15" i="11"/>
  <c r="E14" i="11"/>
  <c r="D14" i="11"/>
  <c r="B14" i="11"/>
  <c r="E13" i="11"/>
  <c r="D13" i="11"/>
  <c r="B13" i="11"/>
  <c r="E12" i="11"/>
  <c r="D12" i="11"/>
  <c r="B12" i="11"/>
  <c r="E11" i="11"/>
  <c r="D11" i="11"/>
  <c r="B11" i="11"/>
  <c r="E10" i="11"/>
  <c r="D10" i="11"/>
  <c r="B10" i="11"/>
  <c r="E8" i="11"/>
  <c r="D8" i="11"/>
  <c r="B8" i="11"/>
  <c r="E7" i="11"/>
  <c r="D7" i="11"/>
  <c r="B7" i="11"/>
  <c r="AU5" i="11"/>
  <c r="AU6" i="11" s="1"/>
  <c r="AT5" i="11"/>
  <c r="AT6" i="11" s="1"/>
  <c r="AI5" i="11"/>
  <c r="AI6" i="11" s="1"/>
  <c r="AH5" i="11"/>
  <c r="AH6" i="11" s="1"/>
  <c r="AF5" i="11"/>
  <c r="AF6" i="11" s="1"/>
  <c r="E4" i="11"/>
  <c r="E24" i="11" s="1"/>
  <c r="D4" i="11"/>
  <c r="D24" i="11" s="1"/>
  <c r="B4" i="11"/>
  <c r="D22" i="10"/>
  <c r="C22" i="10"/>
  <c r="D21" i="10"/>
  <c r="C21" i="10"/>
  <c r="D20" i="10"/>
  <c r="C20" i="10"/>
  <c r="D19" i="10"/>
  <c r="C19" i="10"/>
  <c r="D18" i="10"/>
  <c r="C18" i="10"/>
  <c r="D17" i="10"/>
  <c r="C17" i="10"/>
  <c r="D16" i="10"/>
  <c r="C16" i="10"/>
  <c r="D15" i="10"/>
  <c r="C15" i="10"/>
  <c r="D14" i="10"/>
  <c r="C14" i="10"/>
  <c r="D13" i="10"/>
  <c r="C13" i="10"/>
  <c r="D12" i="10"/>
  <c r="C12" i="10"/>
  <c r="D11" i="10"/>
  <c r="C11" i="10"/>
  <c r="D10" i="10"/>
  <c r="C10" i="10"/>
  <c r="D8" i="10"/>
  <c r="C8" i="10"/>
  <c r="D7" i="10"/>
  <c r="C7" i="10"/>
  <c r="AG4" i="10"/>
  <c r="AF4" i="10"/>
  <c r="D4" i="10"/>
  <c r="C4" i="10"/>
  <c r="AQ6" i="10" l="1"/>
  <c r="AO6" i="10"/>
  <c r="V4" i="9"/>
  <c r="C5" i="10"/>
  <c r="C6" i="10" s="1"/>
  <c r="O6" i="9"/>
  <c r="D5" i="10"/>
  <c r="D6" i="10" s="1"/>
  <c r="AR6" i="10"/>
  <c r="AF5" i="10"/>
  <c r="AF6" i="10" s="1"/>
  <c r="P6" i="9"/>
  <c r="BJ5" i="11"/>
  <c r="AG5" i="10"/>
  <c r="AG6" i="10" s="1"/>
  <c r="O6" i="10"/>
  <c r="L6" i="10"/>
  <c r="BD5" i="11"/>
  <c r="BE5" i="11"/>
  <c r="BF5" i="11"/>
  <c r="BD52" i="11"/>
  <c r="BD23" i="11"/>
  <c r="BE52" i="11"/>
  <c r="BE23" i="11"/>
  <c r="BJ52" i="11"/>
  <c r="BJ23" i="11"/>
  <c r="BG38" i="11"/>
  <c r="BH52" i="11"/>
  <c r="BH23" i="11"/>
  <c r="BH5" i="11"/>
  <c r="BK52" i="11"/>
  <c r="BK23" i="11"/>
  <c r="BK5" i="11"/>
  <c r="BI23" i="11"/>
  <c r="BI5" i="11"/>
  <c r="BM52" i="11"/>
  <c r="BM23" i="11"/>
  <c r="BF52" i="11"/>
  <c r="BF23" i="11"/>
  <c r="BD38" i="11"/>
  <c r="BE38" i="11"/>
  <c r="BJ38" i="11"/>
  <c r="BG23" i="11"/>
  <c r="BG5" i="11"/>
  <c r="BH38" i="11"/>
  <c r="BK38" i="11"/>
  <c r="BI38" i="11"/>
  <c r="BM38" i="11"/>
  <c r="BM5" i="11"/>
  <c r="BF38" i="11"/>
  <c r="B5" i="11"/>
  <c r="B6" i="11" s="1"/>
  <c r="E5" i="11"/>
  <c r="E6" i="11" s="1"/>
  <c r="D5" i="11"/>
  <c r="D6" i="11" s="1"/>
  <c r="M6" i="9"/>
  <c r="K4" i="9"/>
  <c r="U4" i="9"/>
  <c r="I4" i="9"/>
  <c r="S4" i="9"/>
  <c r="E5" i="9"/>
  <c r="E6" i="9" s="1"/>
  <c r="B5" i="9"/>
  <c r="B6" i="9" s="1"/>
  <c r="D5" i="9"/>
  <c r="D6" i="9" s="1"/>
  <c r="BM4" i="11" l="1"/>
  <c r="BM6" i="11" s="1"/>
  <c r="BI4" i="11"/>
  <c r="BK4" i="11"/>
  <c r="BK6" i="11" s="1"/>
  <c r="BF4" i="11"/>
  <c r="BF6" i="11" s="1"/>
  <c r="BJ4" i="11"/>
  <c r="BJ6" i="11" s="1"/>
  <c r="BD4" i="11"/>
  <c r="BD6" i="11" s="1"/>
  <c r="BG4" i="11"/>
  <c r="BG24" i="11" s="1"/>
  <c r="BH4" i="11"/>
  <c r="BH6" i="11" s="1"/>
  <c r="BE4" i="11"/>
  <c r="BE6" i="11" s="1"/>
  <c r="B39" i="7"/>
  <c r="B53" i="7"/>
  <c r="B24" i="7"/>
  <c r="I3" i="12"/>
  <c r="D3" i="12"/>
  <c r="C3" i="12"/>
  <c r="AD3" i="12"/>
  <c r="R3" i="12"/>
  <c r="AG3" i="12"/>
  <c r="J3" i="12"/>
  <c r="E3" i="12"/>
  <c r="AF3" i="12"/>
  <c r="Z3" i="12"/>
  <c r="H3" i="12"/>
  <c r="F3" i="12"/>
  <c r="L3" i="12"/>
  <c r="AA39" i="7"/>
  <c r="AB3" i="12"/>
  <c r="M3" i="12"/>
  <c r="Q3" i="12"/>
  <c r="U3" i="12"/>
  <c r="Y3" i="12"/>
  <c r="AC3" i="12"/>
  <c r="B3" i="12"/>
  <c r="P3" i="12"/>
  <c r="T3" i="12"/>
  <c r="X3" i="12"/>
  <c r="G3" i="12"/>
  <c r="K3" i="12"/>
  <c r="O3" i="12"/>
  <c r="S3" i="12"/>
  <c r="W3" i="12"/>
  <c r="AA3" i="12"/>
  <c r="AE3" i="12"/>
  <c r="N3" i="12"/>
  <c r="V3" i="12"/>
  <c r="AH3" i="12"/>
  <c r="AF53" i="7"/>
  <c r="V39" i="7"/>
  <c r="AE53" i="7"/>
  <c r="R53" i="7"/>
  <c r="T53" i="7"/>
  <c r="M39" i="7"/>
  <c r="K53" i="7"/>
  <c r="AG53" i="7"/>
  <c r="C53" i="7"/>
  <c r="G53" i="7"/>
  <c r="J53" i="7"/>
  <c r="AG24" i="7"/>
  <c r="AG39" i="7"/>
  <c r="U39" i="7"/>
  <c r="S53" i="7"/>
  <c r="W53" i="7"/>
  <c r="Q39" i="7"/>
  <c r="W24" i="7"/>
  <c r="W39" i="7"/>
  <c r="AM39" i="7"/>
  <c r="F53" i="7"/>
  <c r="AC53" i="7"/>
  <c r="X39" i="7"/>
  <c r="I53" i="7"/>
  <c r="H53" i="7"/>
  <c r="T24" i="7"/>
  <c r="T39" i="7"/>
  <c r="AI53" i="7"/>
  <c r="AM24" i="7"/>
  <c r="AM53" i="7"/>
  <c r="C39" i="7"/>
  <c r="AL39" i="7"/>
  <c r="G24" i="7"/>
  <c r="G39" i="7"/>
  <c r="M24" i="7"/>
  <c r="M53" i="7"/>
  <c r="Z39" i="7"/>
  <c r="Y39" i="7"/>
  <c r="S24" i="7"/>
  <c r="S39" i="7"/>
  <c r="X24" i="7"/>
  <c r="X53" i="7"/>
  <c r="D53" i="7"/>
  <c r="K24" i="7"/>
  <c r="K39" i="7"/>
  <c r="AD53" i="7"/>
  <c r="H24" i="7"/>
  <c r="H39" i="7"/>
  <c r="AH39" i="7"/>
  <c r="C24" i="7"/>
  <c r="F24" i="7"/>
  <c r="F39" i="7"/>
  <c r="P53" i="7"/>
  <c r="Y24" i="7"/>
  <c r="Y53" i="7"/>
  <c r="AB39" i="7"/>
  <c r="AE24" i="7"/>
  <c r="AE39" i="7"/>
  <c r="AC24" i="7"/>
  <c r="AC39" i="7"/>
  <c r="O39" i="7"/>
  <c r="I24" i="7"/>
  <c r="I39" i="7"/>
  <c r="AN39" i="7"/>
  <c r="D24" i="7"/>
  <c r="D39" i="7"/>
  <c r="AN24" i="7"/>
  <c r="AN53" i="7"/>
  <c r="AH24" i="7"/>
  <c r="AH53" i="7"/>
  <c r="E53" i="7"/>
  <c r="Q24" i="7"/>
  <c r="Q53" i="7"/>
  <c r="J24" i="7"/>
  <c r="J39" i="7"/>
  <c r="L53" i="7"/>
  <c r="AD24" i="7"/>
  <c r="AD39" i="7"/>
  <c r="AK53" i="7"/>
  <c r="AA24" i="7"/>
  <c r="AA53" i="7"/>
  <c r="AK24" i="7"/>
  <c r="AK39" i="7"/>
  <c r="AL24" i="7"/>
  <c r="AL53" i="7"/>
  <c r="E24" i="7"/>
  <c r="E39" i="7"/>
  <c r="N39" i="7"/>
  <c r="O24" i="7"/>
  <c r="O53" i="7"/>
  <c r="P24" i="7"/>
  <c r="P39" i="7"/>
  <c r="AB24" i="7"/>
  <c r="AB53" i="7"/>
  <c r="R24" i="7"/>
  <c r="R39" i="7"/>
  <c r="Z24" i="7"/>
  <c r="Z53" i="7"/>
  <c r="N24" i="7"/>
  <c r="N53" i="7"/>
  <c r="AI24" i="7"/>
  <c r="AI39" i="7"/>
  <c r="U24" i="7"/>
  <c r="U53" i="7"/>
  <c r="L24" i="7"/>
  <c r="L39" i="7"/>
  <c r="V24" i="7"/>
  <c r="V53" i="7"/>
  <c r="AF24" i="7"/>
  <c r="AF39" i="7"/>
  <c r="BI6" i="11" l="1"/>
  <c r="BI53" i="11"/>
  <c r="BD24" i="11"/>
  <c r="BJ24" i="11"/>
  <c r="BK24" i="11"/>
  <c r="BM53" i="11"/>
  <c r="BD39" i="11"/>
  <c r="BK39" i="11"/>
  <c r="BF39" i="11"/>
  <c r="BE53" i="11"/>
  <c r="BG39" i="11"/>
  <c r="BK53" i="11"/>
  <c r="BF24" i="11"/>
  <c r="BI39" i="11"/>
  <c r="BG6" i="11"/>
  <c r="BG53" i="11"/>
  <c r="BE24" i="11"/>
  <c r="BH53" i="11"/>
  <c r="BI24" i="11"/>
  <c r="BF53" i="11"/>
  <c r="BJ39" i="11"/>
  <c r="BM39" i="11"/>
  <c r="BD53" i="11"/>
  <c r="BJ53" i="11"/>
  <c r="BH24" i="11"/>
  <c r="BM24" i="11"/>
  <c r="BE39" i="11"/>
  <c r="BH39" i="11"/>
  <c r="C53" i="9"/>
  <c r="C6" i="9"/>
  <c r="C39" i="9"/>
  <c r="C24" i="9"/>
  <c r="I39" i="9"/>
  <c r="I53" i="9"/>
  <c r="I6" i="9"/>
  <c r="F6" i="9"/>
  <c r="F39" i="9"/>
  <c r="F53" i="9"/>
  <c r="J6" i="9"/>
  <c r="J39" i="9"/>
  <c r="J53" i="9"/>
  <c r="G6" i="9"/>
  <c r="G39" i="9"/>
  <c r="G53" i="9"/>
  <c r="K6" i="9"/>
  <c r="K39" i="9"/>
  <c r="K53" i="9"/>
  <c r="H6" i="9"/>
  <c r="H39" i="9"/>
  <c r="H53" i="9"/>
  <c r="L6" i="9"/>
  <c r="L39" i="9"/>
  <c r="L53" i="9"/>
  <c r="J24" i="9"/>
  <c r="K24" i="9"/>
  <c r="G24" i="9"/>
  <c r="I24" i="9"/>
  <c r="L24" i="9"/>
  <c r="F24" i="9"/>
  <c r="H24" i="9"/>
  <c r="N6" i="9"/>
  <c r="N39" i="9"/>
  <c r="N53" i="9"/>
  <c r="N24" i="9"/>
  <c r="Q39" i="9"/>
  <c r="Q53" i="9"/>
  <c r="Q6" i="9"/>
  <c r="R39" i="9"/>
  <c r="R53" i="9"/>
  <c r="R6" i="9"/>
  <c r="S53" i="9"/>
  <c r="S6" i="9"/>
  <c r="S39" i="9"/>
  <c r="R24" i="9"/>
  <c r="Q24" i="9"/>
  <c r="S24" i="9"/>
  <c r="V53" i="9"/>
  <c r="V6" i="9"/>
  <c r="V39" i="9"/>
  <c r="U39" i="9"/>
  <c r="U53" i="9"/>
  <c r="U6" i="9"/>
  <c r="V24" i="9"/>
  <c r="U24" i="9"/>
  <c r="T53" i="9"/>
  <c r="T39" i="9"/>
  <c r="T24" i="9"/>
  <c r="AV24" i="10"/>
  <c r="S53" i="10"/>
  <c r="S39" i="10"/>
  <c r="S2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jmarks</author>
  </authors>
  <commentList>
    <comment ref="AL3" authorId="0" shapeId="0" xr:uid="{00000000-0006-0000-0100-000001000000}">
      <text>
        <r>
          <rPr>
            <b/>
            <sz val="8"/>
            <color indexed="81"/>
            <rFont val="Tahoma"/>
            <family val="2"/>
          </rPr>
          <t>Excludes online-only institutions identified in 2010-11.</t>
        </r>
      </text>
    </comment>
    <comment ref="AO3" authorId="0" shapeId="0" xr:uid="{00000000-0006-0000-0100-000002000000}">
      <text>
        <r>
          <rPr>
            <sz val="8"/>
            <color indexed="81"/>
            <rFont val="Tahoma"/>
            <family val="2"/>
          </rPr>
          <t xml:space="preserve">141 Associate's degrees were awarded by non-degree institutions and are excluded from this table. </t>
        </r>
      </text>
    </comment>
    <comment ref="AQ3" authorId="0" shapeId="0" xr:uid="{00000000-0006-0000-0100-000003000000}">
      <text>
        <r>
          <rPr>
            <b/>
            <sz val="8"/>
            <color indexed="81"/>
            <rFont val="Tahoma"/>
            <family val="2"/>
          </rPr>
          <t>Excludes online-only institutions identified in 2010-11.</t>
        </r>
      </text>
    </comment>
    <comment ref="AN19" authorId="1" shapeId="0" xr:uid="{00000000-0006-0000-0100-000004000000}">
      <text>
        <r>
          <rPr>
            <b/>
            <sz val="10"/>
            <color indexed="81"/>
            <rFont val="Tahoma"/>
            <family val="2"/>
          </rPr>
          <t>jmarks:</t>
        </r>
        <r>
          <rPr>
            <sz val="10"/>
            <color indexed="81"/>
            <rFont val="Tahoma"/>
            <family val="2"/>
          </rPr>
          <t xml:space="preserve">
They're the only state to go down this much. Check the detail for the two years and see if this is a real change, different schools reporting or what.  Looking at the next tab, it looks like the issue is not in the public sector.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R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sz val="8"/>
            <color indexed="81"/>
            <rFont val="Tahoma"/>
            <family val="2"/>
          </rPr>
          <t xml:space="preserve">9 Associate's degrees were awarded by public  non-degree institutions and are excluded from this table. </t>
        </r>
      </text>
    </comment>
    <comment ref="W3" authorId="0" shapeId="0" xr:uid="{00000000-0006-0000-0200-000003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K3" authorId="0" shapeId="0" xr:uid="{00000000-0006-0000-0300-000001000000}">
      <text>
        <r>
          <rPr>
            <b/>
            <sz val="8"/>
            <color indexed="81"/>
            <rFont val="Tahoma"/>
            <family val="2"/>
          </rPr>
          <t>Excludes online-only institutions identified in 2010-11.</t>
        </r>
      </text>
    </comment>
    <comment ref="AN3" authorId="0" shapeId="0" xr:uid="{00000000-0006-0000-0300-000002000000}">
      <text>
        <r>
          <rPr>
            <sz val="8"/>
            <color indexed="81"/>
            <rFont val="Tahoma"/>
            <family val="2"/>
          </rPr>
          <t xml:space="preserve">111 Associate's degrees were awarded by public  non-degree institutions and are excluded from this table. </t>
        </r>
      </text>
    </comment>
    <comment ref="AP3" authorId="0" shapeId="0" xr:uid="{00000000-0006-0000-0300-000003000000}">
      <text>
        <r>
          <rPr>
            <b/>
            <sz val="8"/>
            <color indexed="81"/>
            <rFont val="Tahoma"/>
            <family val="2"/>
          </rPr>
          <t>Excludes online-only institutions identified in 2010-11.</t>
        </r>
      </text>
    </comment>
    <comment ref="CF3" authorId="0" shapeId="0" xr:uid="{00000000-0006-0000-0300-000004000000}">
      <text>
        <r>
          <rPr>
            <b/>
            <sz val="8"/>
            <color indexed="81"/>
            <rFont val="Tahoma"/>
            <family val="2"/>
          </rPr>
          <t>Excludes online-only institutions identified in 2010-11.</t>
        </r>
      </text>
    </comment>
    <comment ref="CI3" authorId="0" shapeId="0" xr:uid="{00000000-0006-0000-0300-000005000000}">
      <text>
        <r>
          <rPr>
            <sz val="8"/>
            <color indexed="81"/>
            <rFont val="Tahoma"/>
            <family val="2"/>
          </rPr>
          <t xml:space="preserve">30 Associate's degrees were awarded by non-degree institutions and are excluded from this table. </t>
        </r>
      </text>
    </comment>
    <comment ref="CK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3" authorId="0" shapeId="0" xr:uid="{00000000-0006-0000-0400-000001000000}">
      <text>
        <r>
          <rPr>
            <b/>
            <sz val="8"/>
            <color indexed="81"/>
            <rFont val="Tahoma"/>
            <family val="2"/>
          </rPr>
          <t>redone 8/2000
Associate's degrees ONLY- (all races total does NOT include non-resident aliens)</t>
        </r>
      </text>
    </comment>
    <comment ref="F3" authorId="0" shapeId="0" xr:uid="{00000000-0006-0000-0400-000002000000}">
      <text>
        <r>
          <rPr>
            <b/>
            <sz val="8"/>
            <color indexed="81"/>
            <rFont val="Tahoma"/>
            <family val="2"/>
          </rPr>
          <t>redone 8/2000
Associate's degrees ONLY- (all races total does NOT include non-resident aliens or unknown race)</t>
        </r>
      </text>
    </comment>
    <comment ref="G3" authorId="0" shapeId="0" xr:uid="{00000000-0006-0000-0400-000003000000}">
      <text>
        <r>
          <rPr>
            <b/>
            <sz val="8"/>
            <color indexed="81"/>
            <rFont val="Tahoma"/>
            <family val="2"/>
          </rPr>
          <t>redone sept.2000
Associate's degrees ONLY- (all races total does NOT include non-resident aliens or unknown race)</t>
        </r>
      </text>
    </comment>
    <comment ref="H3" authorId="0" shapeId="0" xr:uid="{00000000-0006-0000-0400-000004000000}">
      <text>
        <r>
          <rPr>
            <b/>
            <sz val="8"/>
            <color indexed="81"/>
            <rFont val="Tahoma"/>
            <family val="2"/>
          </rPr>
          <t>redone oct.2000
Associate's degrees ONLY- (all races total does NOT include non-resident aliens or unknown race)</t>
        </r>
      </text>
    </comment>
    <comment ref="I3" authorId="0" shapeId="0" xr:uid="{00000000-0006-0000-0400-000005000000}">
      <text>
        <r>
          <rPr>
            <b/>
            <sz val="8"/>
            <color indexed="81"/>
            <rFont val="Tahoma"/>
            <family val="2"/>
          </rPr>
          <t>redone oct.2000
Associate's degrees ONLY- (all races total does NOT include non-resident aliens or unknown race)</t>
        </r>
      </text>
    </comment>
    <comment ref="J3" authorId="0" shapeId="0" xr:uid="{00000000-0006-0000-0400-000006000000}">
      <text>
        <r>
          <rPr>
            <b/>
            <sz val="8"/>
            <color indexed="81"/>
            <rFont val="Tahoma"/>
            <family val="2"/>
          </rPr>
          <t>redone oct.2000
Associate's degrees ONLY- (all races total does NOT include non-resident aliens or unknown race)</t>
        </r>
      </text>
    </comment>
    <comment ref="K3" authorId="0" shapeId="0" xr:uid="{00000000-0006-0000-0400-000007000000}">
      <text>
        <r>
          <rPr>
            <b/>
            <sz val="8"/>
            <color indexed="81"/>
            <rFont val="Tahoma"/>
            <family val="2"/>
          </rPr>
          <t>96-97 is Associate's degrees ONLY… 
(all races does NOT include non-residents or unknown race)</t>
        </r>
      </text>
    </comment>
    <comment ref="L3" authorId="0" shapeId="0" xr:uid="{00000000-0006-0000-0400-000008000000}">
      <text>
        <r>
          <rPr>
            <b/>
            <sz val="8"/>
            <color indexed="81"/>
            <rFont val="Tahoma"/>
            <family val="2"/>
          </rPr>
          <t>Associate's degrees ONLY… all races does NOT include non-residents or unknown race</t>
        </r>
      </text>
    </comment>
    <comment ref="T3" authorId="1" shapeId="0" xr:uid="{00000000-0006-0000-0400-000009000000}">
      <text>
        <r>
          <rPr>
            <b/>
            <sz val="8"/>
            <color indexed="81"/>
            <rFont val="Tahoma"/>
            <family val="2"/>
          </rPr>
          <t>Excludes online-only institutions identified in 2010-11.</t>
        </r>
      </text>
    </comment>
    <comment ref="W3" authorId="1" shapeId="0" xr:uid="{00000000-0006-0000-0400-00000A000000}">
      <text>
        <r>
          <rPr>
            <sz val="8"/>
            <color indexed="81"/>
            <rFont val="Tahoma"/>
            <family val="2"/>
          </rPr>
          <t xml:space="preserve">140 Associate's degrees were awarded by non-degree institutions and are excluded from this table. </t>
        </r>
      </text>
    </comment>
    <comment ref="Y3" authorId="1" shapeId="0" xr:uid="{00000000-0006-0000-0400-00000B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3" authorId="0" shapeId="0" xr:uid="{00000000-0006-0000-0500-000001000000}">
      <text>
        <r>
          <rPr>
            <b/>
            <sz val="8"/>
            <color indexed="81"/>
            <rFont val="Tahoma"/>
            <family val="2"/>
          </rPr>
          <t>redone 8/2000
Associate's degrees ONLY</t>
        </r>
      </text>
    </comment>
    <comment ref="F3" authorId="0" shapeId="0" xr:uid="{00000000-0006-0000-0500-000002000000}">
      <text>
        <r>
          <rPr>
            <b/>
            <sz val="8"/>
            <color indexed="81"/>
            <rFont val="Tahoma"/>
            <family val="2"/>
          </rPr>
          <t>redone 8/2000
Associate's degrees ONLY</t>
        </r>
      </text>
    </comment>
    <comment ref="G3" authorId="0" shapeId="0" xr:uid="{00000000-0006-0000-0500-000003000000}">
      <text>
        <r>
          <rPr>
            <b/>
            <sz val="8"/>
            <color indexed="81"/>
            <rFont val="Tahoma"/>
            <family val="2"/>
          </rPr>
          <t>redone sept. 2000
Associate's degrees ONLY</t>
        </r>
      </text>
    </comment>
    <comment ref="H3" authorId="0" shapeId="0" xr:uid="{00000000-0006-0000-0500-000004000000}">
      <text>
        <r>
          <rPr>
            <b/>
            <sz val="8"/>
            <color indexed="81"/>
            <rFont val="Tahoma"/>
            <family val="2"/>
          </rPr>
          <t>redone oct. 2000
Associate's degrees ONLY</t>
        </r>
      </text>
    </comment>
    <comment ref="I3" authorId="0" shapeId="0" xr:uid="{00000000-0006-0000-0500-000005000000}">
      <text>
        <r>
          <rPr>
            <b/>
            <sz val="8"/>
            <color indexed="81"/>
            <rFont val="Tahoma"/>
            <family val="2"/>
          </rPr>
          <t>redone oct. 2000
Associate's degrees ONLY</t>
        </r>
      </text>
    </comment>
    <comment ref="J3" authorId="0" shapeId="0" xr:uid="{00000000-0006-0000-0500-000006000000}">
      <text>
        <r>
          <rPr>
            <b/>
            <sz val="8"/>
            <color indexed="81"/>
            <rFont val="Tahoma"/>
            <family val="2"/>
          </rPr>
          <t>redone oct. 2000
Associate's degrees ONLY</t>
        </r>
      </text>
    </comment>
    <comment ref="K3" authorId="0" shapeId="0" xr:uid="{00000000-0006-0000-0500-000007000000}">
      <text>
        <r>
          <rPr>
            <b/>
            <sz val="8"/>
            <color indexed="81"/>
            <rFont val="Tahoma"/>
            <family val="2"/>
          </rPr>
          <t>96-97 is Associate's degrees ONLY</t>
        </r>
      </text>
    </comment>
    <comment ref="L3" authorId="0" shapeId="0" xr:uid="{00000000-0006-0000-0500-000008000000}">
      <text>
        <r>
          <rPr>
            <b/>
            <sz val="8"/>
            <color indexed="81"/>
            <rFont val="Tahoma"/>
            <family val="2"/>
          </rPr>
          <t>Associate's degrees ONLY</t>
        </r>
      </text>
    </comment>
    <comment ref="T3" authorId="1" shapeId="0" xr:uid="{00000000-0006-0000-0500-000009000000}">
      <text>
        <r>
          <rPr>
            <b/>
            <sz val="8"/>
            <color indexed="81"/>
            <rFont val="Tahoma"/>
            <family val="2"/>
          </rPr>
          <t>Excludes online-only institutions identified in 2010-11.</t>
        </r>
      </text>
    </comment>
    <comment ref="W3" authorId="1" shapeId="0" xr:uid="{00000000-0006-0000-0500-00000A000000}">
      <text>
        <r>
          <rPr>
            <sz val="8"/>
            <color indexed="81"/>
            <rFont val="Tahoma"/>
            <family val="2"/>
          </rPr>
          <t xml:space="preserve">32 Associate's degrees were awarded by non-degree institutions and are excluded from this table. </t>
        </r>
      </text>
    </comment>
    <comment ref="Y3" authorId="1" shapeId="0" xr:uid="{00000000-0006-0000-0500-00000B000000}">
      <text>
        <r>
          <rPr>
            <b/>
            <sz val="8"/>
            <color indexed="81"/>
            <rFont val="Tahoma"/>
            <family val="2"/>
          </rPr>
          <t>Excludes online-only institutions identified in 2010-11.</t>
        </r>
      </text>
    </comment>
    <comment ref="AG3" authorId="0" shapeId="0" xr:uid="{00000000-0006-0000-0500-00000C000000}">
      <text>
        <r>
          <rPr>
            <b/>
            <sz val="8"/>
            <color indexed="81"/>
            <rFont val="Tahoma"/>
            <family val="2"/>
          </rPr>
          <t>redone 8/2000
Associate's degrees ONLY</t>
        </r>
      </text>
    </comment>
    <comment ref="AJ3" authorId="0" shapeId="0" xr:uid="{00000000-0006-0000-0500-00000D000000}">
      <text>
        <r>
          <rPr>
            <b/>
            <sz val="8"/>
            <color indexed="81"/>
            <rFont val="Tahoma"/>
            <family val="2"/>
          </rPr>
          <t>redone 8/2000
Associate's degrees ONLY</t>
        </r>
      </text>
    </comment>
    <comment ref="AK3" authorId="0" shapeId="0" xr:uid="{00000000-0006-0000-0500-00000E000000}">
      <text>
        <r>
          <rPr>
            <b/>
            <sz val="8"/>
            <color indexed="81"/>
            <rFont val="Tahoma"/>
            <family val="2"/>
          </rPr>
          <t>redone sept. 2000
Associate's degrees ONLY</t>
        </r>
      </text>
    </comment>
    <comment ref="AL3" authorId="0" shapeId="0" xr:uid="{00000000-0006-0000-0500-00000F000000}">
      <text>
        <r>
          <rPr>
            <b/>
            <sz val="8"/>
            <color indexed="81"/>
            <rFont val="Tahoma"/>
            <family val="2"/>
          </rPr>
          <t>redone oct. 2000
Associate's degrees ONLY</t>
        </r>
      </text>
    </comment>
    <comment ref="AM3" authorId="0" shapeId="0" xr:uid="{00000000-0006-0000-0500-000010000000}">
      <text>
        <r>
          <rPr>
            <b/>
            <sz val="8"/>
            <color indexed="81"/>
            <rFont val="Tahoma"/>
            <family val="2"/>
          </rPr>
          <t>redone oct. 2000
Associate's degrees ONLY</t>
        </r>
      </text>
    </comment>
    <comment ref="AN3" authorId="0" shapeId="0" xr:uid="{00000000-0006-0000-0500-000011000000}">
      <text>
        <r>
          <rPr>
            <b/>
            <sz val="8"/>
            <color indexed="81"/>
            <rFont val="Tahoma"/>
            <family val="2"/>
          </rPr>
          <t>redone oct. 2000
Associate's degrees ONLY</t>
        </r>
      </text>
    </comment>
    <comment ref="AO3" authorId="0" shapeId="0" xr:uid="{00000000-0006-0000-0500-000012000000}">
      <text>
        <r>
          <rPr>
            <b/>
            <sz val="8"/>
            <color indexed="81"/>
            <rFont val="Tahoma"/>
            <family val="2"/>
          </rPr>
          <t>96-97 is Associate's degrees ONLY</t>
        </r>
      </text>
    </comment>
    <comment ref="AP3" authorId="0" shapeId="0" xr:uid="{00000000-0006-0000-0500-000013000000}">
      <text>
        <r>
          <rPr>
            <b/>
            <sz val="8"/>
            <color indexed="81"/>
            <rFont val="Tahoma"/>
            <family val="2"/>
          </rPr>
          <t>Associate's degrees ONLY</t>
        </r>
      </text>
    </comment>
    <comment ref="AS3" authorId="0" shapeId="0" xr:uid="{00000000-0006-0000-0500-000014000000}">
      <text>
        <r>
          <rPr>
            <b/>
            <sz val="8"/>
            <color indexed="81"/>
            <rFont val="Tahoma"/>
            <family val="2"/>
          </rPr>
          <t>redone 8/2000
Associate's degrees ONLY</t>
        </r>
      </text>
    </comment>
    <comment ref="AV3" authorId="0" shapeId="0" xr:uid="{00000000-0006-0000-0500-000015000000}">
      <text>
        <r>
          <rPr>
            <b/>
            <sz val="8"/>
            <color indexed="81"/>
            <rFont val="Tahoma"/>
            <family val="2"/>
          </rPr>
          <t>redone 8/2000
Associate's degrees ONLY</t>
        </r>
      </text>
    </comment>
    <comment ref="AW3" authorId="0" shapeId="0" xr:uid="{00000000-0006-0000-0500-000016000000}">
      <text>
        <r>
          <rPr>
            <b/>
            <sz val="8"/>
            <color indexed="81"/>
            <rFont val="Tahoma"/>
            <family val="2"/>
          </rPr>
          <t>redone sept. 2000
Associate's degrees ONLY</t>
        </r>
      </text>
    </comment>
    <comment ref="AX3" authorId="0" shapeId="0" xr:uid="{00000000-0006-0000-0500-000017000000}">
      <text>
        <r>
          <rPr>
            <b/>
            <sz val="8"/>
            <color indexed="81"/>
            <rFont val="Tahoma"/>
            <family val="2"/>
          </rPr>
          <t>redone oct. 2000
Associate's degrees ONLY</t>
        </r>
      </text>
    </comment>
    <comment ref="AY3" authorId="0" shapeId="0" xr:uid="{00000000-0006-0000-0500-000018000000}">
      <text>
        <r>
          <rPr>
            <b/>
            <sz val="8"/>
            <color indexed="81"/>
            <rFont val="Tahoma"/>
            <family val="2"/>
          </rPr>
          <t>redone oct. 2000
Associate's degrees ONLY</t>
        </r>
      </text>
    </comment>
    <comment ref="AZ3" authorId="0" shapeId="0" xr:uid="{00000000-0006-0000-0500-000019000000}">
      <text>
        <r>
          <rPr>
            <b/>
            <sz val="8"/>
            <color indexed="81"/>
            <rFont val="Tahoma"/>
            <family val="2"/>
          </rPr>
          <t>redone oct. 2000
Associate's degrees ONLY</t>
        </r>
      </text>
    </comment>
    <comment ref="BA3" authorId="0" shapeId="0" xr:uid="{00000000-0006-0000-0500-00001A000000}">
      <text>
        <r>
          <rPr>
            <b/>
            <sz val="8"/>
            <color indexed="81"/>
            <rFont val="Tahoma"/>
            <family val="2"/>
          </rPr>
          <t>96-97 is Associate's degrees ONLY</t>
        </r>
      </text>
    </comment>
    <comment ref="BB3" authorId="0" shapeId="0" xr:uid="{00000000-0006-0000-0500-00001B000000}">
      <text>
        <r>
          <rPr>
            <b/>
            <sz val="8"/>
            <color indexed="81"/>
            <rFont val="Tahoma"/>
            <family val="2"/>
          </rPr>
          <t>Associate's degrees ONLY</t>
        </r>
      </text>
    </comment>
    <comment ref="BD3" authorId="0" shapeId="0" xr:uid="{00000000-0006-0000-0500-00001C000000}">
      <text>
        <r>
          <rPr>
            <b/>
            <sz val="8"/>
            <color indexed="81"/>
            <rFont val="Tahoma"/>
            <family val="2"/>
          </rPr>
          <t>redone 8/2000
Associate's degrees ONLY</t>
        </r>
      </text>
    </comment>
    <comment ref="BE3" authorId="0" shapeId="0" xr:uid="{00000000-0006-0000-0500-00001D000000}">
      <text>
        <r>
          <rPr>
            <b/>
            <sz val="8"/>
            <color indexed="81"/>
            <rFont val="Tahoma"/>
            <family val="2"/>
          </rPr>
          <t>redone 8/2000
Associate's degrees ONLY</t>
        </r>
      </text>
    </comment>
    <comment ref="BF3" authorId="0" shapeId="0" xr:uid="{00000000-0006-0000-0500-00001E000000}">
      <text>
        <r>
          <rPr>
            <b/>
            <sz val="8"/>
            <color indexed="81"/>
            <rFont val="Tahoma"/>
            <family val="2"/>
          </rPr>
          <t>redone sept. 2000
Associate's degrees ONLY</t>
        </r>
      </text>
    </comment>
    <comment ref="BG3" authorId="0" shapeId="0" xr:uid="{00000000-0006-0000-0500-00001F000000}">
      <text>
        <r>
          <rPr>
            <b/>
            <sz val="8"/>
            <color indexed="81"/>
            <rFont val="Tahoma"/>
            <family val="2"/>
          </rPr>
          <t>redone oct. 2000
Associate's degrees ONLY</t>
        </r>
      </text>
    </comment>
    <comment ref="BH3" authorId="0" shapeId="0" xr:uid="{00000000-0006-0000-0500-000020000000}">
      <text>
        <r>
          <rPr>
            <b/>
            <sz val="8"/>
            <color indexed="81"/>
            <rFont val="Tahoma"/>
            <family val="2"/>
          </rPr>
          <t>redone oct. 2000
Associate's degrees ONLY</t>
        </r>
      </text>
    </comment>
    <comment ref="BI3" authorId="0" shapeId="0" xr:uid="{00000000-0006-0000-0500-000021000000}">
      <text>
        <r>
          <rPr>
            <b/>
            <sz val="8"/>
            <color indexed="81"/>
            <rFont val="Tahoma"/>
            <family val="2"/>
          </rPr>
          <t>redone oct. 2000
Associate's degrees ONLY</t>
        </r>
      </text>
    </comment>
    <comment ref="BJ3" authorId="0" shapeId="0" xr:uid="{00000000-0006-0000-0500-000022000000}">
      <text>
        <r>
          <rPr>
            <b/>
            <sz val="8"/>
            <color indexed="81"/>
            <rFont val="Tahoma"/>
            <family val="2"/>
          </rPr>
          <t>96-97 is Associate's degrees ONLY</t>
        </r>
      </text>
    </comment>
    <comment ref="BK3" authorId="0" shapeId="0" xr:uid="{00000000-0006-0000-0500-000023000000}">
      <text>
        <r>
          <rPr>
            <b/>
            <sz val="8"/>
            <color indexed="81"/>
            <rFont val="Tahoma"/>
            <family val="2"/>
          </rPr>
          <t>Associate's degrees ONLY</t>
        </r>
      </text>
    </comment>
    <comment ref="BM3" authorId="0" shapeId="0" xr:uid="{00000000-0006-0000-0500-000024000000}">
      <text>
        <r>
          <rPr>
            <b/>
            <sz val="8"/>
            <color indexed="81"/>
            <rFont val="Tahoma"/>
            <family val="2"/>
          </rPr>
          <t>Associate's degrees ONLY</t>
        </r>
      </text>
    </comment>
    <comment ref="BS3" authorId="1" shapeId="0" xr:uid="{00000000-0006-0000-0500-000025000000}">
      <text>
        <r>
          <rPr>
            <b/>
            <sz val="8"/>
            <color indexed="81"/>
            <rFont val="Tahoma"/>
            <family val="2"/>
          </rPr>
          <t>Excludes online-only institutions identified in 2010-11.</t>
        </r>
      </text>
    </comment>
    <comment ref="BU3" authorId="1" shapeId="0" xr:uid="{00000000-0006-0000-0500-000026000000}">
      <text>
        <r>
          <rPr>
            <sz val="8"/>
            <color indexed="81"/>
            <rFont val="Tahoma"/>
            <family val="2"/>
          </rPr>
          <t xml:space="preserve">0 Associate's degrees were awarded by non-degree institutions and are excluded from this table. </t>
        </r>
      </text>
    </comment>
    <comment ref="BW3" authorId="1" shapeId="0" xr:uid="{00000000-0006-0000-0500-000027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Associate's degrees ONLY</t>
        </r>
      </text>
    </comment>
    <comment ref="E3" authorId="0" shapeId="0" xr:uid="{00000000-0006-0000-0600-000002000000}">
      <text>
        <r>
          <rPr>
            <b/>
            <sz val="8"/>
            <color indexed="81"/>
            <rFont val="Tahoma"/>
            <family val="2"/>
          </rPr>
          <t>redone 8/2000
Associate's degrees ONLY</t>
        </r>
      </text>
    </comment>
    <comment ref="F3" authorId="0" shapeId="0" xr:uid="{00000000-0006-0000-0600-000003000000}">
      <text>
        <r>
          <rPr>
            <b/>
            <sz val="8"/>
            <color indexed="81"/>
            <rFont val="Tahoma"/>
            <family val="2"/>
          </rPr>
          <t>redone sept. 2000
Associate's degrees ONLY</t>
        </r>
      </text>
    </comment>
    <comment ref="G3" authorId="0" shapeId="0" xr:uid="{00000000-0006-0000-0600-000004000000}">
      <text>
        <r>
          <rPr>
            <b/>
            <sz val="8"/>
            <color indexed="81"/>
            <rFont val="Tahoma"/>
            <family val="2"/>
          </rPr>
          <t>redone oct. 2000
Associate's degrees ONLY</t>
        </r>
      </text>
    </comment>
    <comment ref="H3" authorId="0" shapeId="0" xr:uid="{00000000-0006-0000-0600-000005000000}">
      <text>
        <r>
          <rPr>
            <b/>
            <sz val="8"/>
            <color indexed="81"/>
            <rFont val="Tahoma"/>
            <family val="2"/>
          </rPr>
          <t>redone oct. 2000
Associate's degrees ONLY</t>
        </r>
      </text>
    </comment>
    <comment ref="I3" authorId="0" shapeId="0" xr:uid="{00000000-0006-0000-0600-000006000000}">
      <text>
        <r>
          <rPr>
            <b/>
            <sz val="8"/>
            <color indexed="81"/>
            <rFont val="Tahoma"/>
            <family val="2"/>
          </rPr>
          <t>redone oct. 2000
Associate's degrees ONLY</t>
        </r>
      </text>
    </comment>
    <comment ref="J3" authorId="0" shapeId="0" xr:uid="{00000000-0006-0000-0600-000007000000}">
      <text>
        <r>
          <rPr>
            <b/>
            <sz val="8"/>
            <color indexed="81"/>
            <rFont val="Tahoma"/>
            <family val="2"/>
          </rPr>
          <t>96-97 is Associate's degrees ONLY</t>
        </r>
      </text>
    </comment>
    <comment ref="K3" authorId="0" shapeId="0" xr:uid="{00000000-0006-0000-0600-000008000000}">
      <text>
        <r>
          <rPr>
            <b/>
            <sz val="8"/>
            <color indexed="81"/>
            <rFont val="Tahoma"/>
            <family val="2"/>
          </rPr>
          <t>Associate's degrees ONLY</t>
        </r>
      </text>
    </comment>
    <comment ref="S3" authorId="1" shapeId="0" xr:uid="{00000000-0006-0000-0600-000009000000}">
      <text>
        <r>
          <rPr>
            <b/>
            <sz val="8"/>
            <color indexed="81"/>
            <rFont val="Tahoma"/>
            <family val="2"/>
          </rPr>
          <t>Excludes online-only institutions identified in 2010-11.</t>
        </r>
      </text>
    </comment>
    <comment ref="V3" authorId="1" shapeId="0" xr:uid="{00000000-0006-0000-0600-00000A000000}">
      <text>
        <r>
          <rPr>
            <sz val="8"/>
            <color indexed="81"/>
            <rFont val="Tahoma"/>
            <family val="2"/>
          </rPr>
          <t xml:space="preserve">16 Associate's degrees were awarded by non-degree institutions and are excluded from this table. </t>
        </r>
      </text>
    </comment>
    <comment ref="X3" authorId="1" shapeId="0" xr:uid="{00000000-0006-0000-0600-00000B000000}">
      <text>
        <r>
          <rPr>
            <b/>
            <sz val="8"/>
            <color indexed="81"/>
            <rFont val="Tahoma"/>
            <family val="2"/>
          </rPr>
          <t>Excludes online-only institutions identified in 2010-11.</t>
        </r>
      </text>
    </comment>
    <comment ref="AE3" authorId="0" shapeId="0" xr:uid="{00000000-0006-0000-0600-00000C000000}">
      <text>
        <r>
          <rPr>
            <b/>
            <sz val="8"/>
            <color indexed="81"/>
            <rFont val="Tahoma"/>
            <family val="2"/>
          </rPr>
          <t>redone 8/2000
Associate's degrees ONLY</t>
        </r>
      </text>
    </comment>
    <comment ref="AH3" authorId="0" shapeId="0" xr:uid="{00000000-0006-0000-0600-00000D000000}">
      <text>
        <r>
          <rPr>
            <b/>
            <sz val="8"/>
            <color indexed="81"/>
            <rFont val="Tahoma"/>
            <family val="2"/>
          </rPr>
          <t>redone 8/2000
Associate's degrees ONLY</t>
        </r>
      </text>
    </comment>
    <comment ref="AI3" authorId="0" shapeId="0" xr:uid="{00000000-0006-0000-0600-00000E000000}">
      <text>
        <r>
          <rPr>
            <b/>
            <sz val="8"/>
            <color indexed="81"/>
            <rFont val="Tahoma"/>
            <family val="2"/>
          </rPr>
          <t>redone sept. 2000
Associate's degrees ONLY</t>
        </r>
      </text>
    </comment>
    <comment ref="AJ3" authorId="0" shapeId="0" xr:uid="{00000000-0006-0000-0600-00000F000000}">
      <text>
        <r>
          <rPr>
            <b/>
            <sz val="8"/>
            <color indexed="81"/>
            <rFont val="Tahoma"/>
            <family val="2"/>
          </rPr>
          <t>redone oct. 2000
Associate's degrees ONLY</t>
        </r>
      </text>
    </comment>
    <comment ref="AK3" authorId="0" shapeId="0" xr:uid="{00000000-0006-0000-0600-000010000000}">
      <text>
        <r>
          <rPr>
            <b/>
            <sz val="8"/>
            <color indexed="81"/>
            <rFont val="Tahoma"/>
            <family val="2"/>
          </rPr>
          <t>redone oct. 2000
Associate's degrees ONLY</t>
        </r>
      </text>
    </comment>
    <comment ref="AL3" authorId="0" shapeId="0" xr:uid="{00000000-0006-0000-0600-000011000000}">
      <text>
        <r>
          <rPr>
            <b/>
            <sz val="8"/>
            <color indexed="81"/>
            <rFont val="Tahoma"/>
            <family val="2"/>
          </rPr>
          <t>redone oct. 2000
Associate's degrees ONLY</t>
        </r>
      </text>
    </comment>
    <comment ref="AM3" authorId="0" shapeId="0" xr:uid="{00000000-0006-0000-0600-000012000000}">
      <text>
        <r>
          <rPr>
            <b/>
            <sz val="8"/>
            <color indexed="81"/>
            <rFont val="Tahoma"/>
            <family val="2"/>
          </rPr>
          <t>96-97 is Associate's degrees ONLY</t>
        </r>
      </text>
    </comment>
    <comment ref="AN3" authorId="0" shapeId="0" xr:uid="{00000000-0006-0000-0600-000013000000}">
      <text>
        <r>
          <rPr>
            <b/>
            <sz val="8"/>
            <color indexed="81"/>
            <rFont val="Tahoma"/>
            <family val="2"/>
          </rPr>
          <t>Associate's degrees ONLY</t>
        </r>
      </text>
    </comment>
    <comment ref="AV3" authorId="1" shapeId="0" xr:uid="{00000000-0006-0000-0600-000014000000}">
      <text>
        <r>
          <rPr>
            <b/>
            <sz val="8"/>
            <color indexed="81"/>
            <rFont val="Tahoma"/>
            <family val="2"/>
          </rPr>
          <t>Excludes online-only institutions identified in 2010-11.</t>
        </r>
      </text>
    </comment>
    <comment ref="AY3" authorId="1" shapeId="0" xr:uid="{00000000-0006-0000-0600-000015000000}">
      <text>
        <r>
          <rPr>
            <sz val="8"/>
            <color indexed="81"/>
            <rFont val="Tahoma"/>
            <family val="2"/>
          </rPr>
          <t xml:space="preserve">0 Associate's degrees were awarded by non-degree institutions and are excluded from this table. </t>
        </r>
      </text>
    </comment>
    <comment ref="BA3" authorId="1" shapeId="0" xr:uid="{00000000-0006-0000-0600-000016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<sst xmlns="http://schemas.openxmlformats.org/spreadsheetml/2006/main" count="3262" uniqueCount="233">
  <si>
    <t>1972-73</t>
  </si>
  <si>
    <t>1974-75</t>
  </si>
  <si>
    <t>1976-77</t>
  </si>
  <si>
    <t>1978-79</t>
  </si>
  <si>
    <t>1980-81</t>
  </si>
  <si>
    <t>1981-82</t>
  </si>
  <si>
    <t>1982-83</t>
  </si>
  <si>
    <t>1984-85</t>
  </si>
  <si>
    <t>1986-87</t>
  </si>
  <si>
    <t>1988-89</t>
  </si>
  <si>
    <t>1989-90</t>
  </si>
  <si>
    <t>1991-92</t>
  </si>
  <si>
    <t>1993-94</t>
  </si>
  <si>
    <t>SREB</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</si>
  <si>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</si>
  <si>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</si>
  <si>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</si>
  <si>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</si>
  <si>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</si>
  <si>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</si>
  <si>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</si>
  <si>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</si>
  <si>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</si>
  <si>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</si>
  <si>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</si>
  <si>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</si>
  <si>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</si>
  <si>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</si>
  <si>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</si>
  <si>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 xml:space="preserve">SOURCE: </t>
  </si>
  <si>
    <t>analysis of</t>
  </si>
  <si>
    <t>DEGA4.1+</t>
  </si>
  <si>
    <t>DEGA5.1+</t>
  </si>
  <si>
    <t>DEGA5.2</t>
  </si>
  <si>
    <t>COL 11</t>
  </si>
  <si>
    <t>DEGA4.2</t>
  </si>
  <si>
    <t>COL 12</t>
  </si>
  <si>
    <t>Tapes,</t>
  </si>
  <si>
    <t>set of</t>
  </si>
  <si>
    <t>COL 14</t>
  </si>
  <si>
    <t>COL 15</t>
  </si>
  <si>
    <t>completions</t>
  </si>
  <si>
    <t>Black</t>
  </si>
  <si>
    <t>1984-85.</t>
  </si>
  <si>
    <t>1988-89.</t>
  </si>
  <si>
    <t>1989-90.</t>
  </si>
  <si>
    <t>Total</t>
  </si>
  <si>
    <t>Men</t>
  </si>
  <si>
    <t>Women</t>
  </si>
  <si>
    <t>SREB states</t>
  </si>
  <si>
    <t>Delaware</t>
  </si>
  <si>
    <t>1995-96</t>
  </si>
  <si>
    <t>NA</t>
  </si>
  <si>
    <t>1969-70</t>
  </si>
  <si>
    <t>1970-71</t>
  </si>
  <si>
    <t>1971-72</t>
  </si>
  <si>
    <t>1973-74</t>
  </si>
  <si>
    <t>1975-76</t>
  </si>
  <si>
    <t>1977-78</t>
  </si>
  <si>
    <t>1979-80</t>
  </si>
  <si>
    <t>1983-84</t>
  </si>
  <si>
    <t>1985-86</t>
  </si>
  <si>
    <t>1987-88</t>
  </si>
  <si>
    <t>1990-91</t>
  </si>
  <si>
    <t>1992-93</t>
  </si>
  <si>
    <t>1994-95</t>
  </si>
  <si>
    <t>Washington</t>
  </si>
  <si>
    <t>U.S. Department of Education, National Center for Education Statistics,</t>
  </si>
  <si>
    <t>Washington D.C.: 1998.</t>
  </si>
  <si>
    <t>SOURCE: (For years 1969-70 to 1994-95)</t>
  </si>
  <si>
    <t>SREB States</t>
  </si>
  <si>
    <t>SOURCE:</t>
  </si>
  <si>
    <t>NCES</t>
  </si>
  <si>
    <t>Data</t>
  </si>
  <si>
    <t>table-</t>
  </si>
  <si>
    <t>Hispanic</t>
  </si>
  <si>
    <t>Black in pred. blk inst</t>
  </si>
  <si>
    <t>Black in hist. blk inst</t>
  </si>
  <si>
    <t>Non-Res Aliens</t>
  </si>
  <si>
    <t>1996-97</t>
  </si>
  <si>
    <t>U.S. Dept.</t>
  </si>
  <si>
    <t>of Education,</t>
  </si>
  <si>
    <t>National</t>
  </si>
  <si>
    <t>Center for</t>
  </si>
  <si>
    <t>Education</t>
  </si>
  <si>
    <t>Statistics,</t>
  </si>
  <si>
    <t>Digest of</t>
  </si>
  <si>
    <t>Statistics</t>
  </si>
  <si>
    <t xml:space="preserve">1999, </t>
  </si>
  <si>
    <t>D.C. : 2000.</t>
  </si>
  <si>
    <t>Table 251,</t>
  </si>
  <si>
    <t>pp. 288,</t>
  </si>
  <si>
    <t>Table 250,</t>
  </si>
  <si>
    <t>pp. 287,</t>
  </si>
  <si>
    <t>State</t>
  </si>
  <si>
    <t>Comparisons</t>
  </si>
  <si>
    <t>Statistics:</t>
  </si>
  <si>
    <t>1969-70 to</t>
  </si>
  <si>
    <t>1994-95,</t>
  </si>
  <si>
    <t>Table 63,</t>
  </si>
  <si>
    <t>pp. 170,</t>
  </si>
  <si>
    <t>D.C. : 1998.</t>
  </si>
  <si>
    <t xml:space="preserve">1998, </t>
  </si>
  <si>
    <t>Table 245,</t>
  </si>
  <si>
    <t>pp. 277,</t>
  </si>
  <si>
    <t>D.C. : 1999.</t>
  </si>
  <si>
    <t>Percent of Total</t>
  </si>
  <si>
    <t>Black in PBI or HBI</t>
  </si>
  <si>
    <t>1997-98</t>
  </si>
  <si>
    <t xml:space="preserve"> </t>
  </si>
  <si>
    <t>Women as a percent of total</t>
  </si>
  <si>
    <t>Public Colleges</t>
  </si>
  <si>
    <t>Alaska</t>
  </si>
  <si>
    <t>Arizona</t>
  </si>
  <si>
    <t>California</t>
  </si>
  <si>
    <t>Colorado</t>
  </si>
  <si>
    <t>Connecticut</t>
  </si>
  <si>
    <t>Hawaii</t>
  </si>
  <si>
    <t>Iowa</t>
  </si>
  <si>
    <t>Idaho</t>
  </si>
  <si>
    <t>Illinois</t>
  </si>
  <si>
    <t>Indiana</t>
  </si>
  <si>
    <t>Kansas</t>
  </si>
  <si>
    <t>Massachusetts</t>
  </si>
  <si>
    <t>Maine</t>
  </si>
  <si>
    <t>Michigan</t>
  </si>
  <si>
    <t>Minnesota</t>
  </si>
  <si>
    <t>Missouri</t>
  </si>
  <si>
    <t>Montana</t>
  </si>
  <si>
    <t>District of Columbia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</si>
  <si>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</si>
  <si>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</si>
  <si>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</si>
  <si>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</si>
  <si>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</si>
  <si>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</si>
  <si>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</si>
  <si>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</si>
  <si>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</si>
  <si>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</si>
  <si>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</si>
  <si>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</si>
  <si>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</si>
  <si>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</si>
  <si>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</si>
  <si>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</si>
  <si>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</si>
  <si>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</si>
  <si>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NCES, Digest 2001, T 249</t>
  </si>
  <si>
    <t>NCES, Digest 2001, T 248</t>
  </si>
  <si>
    <t xml:space="preserve">2000, </t>
  </si>
  <si>
    <t>Table 249,</t>
  </si>
  <si>
    <t>www.nces.ed.gov</t>
  </si>
  <si>
    <t>2001 ,</t>
  </si>
  <si>
    <t xml:space="preserve">2001, </t>
  </si>
  <si>
    <t>Foreign Students</t>
  </si>
  <si>
    <t>2002-03</t>
  </si>
  <si>
    <t xml:space="preserve">SREB analysis </t>
  </si>
  <si>
    <t>of National</t>
  </si>
  <si>
    <t>Center  for</t>
  </si>
  <si>
    <t xml:space="preserve">Statistics </t>
  </si>
  <si>
    <t xml:space="preserve">surveys of </t>
  </si>
  <si>
    <t>degrees and</t>
  </si>
  <si>
    <t>other awards</t>
  </si>
  <si>
    <t>conferred</t>
  </si>
  <si>
    <t>(www.nces.ed.gov/ipeds).</t>
  </si>
  <si>
    <t>Percent at</t>
  </si>
  <si>
    <t>Women Students</t>
  </si>
  <si>
    <t>2003-04</t>
  </si>
  <si>
    <t>2004-05</t>
  </si>
  <si>
    <t>2000-01</t>
  </si>
  <si>
    <t>2001-02</t>
  </si>
  <si>
    <t>Tom Mortenson and</t>
  </si>
  <si>
    <t>Nicole Brunt,</t>
  </si>
  <si>
    <t xml:space="preserve">spreadsheet on </t>
  </si>
  <si>
    <t>Degrees Conferred by Level</t>
  </si>
  <si>
    <t>of Degree, Gender and State</t>
  </si>
  <si>
    <t>1970 to 2006</t>
  </si>
  <si>
    <t xml:space="preserve"> April 2008</t>
  </si>
  <si>
    <t>www.postsecondary.org</t>
  </si>
  <si>
    <t>2005-06</t>
  </si>
  <si>
    <r>
      <t xml:space="preserve">State Comparisons of Education Statistics: 1969-70 to 1996-97, </t>
    </r>
    <r>
      <rPr>
        <sz val="10"/>
        <rFont val="Arial"/>
        <family val="2"/>
      </rPr>
      <t>Table 71, pp. 178-180.</t>
    </r>
  </si>
  <si>
    <t>2006-07</t>
  </si>
  <si>
    <t>Percent Change</t>
  </si>
  <si>
    <t>2007-08</t>
  </si>
  <si>
    <t>West</t>
  </si>
  <si>
    <t>Midwest</t>
  </si>
  <si>
    <t>Northeast</t>
  </si>
  <si>
    <t>50 States and D.C.</t>
  </si>
  <si>
    <t xml:space="preserve">   as a percent of U.S.</t>
  </si>
  <si>
    <t>2008-09</t>
  </si>
  <si>
    <t>IPEDS</t>
  </si>
  <si>
    <t>Completions</t>
  </si>
  <si>
    <t>C2009</t>
  </si>
  <si>
    <t>Survey Data</t>
  </si>
  <si>
    <r>
      <t>Black Students</t>
    </r>
    <r>
      <rPr>
        <vertAlign val="superscript"/>
        <sz val="10"/>
        <rFont val="Arial"/>
        <family val="2"/>
      </rPr>
      <t>2</t>
    </r>
  </si>
  <si>
    <r>
      <t>Hispanic Students</t>
    </r>
    <r>
      <rPr>
        <vertAlign val="superscript"/>
        <sz val="10"/>
        <rFont val="Arial"/>
        <family val="2"/>
      </rPr>
      <t>2</t>
    </r>
  </si>
  <si>
    <t>50 states and D.C.</t>
  </si>
  <si>
    <t>HBI</t>
  </si>
  <si>
    <t>PBI</t>
  </si>
  <si>
    <t>Hisp</t>
  </si>
  <si>
    <t>NRA</t>
  </si>
  <si>
    <t>*  SREB included Hispanics &amp; Non-Resident Aliens in an "Other" category until 1986-87.</t>
  </si>
  <si>
    <r>
      <t xml:space="preserve"> PBIs or HBIs</t>
    </r>
    <r>
      <rPr>
        <vertAlign val="superscript"/>
        <sz val="10"/>
        <color indexed="8"/>
        <rFont val="Arial"/>
        <family val="2"/>
      </rPr>
      <t>3</t>
    </r>
  </si>
  <si>
    <t>2009-10</t>
  </si>
  <si>
    <t>2010-11</t>
  </si>
  <si>
    <t>C2010</t>
  </si>
  <si>
    <t>C2011</t>
  </si>
  <si>
    <t>2011-12</t>
  </si>
  <si>
    <t>C2012</t>
  </si>
  <si>
    <t>2012-13</t>
  </si>
  <si>
    <t>C2013</t>
  </si>
  <si>
    <t>Source: SREB analysis of National Center for Education Statistics completions surveys — www.nces.ed.gov/ipeds.</t>
  </si>
  <si>
    <t>Percent of Total Associate Degrees Awarded</t>
  </si>
  <si>
    <r>
      <t>Associate Degrees Awarded by Public and Private Colleges and Universities</t>
    </r>
    <r>
      <rPr>
        <vertAlign val="superscript"/>
        <sz val="10"/>
        <rFont val="Arial"/>
        <family val="2"/>
      </rPr>
      <t>1</t>
    </r>
  </si>
  <si>
    <t>Total Associate Degrees awarded</t>
  </si>
  <si>
    <t>Associate Degrees awarded in PUBLIC Institutions</t>
  </si>
  <si>
    <t>Associate Degrees Awarded to Men and Women</t>
  </si>
  <si>
    <t>Associate Degrees Awarded All Races (does not include Non-Resident Aliens or Unknown)</t>
  </si>
  <si>
    <t>Associate Degrees Awarded to Black Students</t>
  </si>
  <si>
    <t>Associate Degrees Awarded</t>
  </si>
  <si>
    <t>2013-14</t>
  </si>
  <si>
    <t>2014-15</t>
  </si>
  <si>
    <t>C2015</t>
  </si>
  <si>
    <r>
      <t xml:space="preserve">2 </t>
    </r>
    <r>
      <rPr>
        <sz val="10"/>
        <color indexed="8"/>
        <rFont val="Arial"/>
        <family val="2"/>
      </rPr>
      <t xml:space="preserve">Calculated based on a total that excludes students whose race is unknown and students from foreign countries. </t>
    </r>
  </si>
  <si>
    <t>2015-16</t>
  </si>
  <si>
    <t>2016-17</t>
  </si>
  <si>
    <t>2011-12 to</t>
  </si>
  <si>
    <t xml:space="preserve">  Feb 2019</t>
  </si>
  <si>
    <t>"NA" indicates not applicable. There was no institution of this type in the state during the specified years.</t>
  </si>
  <si>
    <r>
      <t xml:space="preserve">3 </t>
    </r>
    <r>
      <rPr>
        <sz val="10"/>
        <rFont val="Arial"/>
        <family val="2"/>
      </rPr>
      <t>Predominantly black institutions (PBIs) are those in which black students account for more than 50 percent of total fall enrollment. Historically black college and universities (HBCUs) are those founded prior to 1964 as institutions for black students. While an institution's PBI status may change from year to year, HBCU status will not.</t>
    </r>
  </si>
  <si>
    <r>
      <t>1</t>
    </r>
    <r>
      <rPr>
        <sz val="10"/>
        <rFont val="Arial"/>
        <family val="2"/>
      </rPr>
      <t xml:space="preserve"> Table shows degrees (in the first major) awarded by all degree-granting institutions eligible for federal Title IV student financial aid in the 50 states and D.C., excluding service schools. </t>
    </r>
  </si>
  <si>
    <t>Table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</si>
</sst>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0.0\)"/>
    <numFmt numFmtId="165" formatCode="_(* #,##0_);_(* \(#,##0\);_(* &quot;-&quot;??_);_(@_)"/>
    <numFmt numFmtId="166" formatCode="0.0"/>
    <numFmt numFmtId="167" formatCode="#,##0.0"/>
  </numFmts>
  <fonts count="27">
    <font>
      <sz val="10"/>
      <name val="Helv"/>
    </font>
    <font>
      <sz val="10"/>
      <name val="AGaramond"/>
      <family val="3"/>
    </font>
    <font>
      <sz val="10"/>
      <name val="Arial"/>
      <family val="2"/>
    </font>
    <font>
      <i/>
      <sz val="10"/>
      <name val="Arial"/>
      <family val="2"/>
    </font>
    <font>
      <vertAlign val="superscript"/>
      <sz val="10"/>
      <name val="Arial"/>
      <family val="2"/>
    </font>
    <font>
      <b/>
      <sz val="10"/>
      <name val="Arial"/>
      <family val="2"/>
    </font>
    <font>
      <b/>
      <sz val="8"/>
      <color indexed="81"/>
      <name val="Tahoma"/>
      <family val="2"/>
    </font>
    <font>
      <sz val="10"/>
      <color indexed="8"/>
      <name val="Arial"/>
      <family val="2"/>
    </font>
    <font>
      <sz val="8"/>
      <name val="Arial"/>
      <family val="2"/>
    </font>
    <font>
      <i/>
      <sz val="8"/>
      <name val="Arial"/>
      <family val="2"/>
    </font>
    <font>
      <vertAlign val="superscript"/>
      <sz val="10"/>
      <color indexed="8"/>
      <name val="Arial"/>
      <family val="2"/>
    </font>
    <font>
      <sz val="8"/>
      <name val="Helv"/>
    </font>
    <font>
      <u/>
      <sz val="7.5"/>
      <color indexed="12"/>
      <name val="Helv"/>
    </font>
    <font>
      <sz val="10"/>
      <color indexed="12"/>
      <name val="Arial"/>
      <family val="2"/>
    </font>
    <font>
      <sz val="10"/>
      <name val="Arial"/>
      <family val="2"/>
    </font>
    <font>
      <sz val="10"/>
      <color indexed="81"/>
      <name val="Tahoma"/>
      <family val="2"/>
    </font>
    <font>
      <b/>
      <sz val="10"/>
      <color indexed="81"/>
      <name val="Tahoma"/>
      <family val="2"/>
    </font>
    <font>
      <u/>
      <sz val="10"/>
      <color indexed="12"/>
      <name val="Helv"/>
    </font>
    <font>
      <sz val="10"/>
      <name val="Helv"/>
    </font>
    <font>
      <sz val="10"/>
      <color rgb="FF0000FF"/>
      <name val="Arial"/>
      <family val="2"/>
    </font>
    <font>
      <sz val="8"/>
      <color indexed="81"/>
      <name val="Tahoma"/>
      <family val="2"/>
    </font>
    <font>
      <sz val="10"/>
      <color rgb="FFFF0000"/>
      <name val="Arial"/>
      <family val="2"/>
    </font>
    <font>
      <b/>
      <sz val="10"/>
      <color rgb="FFFF0000"/>
      <name val="Arial"/>
      <family val="2"/>
    </font>
    <font>
      <b/>
      <sz val="10"/>
      <color theme="0" tint="-0.34998626667073579"/>
      <name val="Arial"/>
      <family val="2"/>
    </font>
    <font>
      <b/>
      <sz val="14"/>
      <name val="Arial"/>
      <family val="2"/>
    </font>
    <font>
      <b/>
      <sz val="12"/>
      <name val="Arial"/>
      <family val="2"/>
    </font>
    <font>
      <sz val="10"/>
      <color theme="1"/>
      <name val="Arial"/>
      <family val="2"/>
    </font>
  </fonts>
  <fills count="6">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rgb="FF92D050"/>
        <bgColor indexed="64"/>
      </patternFill>
    </fill>
  </fills>
  <borders count="34">
    <border>
      <left/>
      <right/>
      <top/>
      <bottom/>
      <diagonal/>
    </border>
    <border>
      <left/>
      <right/>
      <top style="thin">
        <color indexed="8"/>
      </top>
      <bottom style="thin">
        <color indexed="8"/>
      </bottom>
      <diagonal/>
    </border>
    <border>
      <left/>
      <right/>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double">
        <color indexed="64"/>
      </left>
      <right/>
      <top/>
      <bottom/>
      <diagonal/>
    </border>
    <border>
      <left style="double">
        <color indexed="64"/>
      </left>
      <right/>
      <top style="thin">
        <color indexed="8"/>
      </top>
      <bottom style="thin">
        <color indexed="8"/>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s>
  <cellStyleXfs count="7">
    <xf numFmtId="37"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8" fillId="0" borderId="0">
      <alignment horizontal="left" wrapText="1"/>
    </xf>
    <xf numFmtId="0" fontId="2" fillId="0" borderId="0"/>
    <xf numFmtId="43" fontId="1" fillId="0" borderId="0" applyFont="0" applyFill="0" applyBorder="0" applyAlignment="0" applyProtection="0"/>
  </cellStyleXfs>
  <cellXfs count="212">
    <xf numFmtId="37" fontId="0" fillId="0" borderId="0" xfId="0"/>
    <xf numFmtId="37" fontId="2" fillId="0" borderId="0" xfId="0" applyFont="1"/>
    <xf numFmtId="37" fontId="2" fillId="0" borderId="0" xfId="0" applyFont="1" applyAlignment="1">
      <alignment horizontal="left"/>
    </xf>
    <xf numFmtId="37" fontId="2" fillId="0" borderId="0" xfId="0" applyFont="1" applyAlignment="1">
      <alignment horizontal="right"/>
    </xf>
    <xf numFmtId="37" fontId="5" fillId="0" borderId="0" xfId="0" applyFont="1"/>
    <xf numFmtId="37" fontId="2" fillId="0" borderId="4" xfId="0" applyFont="1" applyBorder="1"/>
    <xf numFmtId="3" fontId="2" fillId="0" borderId="0" xfId="0" applyNumberFormat="1" applyFont="1"/>
    <xf numFmtId="3" fontId="2" fillId="0" borderId="4" xfId="0" applyNumberFormat="1" applyFont="1" applyBorder="1"/>
    <xf numFmtId="37" fontId="2" fillId="0" borderId="6" xfId="0" applyFont="1" applyBorder="1"/>
    <xf numFmtId="37" fontId="2" fillId="0" borderId="0" xfId="0" applyFont="1" applyAlignment="1">
      <alignment horizontal="centerContinuous"/>
    </xf>
    <xf numFmtId="37" fontId="2" fillId="0" borderId="7" xfId="0" applyFont="1" applyBorder="1"/>
    <xf numFmtId="37" fontId="2" fillId="0" borderId="10" xfId="0" applyFont="1" applyBorder="1"/>
    <xf numFmtId="37" fontId="3" fillId="0" borderId="0" xfId="0" applyFont="1"/>
    <xf numFmtId="37" fontId="8" fillId="0" borderId="0" xfId="0" applyFont="1" applyAlignment="1">
      <alignment horizontal="left"/>
    </xf>
    <xf numFmtId="37" fontId="9" fillId="0" borderId="0" xfId="0" applyFont="1"/>
    <xf numFmtId="37" fontId="8" fillId="0" borderId="0" xfId="0" applyFont="1"/>
    <xf numFmtId="37" fontId="2" fillId="0" borderId="0" xfId="0" applyFont="1" applyAlignment="1">
      <alignment horizontal="center"/>
    </xf>
    <xf numFmtId="37" fontId="12" fillId="0" borderId="0" xfId="2" applyNumberFormat="1" applyAlignment="1" applyProtection="1"/>
    <xf numFmtId="37" fontId="2" fillId="0" borderId="11" xfId="0" applyFont="1" applyBorder="1"/>
    <xf numFmtId="164" fontId="13" fillId="2" borderId="0" xfId="0" applyNumberFormat="1" applyFont="1" applyFill="1"/>
    <xf numFmtId="37" fontId="2" fillId="0" borderId="13" xfId="0" applyFont="1" applyBorder="1" applyAlignment="1">
      <alignment horizontal="centerContinuous"/>
    </xf>
    <xf numFmtId="37" fontId="2" fillId="0" borderId="2" xfId="0" applyFont="1" applyBorder="1" applyAlignment="1">
      <alignment horizontal="center"/>
    </xf>
    <xf numFmtId="37" fontId="2" fillId="0" borderId="1" xfId="0" applyFont="1" applyBorder="1" applyAlignment="1">
      <alignment horizontal="centerContinuous"/>
    </xf>
    <xf numFmtId="37" fontId="2" fillId="0" borderId="14" xfId="0" applyFont="1" applyBorder="1" applyAlignment="1">
      <alignment horizontal="centerContinuous"/>
    </xf>
    <xf numFmtId="37" fontId="2" fillId="0" borderId="15" xfId="0" applyFont="1" applyBorder="1" applyAlignment="1">
      <alignment horizontal="center" wrapText="1"/>
    </xf>
    <xf numFmtId="37" fontId="2" fillId="0" borderId="16" xfId="0" applyFont="1" applyBorder="1" applyAlignment="1">
      <alignment horizontal="centerContinuous"/>
    </xf>
    <xf numFmtId="37" fontId="2" fillId="0" borderId="2" xfId="0" applyFont="1" applyBorder="1" applyAlignment="1">
      <alignment horizontal="centerContinuous"/>
    </xf>
    <xf numFmtId="37" fontId="7" fillId="0" borderId="2" xfId="0" quotePrefix="1" applyFont="1" applyBorder="1" applyAlignment="1">
      <alignment horizontal="centerContinuous"/>
    </xf>
    <xf numFmtId="37" fontId="7" fillId="0" borderId="17" xfId="0" quotePrefix="1" applyFont="1" applyBorder="1" applyAlignment="1">
      <alignment horizontal="centerContinuous"/>
    </xf>
    <xf numFmtId="39" fontId="2" fillId="0" borderId="0" xfId="0" applyNumberFormat="1" applyFont="1"/>
    <xf numFmtId="165" fontId="14" fillId="0" borderId="0" xfId="0" applyNumberFormat="1" applyFont="1"/>
    <xf numFmtId="165" fontId="2" fillId="0" borderId="0" xfId="1" applyNumberFormat="1" applyFont="1" applyAlignment="1">
      <alignment horizontal="right"/>
    </xf>
    <xf numFmtId="37" fontId="5" fillId="0" borderId="0" xfId="0" applyFont="1" applyAlignment="1">
      <alignment horizontal="left"/>
    </xf>
    <xf numFmtId="165" fontId="8" fillId="0" borderId="0" xfId="1" applyNumberFormat="1" applyFont="1" applyAlignment="1">
      <alignment horizontal="left"/>
    </xf>
    <xf numFmtId="165" fontId="12" fillId="0" borderId="0" xfId="1" applyNumberFormat="1" applyFont="1" applyAlignment="1">
      <alignment horizontal="left"/>
    </xf>
    <xf numFmtId="37" fontId="17" fillId="0" borderId="0" xfId="2" applyNumberFormat="1" applyFont="1" applyAlignment="1" applyProtection="1"/>
    <xf numFmtId="9" fontId="2" fillId="0" borderId="0" xfId="3" applyFont="1"/>
    <xf numFmtId="37" fontId="2" fillId="0" borderId="19" xfId="0" applyFont="1" applyBorder="1"/>
    <xf numFmtId="3" fontId="2" fillId="3" borderId="0" xfId="4" applyNumberFormat="1" applyFont="1" applyFill="1" applyAlignment="1"/>
    <xf numFmtId="3" fontId="2" fillId="0" borderId="0" xfId="4" applyNumberFormat="1" applyFont="1" applyAlignment="1"/>
    <xf numFmtId="3" fontId="2" fillId="0" borderId="4" xfId="4" applyNumberFormat="1" applyFont="1" applyBorder="1" applyAlignment="1"/>
    <xf numFmtId="3" fontId="2" fillId="3" borderId="4" xfId="4" applyNumberFormat="1" applyFont="1" applyFill="1" applyBorder="1" applyAlignment="1"/>
    <xf numFmtId="3" fontId="2" fillId="0" borderId="10" xfId="4" applyNumberFormat="1" applyFont="1" applyBorder="1" applyAlignment="1"/>
    <xf numFmtId="3" fontId="2" fillId="3" borderId="6" xfId="4" applyNumberFormat="1" applyFont="1" applyFill="1" applyBorder="1" applyAlignment="1"/>
    <xf numFmtId="0" fontId="2" fillId="0" borderId="0" xfId="5"/>
    <xf numFmtId="37" fontId="2" fillId="0" borderId="6" xfId="4" applyNumberFormat="1" applyFont="1" applyBorder="1" applyAlignment="1"/>
    <xf numFmtId="37" fontId="2" fillId="0" borderId="0" xfId="4" applyNumberFormat="1" applyFont="1" applyAlignment="1"/>
    <xf numFmtId="166" fontId="2" fillId="0" borderId="0" xfId="4" applyNumberFormat="1" applyFont="1" applyAlignment="1"/>
    <xf numFmtId="37" fontId="2" fillId="0" borderId="4" xfId="4" applyNumberFormat="1" applyFont="1" applyBorder="1" applyAlignment="1"/>
    <xf numFmtId="0" fontId="2" fillId="0" borderId="6" xfId="4" applyFont="1" applyBorder="1" applyAlignment="1"/>
    <xf numFmtId="3" fontId="2" fillId="0" borderId="6" xfId="0" applyNumberFormat="1" applyFont="1" applyBorder="1"/>
    <xf numFmtId="3" fontId="19" fillId="0" borderId="6" xfId="0" applyNumberFormat="1" applyFont="1" applyBorder="1"/>
    <xf numFmtId="3" fontId="19" fillId="0" borderId="0" xfId="0" applyNumberFormat="1" applyFont="1"/>
    <xf numFmtId="166" fontId="19" fillId="0" borderId="0" xfId="0" applyNumberFormat="1" applyFont="1"/>
    <xf numFmtId="37" fontId="5" fillId="0" borderId="6" xfId="0" applyFont="1" applyBorder="1"/>
    <xf numFmtId="37" fontId="5" fillId="0" borderId="6" xfId="0" applyFont="1" applyBorder="1" applyAlignment="1">
      <alignment horizontal="right"/>
    </xf>
    <xf numFmtId="3" fontId="19" fillId="0" borderId="6" xfId="4" applyNumberFormat="1" applyFont="1" applyBorder="1" applyAlignment="1"/>
    <xf numFmtId="3" fontId="19" fillId="0" borderId="0" xfId="6" applyNumberFormat="1" applyFont="1"/>
    <xf numFmtId="166" fontId="19" fillId="0" borderId="0" xfId="4" applyNumberFormat="1" applyFont="1" applyAlignment="1"/>
    <xf numFmtId="3" fontId="19" fillId="0" borderId="10" xfId="6" applyNumberFormat="1" applyFont="1" applyBorder="1"/>
    <xf numFmtId="3" fontId="2" fillId="0" borderId="4" xfId="4" applyNumberFormat="1" applyFont="1" applyBorder="1" applyAlignment="1">
      <alignment horizontal="right"/>
    </xf>
    <xf numFmtId="3" fontId="2" fillId="0" borderId="0" xfId="4" applyNumberFormat="1" applyFont="1" applyAlignment="1">
      <alignment horizontal="right"/>
    </xf>
    <xf numFmtId="3" fontId="2" fillId="3" borderId="0" xfId="4" applyNumberFormat="1" applyFont="1" applyFill="1" applyAlignment="1">
      <alignment horizontal="right"/>
    </xf>
    <xf numFmtId="3" fontId="2" fillId="3" borderId="4" xfId="4" applyNumberFormat="1" applyFont="1" applyFill="1" applyBorder="1" applyAlignment="1">
      <alignment horizontal="right"/>
    </xf>
    <xf numFmtId="37" fontId="2" fillId="0" borderId="0" xfId="5" applyNumberFormat="1"/>
    <xf numFmtId="3" fontId="2" fillId="0" borderId="6" xfId="6" applyNumberFormat="1" applyFont="1" applyBorder="1"/>
    <xf numFmtId="3" fontId="19" fillId="0" borderId="4" xfId="0" applyNumberFormat="1" applyFont="1" applyBorder="1"/>
    <xf numFmtId="37" fontId="2" fillId="0" borderId="4" xfId="5" applyNumberFormat="1" applyBorder="1"/>
    <xf numFmtId="3" fontId="2" fillId="0" borderId="0" xfId="1" applyNumberFormat="1" applyFont="1" applyAlignment="1">
      <alignment horizontal="right"/>
    </xf>
    <xf numFmtId="3" fontId="2" fillId="0" borderId="7" xfId="1" applyNumberFormat="1" applyFont="1" applyBorder="1" applyAlignment="1">
      <alignment horizontal="right"/>
    </xf>
    <xf numFmtId="3" fontId="5" fillId="0" borderId="0" xfId="0" applyNumberFormat="1" applyFont="1" applyAlignment="1">
      <alignment horizontal="left"/>
    </xf>
    <xf numFmtId="3" fontId="2" fillId="0" borderId="0" xfId="0" applyNumberFormat="1" applyFont="1" applyAlignment="1">
      <alignment horizontal="fill"/>
    </xf>
    <xf numFmtId="3" fontId="2" fillId="0" borderId="0" xfId="0" applyNumberFormat="1" applyFont="1" applyAlignment="1">
      <alignment horizontal="right"/>
    </xf>
    <xf numFmtId="3" fontId="2" fillId="0" borderId="0" xfId="0" applyNumberFormat="1" applyFont="1" applyAlignment="1">
      <alignment horizontal="left"/>
    </xf>
    <xf numFmtId="3" fontId="2" fillId="0" borderId="0" xfId="0" applyNumberFormat="1" applyFont="1" applyAlignment="1">
      <alignment horizontal="centerContinuous"/>
    </xf>
    <xf numFmtId="37" fontId="5" fillId="0" borderId="1" xfId="0" applyFont="1" applyBorder="1"/>
    <xf numFmtId="3" fontId="5" fillId="0" borderId="1" xfId="0" applyNumberFormat="1" applyFont="1" applyBorder="1" applyAlignment="1">
      <alignment horizontal="right"/>
    </xf>
    <xf numFmtId="3" fontId="5" fillId="0" borderId="6" xfId="0" applyNumberFormat="1" applyFont="1" applyBorder="1" applyAlignment="1">
      <alignment horizontal="right"/>
    </xf>
    <xf numFmtId="3" fontId="2" fillId="0" borderId="6" xfId="0" applyNumberFormat="1" applyFont="1" applyBorder="1" applyAlignment="1">
      <alignment horizontal="right"/>
    </xf>
    <xf numFmtId="3" fontId="2" fillId="0" borderId="4" xfId="0" applyNumberFormat="1" applyFont="1" applyBorder="1" applyAlignment="1">
      <alignment horizontal="right"/>
    </xf>
    <xf numFmtId="3" fontId="19" fillId="0" borderId="21" xfId="4" applyNumberFormat="1" applyFont="1" applyBorder="1" applyAlignment="1"/>
    <xf numFmtId="3" fontId="19" fillId="0" borderId="12" xfId="6" applyNumberFormat="1" applyFont="1" applyBorder="1"/>
    <xf numFmtId="166" fontId="19" fillId="0" borderId="7" xfId="4" applyNumberFormat="1" applyFont="1" applyBorder="1" applyAlignment="1"/>
    <xf numFmtId="3" fontId="2" fillId="0" borderId="21" xfId="6" applyNumberFormat="1" applyFont="1" applyBorder="1"/>
    <xf numFmtId="37" fontId="2" fillId="0" borderId="22" xfId="0" applyFont="1" applyBorder="1"/>
    <xf numFmtId="37" fontId="5" fillId="0" borderId="22" xfId="0" applyFont="1" applyBorder="1" applyAlignment="1">
      <alignment horizontal="center"/>
    </xf>
    <xf numFmtId="3" fontId="19" fillId="0" borderId="24" xfId="4" applyNumberFormat="1" applyFont="1" applyBorder="1" applyAlignment="1"/>
    <xf numFmtId="3" fontId="19" fillId="0" borderId="25" xfId="6" applyNumberFormat="1" applyFont="1" applyBorder="1"/>
    <xf numFmtId="166" fontId="19" fillId="0" borderId="22" xfId="4" applyNumberFormat="1" applyFont="1" applyBorder="1" applyAlignment="1"/>
    <xf numFmtId="3" fontId="2" fillId="0" borderId="22" xfId="1" applyNumberFormat="1" applyFont="1" applyBorder="1" applyAlignment="1">
      <alignment horizontal="right"/>
    </xf>
    <xf numFmtId="3" fontId="2" fillId="0" borderId="24" xfId="6" applyNumberFormat="1" applyFont="1" applyBorder="1"/>
    <xf numFmtId="3" fontId="5" fillId="0" borderId="8" xfId="0" applyNumberFormat="1" applyFont="1" applyBorder="1" applyAlignment="1">
      <alignment horizontal="right"/>
    </xf>
    <xf numFmtId="3" fontId="19" fillId="0" borderId="11" xfId="0" applyNumberFormat="1" applyFont="1" applyBorder="1"/>
    <xf numFmtId="3" fontId="19" fillId="0" borderId="7" xfId="0" applyNumberFormat="1" applyFont="1" applyBorder="1"/>
    <xf numFmtId="3" fontId="2" fillId="0" borderId="7" xfId="0" applyNumberFormat="1" applyFont="1" applyBorder="1"/>
    <xf numFmtId="3" fontId="2" fillId="0" borderId="11" xfId="0" applyNumberFormat="1" applyFont="1" applyBorder="1"/>
    <xf numFmtId="3" fontId="2" fillId="0" borderId="7" xfId="0" applyNumberFormat="1" applyFont="1" applyBorder="1" applyAlignment="1">
      <alignment horizontal="left"/>
    </xf>
    <xf numFmtId="3" fontId="2" fillId="0" borderId="21" xfId="0" applyNumberFormat="1" applyFont="1" applyBorder="1"/>
    <xf numFmtId="37" fontId="5" fillId="0" borderId="7" xfId="0" applyFont="1" applyBorder="1"/>
    <xf numFmtId="37" fontId="5" fillId="0" borderId="9" xfId="0" applyFont="1" applyBorder="1" applyAlignment="1">
      <alignment horizontal="center"/>
    </xf>
    <xf numFmtId="3" fontId="2" fillId="0" borderId="7" xfId="1" applyNumberFormat="1" applyFont="1" applyBorder="1"/>
    <xf numFmtId="37" fontId="5" fillId="0" borderId="21" xfId="0" applyFont="1" applyBorder="1" applyAlignment="1">
      <alignment horizontal="right"/>
    </xf>
    <xf numFmtId="3" fontId="19" fillId="0" borderId="7" xfId="6" applyNumberFormat="1" applyFont="1" applyBorder="1"/>
    <xf numFmtId="37" fontId="2" fillId="0" borderId="21" xfId="0" applyFont="1" applyBorder="1"/>
    <xf numFmtId="3" fontId="19" fillId="0" borderId="21" xfId="0" applyNumberFormat="1" applyFont="1" applyBorder="1"/>
    <xf numFmtId="166" fontId="19" fillId="0" borderId="7" xfId="0" applyNumberFormat="1" applyFont="1" applyBorder="1"/>
    <xf numFmtId="37" fontId="5" fillId="0" borderId="8" xfId="0" applyFont="1" applyBorder="1" applyAlignment="1">
      <alignment horizontal="right"/>
    </xf>
    <xf numFmtId="37" fontId="5" fillId="0" borderId="1" xfId="0" applyFont="1" applyBorder="1" applyAlignment="1">
      <alignment horizontal="right"/>
    </xf>
    <xf numFmtId="37" fontId="5" fillId="0" borderId="23" xfId="0" applyFont="1" applyBorder="1" applyAlignment="1">
      <alignment horizontal="right"/>
    </xf>
    <xf numFmtId="3" fontId="2" fillId="0" borderId="0" xfId="6" applyNumberFormat="1" applyFont="1"/>
    <xf numFmtId="3" fontId="2" fillId="0" borderId="4" xfId="6" applyNumberFormat="1" applyFont="1" applyBorder="1"/>
    <xf numFmtId="37" fontId="19" fillId="0" borderId="0" xfId="4" applyNumberFormat="1" applyFont="1" applyAlignment="1"/>
    <xf numFmtId="37" fontId="19" fillId="0" borderId="0" xfId="0" applyFont="1"/>
    <xf numFmtId="37" fontId="19" fillId="0" borderId="6" xfId="4" applyNumberFormat="1" applyFont="1" applyBorder="1" applyAlignment="1"/>
    <xf numFmtId="37" fontId="5" fillId="0" borderId="28" xfId="0" applyFont="1" applyBorder="1" applyAlignment="1">
      <alignment horizontal="center"/>
    </xf>
    <xf numFmtId="3" fontId="19" fillId="0" borderId="30" xfId="4" applyNumberFormat="1" applyFont="1" applyBorder="1" applyAlignment="1"/>
    <xf numFmtId="3" fontId="19" fillId="0" borderId="31" xfId="6" applyNumberFormat="1" applyFont="1" applyBorder="1"/>
    <xf numFmtId="166" fontId="19" fillId="0" borderId="26" xfId="4" applyNumberFormat="1" applyFont="1" applyBorder="1" applyAlignment="1"/>
    <xf numFmtId="3" fontId="2" fillId="0" borderId="26" xfId="6" applyNumberFormat="1" applyFont="1" applyBorder="1"/>
    <xf numFmtId="3" fontId="2" fillId="0" borderId="27" xfId="6" applyNumberFormat="1" applyFont="1" applyBorder="1"/>
    <xf numFmtId="3" fontId="2" fillId="0" borderId="30" xfId="6" applyNumberFormat="1" applyFont="1" applyBorder="1"/>
    <xf numFmtId="3" fontId="2" fillId="0" borderId="6" xfId="4" applyNumberFormat="1" applyFont="1" applyBorder="1" applyAlignment="1">
      <alignment horizontal="right"/>
    </xf>
    <xf numFmtId="3" fontId="19" fillId="0" borderId="0" xfId="4" applyNumberFormat="1" applyFont="1" applyAlignment="1"/>
    <xf numFmtId="165" fontId="2" fillId="0" borderId="0" xfId="1" applyNumberFormat="1" applyFont="1" applyAlignment="1">
      <alignment horizontal="left"/>
    </xf>
    <xf numFmtId="3" fontId="14" fillId="0" borderId="0" xfId="0" applyNumberFormat="1" applyFont="1"/>
    <xf numFmtId="3" fontId="14" fillId="0" borderId="4" xfId="0" applyNumberFormat="1" applyFont="1" applyBorder="1"/>
    <xf numFmtId="3" fontId="2" fillId="0" borderId="6" xfId="4" applyNumberFormat="1" applyFont="1" applyBorder="1" applyAlignment="1"/>
    <xf numFmtId="3" fontId="14" fillId="0" borderId="6" xfId="0" applyNumberFormat="1" applyFont="1" applyBorder="1"/>
    <xf numFmtId="166" fontId="2" fillId="0" borderId="0" xfId="0" applyNumberFormat="1" applyFont="1" applyAlignment="1">
      <alignment horizontal="right"/>
    </xf>
    <xf numFmtId="166" fontId="2" fillId="3" borderId="0" xfId="4" applyNumberFormat="1" applyFont="1" applyFill="1" applyAlignment="1"/>
    <xf numFmtId="166" fontId="2" fillId="3" borderId="4" xfId="4" applyNumberFormat="1" applyFont="1" applyFill="1" applyBorder="1" applyAlignment="1"/>
    <xf numFmtId="166" fontId="2" fillId="0" borderId="4" xfId="4" applyNumberFormat="1" applyFont="1" applyBorder="1" applyAlignment="1"/>
    <xf numFmtId="167" fontId="2" fillId="0" borderId="0" xfId="4" applyNumberFormat="1" applyFont="1" applyAlignment="1">
      <alignment horizontal="right"/>
    </xf>
    <xf numFmtId="167" fontId="2" fillId="0" borderId="0" xfId="0" quotePrefix="1" applyNumberFormat="1" applyFont="1" applyAlignment="1">
      <alignment horizontal="right"/>
    </xf>
    <xf numFmtId="166" fontId="2" fillId="0" borderId="4" xfId="0" applyNumberFormat="1" applyFont="1" applyBorder="1" applyAlignment="1">
      <alignment horizontal="right"/>
    </xf>
    <xf numFmtId="166" fontId="2" fillId="0" borderId="32" xfId="0" applyNumberFormat="1" applyFont="1" applyBorder="1" applyAlignment="1">
      <alignment horizontal="right"/>
    </xf>
    <xf numFmtId="166" fontId="2" fillId="0" borderId="5" xfId="0" applyNumberFormat="1" applyFont="1" applyBorder="1" applyAlignment="1">
      <alignment horizontal="right"/>
    </xf>
    <xf numFmtId="166" fontId="2" fillId="0" borderId="5" xfId="4" applyNumberFormat="1" applyFont="1" applyBorder="1" applyAlignment="1"/>
    <xf numFmtId="166" fontId="2" fillId="3" borderId="5" xfId="4" applyNumberFormat="1" applyFont="1" applyFill="1" applyBorder="1" applyAlignment="1"/>
    <xf numFmtId="166" fontId="2" fillId="3" borderId="3" xfId="4" applyNumberFormat="1" applyFont="1" applyFill="1" applyBorder="1" applyAlignment="1"/>
    <xf numFmtId="166" fontId="2" fillId="0" borderId="3" xfId="4" applyNumberFormat="1" applyFont="1" applyBorder="1" applyAlignment="1"/>
    <xf numFmtId="166" fontId="21" fillId="0" borderId="0" xfId="4" applyNumberFormat="1" applyFont="1" applyAlignment="1"/>
    <xf numFmtId="37" fontId="22" fillId="0" borderId="0" xfId="0" applyFont="1"/>
    <xf numFmtId="37" fontId="2" fillId="0" borderId="13" xfId="0" applyFont="1" applyBorder="1"/>
    <xf numFmtId="37" fontId="2" fillId="0" borderId="20" xfId="0" applyFont="1" applyBorder="1" applyAlignment="1">
      <alignment horizontal="centerContinuous"/>
    </xf>
    <xf numFmtId="37" fontId="2" fillId="0" borderId="5" xfId="0" applyFont="1" applyBorder="1"/>
    <xf numFmtId="166" fontId="2" fillId="0" borderId="3" xfId="0" applyNumberFormat="1" applyFont="1" applyBorder="1" applyAlignment="1">
      <alignment horizontal="right"/>
    </xf>
    <xf numFmtId="37" fontId="0" fillId="0" borderId="1" xfId="0" applyBorder="1" applyAlignment="1">
      <alignment horizontal="centerContinuous"/>
    </xf>
    <xf numFmtId="166" fontId="2" fillId="0" borderId="33" xfId="0" applyNumberFormat="1" applyFont="1" applyBorder="1" applyAlignment="1">
      <alignment horizontal="right"/>
    </xf>
    <xf numFmtId="166" fontId="2" fillId="3" borderId="5" xfId="4" applyNumberFormat="1" applyFont="1" applyFill="1" applyBorder="1" applyAlignment="1">
      <alignment horizontal="right"/>
    </xf>
    <xf numFmtId="166" fontId="2" fillId="3" borderId="3" xfId="4" applyNumberFormat="1" applyFont="1" applyFill="1" applyBorder="1" applyAlignment="1">
      <alignment horizontal="right"/>
    </xf>
    <xf numFmtId="37" fontId="2" fillId="0" borderId="0" xfId="0" applyFont="1" applyAlignment="1">
      <alignment vertical="top"/>
    </xf>
    <xf numFmtId="37" fontId="2" fillId="0" borderId="0" xfId="0" applyFont="1" applyAlignment="1">
      <alignment horizontal="right" vertical="top"/>
    </xf>
    <xf numFmtId="37" fontId="2" fillId="0" borderId="0" xfId="5" applyNumberFormat="1" applyAlignment="1">
      <alignment horizontal="left"/>
    </xf>
    <xf numFmtId="37" fontId="2" fillId="0" borderId="10" xfId="5" applyNumberFormat="1" applyBorder="1" applyAlignment="1">
      <alignment horizontal="left"/>
    </xf>
    <xf numFmtId="164" fontId="13" fillId="2" borderId="10" xfId="0" applyNumberFormat="1" applyFont="1" applyFill="1" applyBorder="1"/>
    <xf numFmtId="37" fontId="2" fillId="0" borderId="6" xfId="5" applyNumberFormat="1" applyBorder="1"/>
    <xf numFmtId="164" fontId="13" fillId="2" borderId="6" xfId="0" applyNumberFormat="1" applyFont="1" applyFill="1" applyBorder="1"/>
    <xf numFmtId="37" fontId="5" fillId="0" borderId="4" xfId="0" applyFont="1" applyBorder="1"/>
    <xf numFmtId="37" fontId="5" fillId="0" borderId="29" xfId="0" applyFont="1" applyBorder="1" applyAlignment="1">
      <alignment horizontal="right"/>
    </xf>
    <xf numFmtId="37" fontId="23" fillId="0" borderId="0" xfId="0" applyFont="1" applyAlignment="1">
      <alignment horizontal="center"/>
    </xf>
    <xf numFmtId="37" fontId="5" fillId="0" borderId="28" xfId="0" applyFont="1" applyBorder="1" applyAlignment="1">
      <alignment horizontal="right"/>
    </xf>
    <xf numFmtId="37" fontId="5" fillId="0" borderId="7" xfId="0" applyFont="1" applyBorder="1" applyAlignment="1">
      <alignment horizontal="left"/>
    </xf>
    <xf numFmtId="3" fontId="19" fillId="0" borderId="7" xfId="4" applyNumberFormat="1" applyFont="1" applyBorder="1" applyAlignment="1"/>
    <xf numFmtId="3" fontId="2" fillId="0" borderId="7" xfId="4" applyNumberFormat="1" applyFont="1" applyBorder="1" applyAlignment="1"/>
    <xf numFmtId="3" fontId="2" fillId="0" borderId="11" xfId="4" applyNumberFormat="1" applyFont="1" applyBorder="1" applyAlignment="1"/>
    <xf numFmtId="3" fontId="2" fillId="0" borderId="21" xfId="4" applyNumberFormat="1" applyFont="1" applyBorder="1" applyAlignment="1">
      <alignment horizontal="right"/>
    </xf>
    <xf numFmtId="37" fontId="2" fillId="4" borderId="0" xfId="0" applyFont="1" applyFill="1"/>
    <xf numFmtId="37" fontId="24" fillId="0" borderId="0" xfId="0" applyFont="1" applyAlignment="1">
      <alignment horizontal="centerContinuous" vertical="top"/>
    </xf>
    <xf numFmtId="37" fontId="25" fillId="0" borderId="0" xfId="0" applyFont="1" applyAlignment="1">
      <alignment horizontal="centerContinuous" vertical="top"/>
    </xf>
    <xf numFmtId="37" fontId="23" fillId="0" borderId="2" xfId="0" applyFont="1" applyBorder="1" applyAlignment="1">
      <alignment horizontal="right"/>
    </xf>
    <xf numFmtId="3" fontId="19" fillId="0" borderId="30" xfId="4" applyNumberFormat="1" applyFont="1" applyBorder="1" applyAlignment="1">
      <alignment horizontal="right"/>
    </xf>
    <xf numFmtId="3" fontId="19" fillId="0" borderId="6" xfId="4" applyNumberFormat="1" applyFont="1" applyBorder="1" applyAlignment="1">
      <alignment horizontal="right"/>
    </xf>
    <xf numFmtId="3" fontId="19" fillId="0" borderId="31" xfId="6" applyNumberFormat="1" applyFont="1" applyBorder="1" applyAlignment="1">
      <alignment horizontal="right"/>
    </xf>
    <xf numFmtId="3" fontId="19" fillId="0" borderId="10" xfId="6" applyNumberFormat="1" applyFont="1" applyBorder="1" applyAlignment="1">
      <alignment horizontal="right"/>
    </xf>
    <xf numFmtId="166" fontId="19" fillId="0" borderId="26" xfId="4" applyNumberFormat="1" applyFont="1" applyBorder="1" applyAlignment="1">
      <alignment horizontal="right"/>
    </xf>
    <xf numFmtId="166" fontId="19" fillId="0" borderId="0" xfId="4" applyNumberFormat="1" applyFont="1" applyAlignment="1">
      <alignment horizontal="right"/>
    </xf>
    <xf numFmtId="3" fontId="2" fillId="0" borderId="26" xfId="6" applyNumberFormat="1" applyFont="1" applyBorder="1" applyAlignment="1">
      <alignment horizontal="right"/>
    </xf>
    <xf numFmtId="3" fontId="2" fillId="0" borderId="0" xfId="6" applyNumberFormat="1" applyFont="1" applyAlignment="1">
      <alignment horizontal="right"/>
    </xf>
    <xf numFmtId="3" fontId="2" fillId="0" borderId="27" xfId="6" applyNumberFormat="1" applyFont="1" applyBorder="1" applyAlignment="1">
      <alignment horizontal="right"/>
    </xf>
    <xf numFmtId="3" fontId="2" fillId="0" borderId="4" xfId="6" applyNumberFormat="1" applyFont="1" applyBorder="1" applyAlignment="1">
      <alignment horizontal="right"/>
    </xf>
    <xf numFmtId="3" fontId="2" fillId="0" borderId="6" xfId="6" applyNumberFormat="1" applyFont="1" applyBorder="1" applyAlignment="1">
      <alignment horizontal="right"/>
    </xf>
    <xf numFmtId="37" fontId="23" fillId="0" borderId="0" xfId="0" applyFont="1" applyAlignment="1">
      <alignment horizontal="right"/>
    </xf>
    <xf numFmtId="3" fontId="2" fillId="0" borderId="30" xfId="6" applyNumberFormat="1" applyFont="1" applyBorder="1" applyAlignment="1">
      <alignment horizontal="right"/>
    </xf>
    <xf numFmtId="37" fontId="2" fillId="0" borderId="1" xfId="0" applyFont="1" applyBorder="1" applyAlignment="1">
      <alignment horizontal="right"/>
    </xf>
    <xf numFmtId="37" fontId="7" fillId="0" borderId="15" xfId="0" quotePrefix="1" applyFont="1" applyBorder="1" applyAlignment="1">
      <alignment horizontal="right"/>
    </xf>
    <xf numFmtId="166" fontId="2" fillId="0" borderId="5" xfId="4" applyNumberFormat="1" applyFont="1" applyBorder="1" applyAlignment="1">
      <alignment horizontal="right"/>
    </xf>
    <xf numFmtId="37" fontId="2" fillId="0" borderId="8" xfId="0" applyFont="1" applyBorder="1" applyAlignment="1">
      <alignment horizontal="centerContinuous"/>
    </xf>
    <xf numFmtId="37" fontId="5" fillId="5" borderId="0" xfId="0" applyFont="1" applyFill="1"/>
    <xf numFmtId="37" fontId="5" fillId="5" borderId="0" xfId="0" applyFont="1" applyFill="1" applyAlignment="1">
      <alignment horizontal="right"/>
    </xf>
    <xf numFmtId="165" fontId="26" fillId="0" borderId="0" xfId="1" applyNumberFormat="1" applyFont="1"/>
    <xf numFmtId="165" fontId="26" fillId="0" borderId="4" xfId="1" applyNumberFormat="1" applyFont="1" applyBorder="1"/>
    <xf numFmtId="166" fontId="2" fillId="0" borderId="11" xfId="4" applyNumberFormat="1" applyFont="1" applyBorder="1" applyAlignment="1"/>
    <xf numFmtId="166" fontId="2" fillId="3" borderId="11" xfId="4" applyNumberFormat="1" applyFont="1" applyFill="1" applyBorder="1" applyAlignment="1"/>
    <xf numFmtId="166" fontId="2" fillId="0" borderId="3" xfId="4" applyNumberFormat="1" applyFont="1" applyBorder="1" applyAlignment="1">
      <alignment horizontal="right"/>
    </xf>
    <xf numFmtId="37" fontId="2" fillId="0" borderId="18" xfId="0" applyFont="1" applyBorder="1" applyAlignment="1">
      <alignment horizontal="center"/>
    </xf>
    <xf numFmtId="3" fontId="19" fillId="0" borderId="10" xfId="0" applyNumberFormat="1" applyFont="1" applyBorder="1"/>
    <xf numFmtId="37" fontId="2" fillId="0" borderId="2" xfId="0" applyFont="1" applyBorder="1" applyAlignment="1">
      <alignment horizontal="right"/>
    </xf>
    <xf numFmtId="37" fontId="2" fillId="0" borderId="17" xfId="0" applyFont="1" applyBorder="1" applyAlignment="1">
      <alignment horizontal="center"/>
    </xf>
    <xf numFmtId="37" fontId="2" fillId="0" borderId="16" xfId="0" applyFont="1" applyBorder="1" applyAlignment="1">
      <alignment horizontal="center"/>
    </xf>
    <xf numFmtId="37" fontId="7" fillId="0" borderId="17" xfId="0" applyFont="1" applyBorder="1" applyAlignment="1">
      <alignment horizontal="right"/>
    </xf>
    <xf numFmtId="37" fontId="5" fillId="0" borderId="10" xfId="0" applyFont="1" applyBorder="1"/>
    <xf numFmtId="37" fontId="5" fillId="0" borderId="0" xfId="0" applyFont="1" applyAlignment="1">
      <alignment horizontal="right"/>
    </xf>
    <xf numFmtId="37" fontId="5" fillId="0" borderId="4" xfId="0" applyFont="1" applyBorder="1" applyAlignment="1">
      <alignment horizontal="right"/>
    </xf>
    <xf numFmtId="37" fontId="4" fillId="0" borderId="0" xfId="0" applyFont="1" applyAlignment="1">
      <alignment horizontal="left" vertical="top" wrapText="1"/>
    </xf>
    <xf numFmtId="49" fontId="2" fillId="0" borderId="0" xfId="0" applyNumberFormat="1" applyFont="1" applyAlignment="1">
      <alignment horizontal="right"/>
    </xf>
    <xf numFmtId="37" fontId="10" fillId="0" borderId="0" xfId="0" applyFont="1" applyAlignment="1">
      <alignment vertical="top" wrapText="1"/>
    </xf>
    <xf numFmtId="37" fontId="0" fillId="0" borderId="0" xfId="0" applyAlignment="1">
      <alignment vertical="top" wrapText="1"/>
    </xf>
    <xf numFmtId="37" fontId="2" fillId="0" borderId="0" xfId="0" applyFont="1" applyAlignment="1">
      <alignment wrapText="1"/>
    </xf>
    <xf numFmtId="37" fontId="0" fillId="0" borderId="0" xfId="0" applyAlignment="1">
      <alignment wrapText="1"/>
    </xf>
    <xf numFmtId="37" fontId="5" fillId="0" borderId="28" xfId="0" applyFont="1" applyBorder="1" applyAlignment="1">
      <alignment horizontal="right"/>
    </xf>
    <xf numFmtId="37" fontId="5" fillId="0" borderId="2" xfId="0" applyFont="1" applyBorder="1" applyAlignment="1">
      <alignment horizontal="right"/>
    </xf>
  </cellXfs>
  <cellStyles count="7">
    <cellStyle name="Comma" xfId="1" builtinId="3"/>
    <cellStyle name="Comma 2" xfId="6" xr:uid="{00000000-0005-0000-0000-000001000000}"/>
    <cellStyle name="Hyperlink" xfId="2" builtinId="8"/>
    <cellStyle name="Normal" xfId="0" builtinId="0"/>
    <cellStyle name="Normal 2" xfId="4" xr:uid="{00000000-0005-0000-0000-000004000000}"/>
    <cellStyle name="Normal 2 2" xfId="5" xr:uid="{00000000-0005-0000-0000-000005000000}"/>
    <cellStyle name="Percent" xfId="3" builtinId="5"/>
  </cellStyles>
  <dxfs count="0"/>
  <tableStyles count="0" defaultTableStyle="TableStyleMedium9" defaultPivotStyle="PivotStyleLight16"/>
  <colors>
    <mruColors>
      <color rgb="FFFFFF99"/>
      <color rgb="FFFF99FF"/>
      <color rgb="FF006600"/>
      <color rgb="FF990033"/>
      <color rgb="FF0033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Change in Associate Degrees Awarded by Public and Private Colleges and Universities, </a:t>
            </a:r>
          </a:p>
          <a:p>
            <a:pPr>
              <a:defRPr/>
            </a:pPr>
            <a:r>
              <a:rPr lang="en-US" sz="1200"/>
              <a:t>2009-10 to 2014-15</a:t>
            </a:r>
          </a:p>
        </c:rich>
      </c:tx>
      <c:overlay val="0"/>
    </c:title>
    <c:autoTitleDeleted val="0"/>
    <c:plotArea>
      <c:layout>
        <c:manualLayout>
          <c:layoutTarget val="inner"/>
          <c:xMode val="edge"/>
          <c:yMode val="edge"/>
          <c:x val="3.0555555555555555E-2"/>
          <c:y val="0.32384259259259257"/>
          <c:w val="0.91661242344706917"/>
          <c:h val="0.62523148148148155"/>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49'!$D$5:$D$7</c:f>
              <c:strCache>
                <c:ptCount val="3"/>
                <c:pt idx="0">
                  <c:v>Percent Change</c:v>
                </c:pt>
                <c:pt idx="1">
                  <c:v>2011-12 to</c:v>
                </c:pt>
                <c:pt idx="2">
                  <c:v>2016-17</c:v>
                </c:pt>
              </c:strCache>
            </c:strRef>
          </c:cat>
          <c:val>
            <c:numRef>
              <c:f>'TABLE 49'!$D$8</c:f>
              <c:numCache>
                <c:formatCode>0.0</c:formatCode>
                <c:ptCount val="1"/>
                <c:pt idx="0">
                  <c:v>-0.81371998230913589</c:v>
                </c:pt>
              </c:numCache>
            </c:numRef>
          </c:val>
          <c:extLst>
            <c:ext xmlns:c16="http://schemas.microsoft.com/office/drawing/2014/chart" uri="{C3380CC4-5D6E-409C-BE32-E72D297353CC}">
              <c16:uniqueId val="{00000000-5062-4C63-BC4B-C99F61733621}"/>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49'!$D$5:$D$7</c:f>
              <c:strCache>
                <c:ptCount val="3"/>
                <c:pt idx="0">
                  <c:v>Percent Change</c:v>
                </c:pt>
                <c:pt idx="1">
                  <c:v>2011-12 to</c:v>
                </c:pt>
                <c:pt idx="2">
                  <c:v>2016-17</c:v>
                </c:pt>
              </c:strCache>
            </c:strRef>
          </c:cat>
          <c:val>
            <c:numRef>
              <c:f>'TABLE 49'!$D$9</c:f>
              <c:numCache>
                <c:formatCode>0.0</c:formatCode>
                <c:ptCount val="1"/>
                <c:pt idx="0">
                  <c:v>4.8788986649206567</c:v>
                </c:pt>
              </c:numCache>
            </c:numRef>
          </c:val>
          <c:extLst>
            <c:ext xmlns:c16="http://schemas.microsoft.com/office/drawing/2014/chart" uri="{C3380CC4-5D6E-409C-BE32-E72D297353CC}">
              <c16:uniqueId val="{00000001-5062-4C63-BC4B-C99F61733621}"/>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49'!$D$5:$D$7</c:f>
              <c:strCache>
                <c:ptCount val="3"/>
                <c:pt idx="0">
                  <c:v>Percent Change</c:v>
                </c:pt>
                <c:pt idx="1">
                  <c:v>2011-12 to</c:v>
                </c:pt>
                <c:pt idx="2">
                  <c:v>2016-17</c:v>
                </c:pt>
              </c:strCache>
            </c:strRef>
          </c:cat>
          <c:val>
            <c:numRef>
              <c:f>'TABLE 49'!$D$11</c:f>
              <c:numCache>
                <c:formatCode>0.0</c:formatCode>
                <c:ptCount val="1"/>
                <c:pt idx="0">
                  <c:v>-16.210462287104622</c:v>
                </c:pt>
              </c:numCache>
            </c:numRef>
          </c:val>
          <c:extLst>
            <c:ext xmlns:c16="http://schemas.microsoft.com/office/drawing/2014/chart" uri="{C3380CC4-5D6E-409C-BE32-E72D297353CC}">
              <c16:uniqueId val="{00000002-5062-4C63-BC4B-C99F61733621}"/>
            </c:ext>
          </c:extLst>
        </c:ser>
        <c:dLbls>
          <c:showLegendKey val="0"/>
          <c:showVal val="1"/>
          <c:showCatName val="0"/>
          <c:showSerName val="0"/>
          <c:showPercent val="0"/>
          <c:showBubbleSize val="0"/>
        </c:dLbls>
        <c:gapWidth val="150"/>
        <c:axId val="239187400"/>
        <c:axId val="239351184"/>
      </c:barChart>
      <c:catAx>
        <c:axId val="239187400"/>
        <c:scaling>
          <c:orientation val="minMax"/>
        </c:scaling>
        <c:delete val="1"/>
        <c:axPos val="b"/>
        <c:numFmt formatCode="General" sourceLinked="0"/>
        <c:majorTickMark val="out"/>
        <c:minorTickMark val="none"/>
        <c:tickLblPos val="none"/>
        <c:crossAx val="239351184"/>
        <c:crosses val="autoZero"/>
        <c:auto val="1"/>
        <c:lblAlgn val="ctr"/>
        <c:lblOffset val="100"/>
        <c:noMultiLvlLbl val="0"/>
      </c:catAx>
      <c:valAx>
        <c:axId val="239351184"/>
        <c:scaling>
          <c:orientation val="minMax"/>
        </c:scaling>
        <c:delete val="1"/>
        <c:axPos val="l"/>
        <c:numFmt formatCode="0.0" sourceLinked="1"/>
        <c:majorTickMark val="out"/>
        <c:minorTickMark val="none"/>
        <c:tickLblPos val="none"/>
        <c:crossAx val="239187400"/>
        <c:crosses val="autoZero"/>
        <c:crossBetween val="between"/>
      </c:valAx>
    </c:plotArea>
    <c:legend>
      <c:legendPos val="r"/>
      <c:layout>
        <c:manualLayout>
          <c:xMode val="edge"/>
          <c:yMode val="edge"/>
          <c:x val="0.17216797900262468"/>
          <c:y val="0.24699365704286963"/>
          <c:w val="0.69727646544181976"/>
          <c:h val="8.9114537766112556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32567049808429E-2"/>
          <c:y val="0.11428571428571428"/>
          <c:w val="0.96601946700236141"/>
          <c:h val="0.66786160820806495"/>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2011-12</c:v>
                  </c:pt>
                  <c:pt idx="1">
                    <c:v>2016-17</c:v>
                  </c:pt>
                  <c:pt idx="2">
                    <c:v>2011-12</c:v>
                  </c:pt>
                  <c:pt idx="3">
                    <c:v>2016-17</c:v>
                  </c:pt>
                  <c:pt idx="4">
                    <c:v>2011-12</c:v>
                  </c:pt>
                  <c:pt idx="5">
                    <c:v>2016-17</c:v>
                  </c:pt>
                </c:lvl>
                <c:lvl>
                  <c:pt idx="5">
                    <c:v> </c:v>
                  </c:pt>
                </c:lvl>
                <c:lvl>
                  <c:pt idx="0">
                    <c:v>Public Colleges</c:v>
                  </c:pt>
                  <c:pt idx="2">
                    <c:v>Women Students</c:v>
                  </c:pt>
                  <c:pt idx="4">
                    <c:v>Foreign Students</c:v>
                  </c:pt>
                </c:lvl>
              </c:multiLvlStrCache>
            </c:multiLvlStrRef>
          </c:cat>
          <c:val>
            <c:numRef>
              <c:f>'TABLE 49'!$E$8:$J$8</c:f>
              <c:numCache>
                <c:formatCode>0.0</c:formatCode>
                <c:ptCount val="6"/>
                <c:pt idx="0">
                  <c:v>75.3015216533786</c:v>
                </c:pt>
                <c:pt idx="1">
                  <c:v>86.526288515363973</c:v>
                </c:pt>
                <c:pt idx="2">
                  <c:v>61.42983221570104</c:v>
                </c:pt>
                <c:pt idx="3">
                  <c:v>60.929721543496839</c:v>
                </c:pt>
                <c:pt idx="4">
                  <c:v>1.6954740872669607</c:v>
                </c:pt>
                <c:pt idx="5">
                  <c:v>2.0979393194401346</c:v>
                </c:pt>
              </c:numCache>
            </c:numRef>
          </c:val>
          <c:extLst>
            <c:ext xmlns:c16="http://schemas.microsoft.com/office/drawing/2014/chart" uri="{C3380CC4-5D6E-409C-BE32-E72D297353CC}">
              <c16:uniqueId val="{00000000-F7B7-4CF2-A17B-0876EC88C812}"/>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2011-12</c:v>
                  </c:pt>
                  <c:pt idx="1">
                    <c:v>2016-17</c:v>
                  </c:pt>
                  <c:pt idx="2">
                    <c:v>2011-12</c:v>
                  </c:pt>
                  <c:pt idx="3">
                    <c:v>2016-17</c:v>
                  </c:pt>
                  <c:pt idx="4">
                    <c:v>2011-12</c:v>
                  </c:pt>
                  <c:pt idx="5">
                    <c:v>2016-17</c:v>
                  </c:pt>
                </c:lvl>
                <c:lvl>
                  <c:pt idx="5">
                    <c:v> </c:v>
                  </c:pt>
                </c:lvl>
                <c:lvl>
                  <c:pt idx="0">
                    <c:v>Public Colleges</c:v>
                  </c:pt>
                  <c:pt idx="2">
                    <c:v>Women Students</c:v>
                  </c:pt>
                  <c:pt idx="4">
                    <c:v>Foreign Students</c:v>
                  </c:pt>
                </c:lvl>
              </c:multiLvlStrCache>
            </c:multiLvlStrRef>
          </c:cat>
          <c:val>
            <c:numRef>
              <c:f>'TABLE 49'!$E$9:$J$9</c:f>
              <c:numCache>
                <c:formatCode>0.0</c:formatCode>
                <c:ptCount val="6"/>
                <c:pt idx="0">
                  <c:v>81.551962996580102</c:v>
                </c:pt>
                <c:pt idx="1">
                  <c:v>88.064712328620303</c:v>
                </c:pt>
                <c:pt idx="2">
                  <c:v>62.581528077131679</c:v>
                </c:pt>
                <c:pt idx="3">
                  <c:v>62.550070869538423</c:v>
                </c:pt>
                <c:pt idx="4">
                  <c:v>1.4764274614383786</c:v>
                </c:pt>
                <c:pt idx="5">
                  <c:v>1.9192381993510546</c:v>
                </c:pt>
              </c:numCache>
            </c:numRef>
          </c:val>
          <c:extLst>
            <c:ext xmlns:c16="http://schemas.microsoft.com/office/drawing/2014/chart" uri="{C3380CC4-5D6E-409C-BE32-E72D297353CC}">
              <c16:uniqueId val="{00000001-F7B7-4CF2-A17B-0876EC88C812}"/>
            </c:ext>
          </c:extLst>
        </c:ser>
        <c:ser>
          <c:idx val="2"/>
          <c:order val="2"/>
          <c:tx>
            <c:v>State</c:v>
          </c:tx>
          <c:spPr>
            <a:solidFill>
              <a:srgbClr val="006600"/>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49'!$E$5:$J$7</c:f>
              <c:multiLvlStrCache>
                <c:ptCount val="6"/>
                <c:lvl>
                  <c:pt idx="0">
                    <c:v>2011-12</c:v>
                  </c:pt>
                  <c:pt idx="1">
                    <c:v>2016-17</c:v>
                  </c:pt>
                  <c:pt idx="2">
                    <c:v>2011-12</c:v>
                  </c:pt>
                  <c:pt idx="3">
                    <c:v>2016-17</c:v>
                  </c:pt>
                  <c:pt idx="4">
                    <c:v>2011-12</c:v>
                  </c:pt>
                  <c:pt idx="5">
                    <c:v>2016-17</c:v>
                  </c:pt>
                </c:lvl>
                <c:lvl>
                  <c:pt idx="5">
                    <c:v> </c:v>
                  </c:pt>
                </c:lvl>
                <c:lvl>
                  <c:pt idx="0">
                    <c:v>Public Colleges</c:v>
                  </c:pt>
                  <c:pt idx="2">
                    <c:v>Women Students</c:v>
                  </c:pt>
                  <c:pt idx="4">
                    <c:v>Foreign Students</c:v>
                  </c:pt>
                </c:lvl>
              </c:multiLvlStrCache>
            </c:multiLvlStrRef>
          </c:cat>
          <c:val>
            <c:numRef>
              <c:f>'TABLE 49'!$E$11:$J$11</c:f>
              <c:numCache>
                <c:formatCode>0.0</c:formatCode>
                <c:ptCount val="6"/>
                <c:pt idx="0">
                  <c:v>78.193430656934311</c:v>
                </c:pt>
                <c:pt idx="1">
                  <c:v>91.669691470054445</c:v>
                </c:pt>
                <c:pt idx="2">
                  <c:v>63.845802919708028</c:v>
                </c:pt>
                <c:pt idx="3">
                  <c:v>64.373865698729588</c:v>
                </c:pt>
                <c:pt idx="4">
                  <c:v>0.58546228710462289</c:v>
                </c:pt>
                <c:pt idx="5">
                  <c:v>0.65335753176043554</c:v>
                </c:pt>
              </c:numCache>
            </c:numRef>
          </c:val>
          <c:extLst>
            <c:ext xmlns:c16="http://schemas.microsoft.com/office/drawing/2014/chart" uri="{C3380CC4-5D6E-409C-BE32-E72D297353CC}">
              <c16:uniqueId val="{00000002-F7B7-4CF2-A17B-0876EC88C812}"/>
            </c:ext>
          </c:extLst>
        </c:ser>
        <c:dLbls>
          <c:showLegendKey val="0"/>
          <c:showVal val="1"/>
          <c:showCatName val="0"/>
          <c:showSerName val="0"/>
          <c:showPercent val="0"/>
          <c:showBubbleSize val="0"/>
        </c:dLbls>
        <c:gapWidth val="150"/>
        <c:axId val="239985312"/>
        <c:axId val="240823696"/>
      </c:barChart>
      <c:catAx>
        <c:axId val="239985312"/>
        <c:scaling>
          <c:orientation val="minMax"/>
        </c:scaling>
        <c:delete val="0"/>
        <c:axPos val="b"/>
        <c:numFmt formatCode="General" sourceLinked="0"/>
        <c:majorTickMark val="out"/>
        <c:minorTickMark val="none"/>
        <c:tickLblPos val="nextTo"/>
        <c:crossAx val="240823696"/>
        <c:crosses val="autoZero"/>
        <c:auto val="1"/>
        <c:lblAlgn val="ctr"/>
        <c:lblOffset val="100"/>
        <c:noMultiLvlLbl val="0"/>
      </c:catAx>
      <c:valAx>
        <c:axId val="240823696"/>
        <c:scaling>
          <c:orientation val="minMax"/>
        </c:scaling>
        <c:delete val="1"/>
        <c:axPos val="l"/>
        <c:numFmt formatCode="0.0" sourceLinked="1"/>
        <c:majorTickMark val="out"/>
        <c:minorTickMark val="none"/>
        <c:tickLblPos val="none"/>
        <c:crossAx val="239985312"/>
        <c:crosses val="autoZero"/>
        <c:crossBetween val="between"/>
      </c:valAx>
    </c:plotArea>
    <c:legend>
      <c:legendPos val="r"/>
      <c:layout>
        <c:manualLayout>
          <c:xMode val="edge"/>
          <c:yMode val="edge"/>
          <c:x val="0.30144266449452439"/>
          <c:y val="3.8963220506527591E-2"/>
          <c:w val="0.3767182550457055"/>
          <c:h val="6.6662303575689391E-2"/>
        </c:manualLayou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34169984936142E-2"/>
          <c:y val="0.13656783468104222"/>
          <c:w val="0.96737862623369175"/>
          <c:h val="0.65532808398950126"/>
        </c:manualLayout>
      </c:layout>
      <c:barChart>
        <c:barDir val="col"/>
        <c:grouping val="clustered"/>
        <c:varyColors val="0"/>
        <c:ser>
          <c:idx val="0"/>
          <c:order val="0"/>
          <c:tx>
            <c:strRef>
              <c:f>'TABLE 49'!$A$8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2011-12</c:v>
                  </c:pt>
                  <c:pt idx="1">
                    <c:v> PBIs or HBIs3</c:v>
                  </c:pt>
                  <c:pt idx="2">
                    <c:v>2016-17</c:v>
                  </c:pt>
                  <c:pt idx="3">
                    <c:v> PBIs or HBIs3</c:v>
                  </c:pt>
                  <c:pt idx="4">
                    <c:v>2011-12</c:v>
                  </c:pt>
                  <c:pt idx="5">
                    <c:v>2016-17</c:v>
                  </c:pt>
                </c:lvl>
                <c:lvl>
                  <c:pt idx="1">
                    <c:v>Percent at</c:v>
                  </c:pt>
                  <c:pt idx="2">
                    <c:v> </c:v>
                  </c:pt>
                  <c:pt idx="3">
                    <c:v>Percent at</c:v>
                  </c:pt>
                  <c:pt idx="4">
                    <c:v> </c:v>
                  </c:pt>
                  <c:pt idx="5">
                    <c:v> </c:v>
                  </c:pt>
                </c:lvl>
                <c:lvl>
                  <c:pt idx="0">
                    <c:v>Black Students2</c:v>
                  </c:pt>
                  <c:pt idx="4">
                    <c:v>Hispanic Students2</c:v>
                  </c:pt>
                </c:lvl>
              </c:multiLvlStrCache>
            </c:multiLvlStrRef>
          </c:cat>
          <c:val>
            <c:numRef>
              <c:f>'TABLE 49'!$K$8:$P$8</c:f>
              <c:numCache>
                <c:formatCode>0.0</c:formatCode>
                <c:ptCount val="6"/>
                <c:pt idx="0">
                  <c:v>13.982912714821744</c:v>
                </c:pt>
                <c:pt idx="1">
                  <c:v>18.927101750872307</c:v>
                </c:pt>
                <c:pt idx="2">
                  <c:v>13.071861341018638</c:v>
                </c:pt>
                <c:pt idx="3">
                  <c:v>13.94400254015811</c:v>
                </c:pt>
                <c:pt idx="4">
                  <c:v>15.277476945292246</c:v>
                </c:pt>
                <c:pt idx="5">
                  <c:v>21.374712785578136</c:v>
                </c:pt>
              </c:numCache>
            </c:numRef>
          </c:val>
          <c:extLst>
            <c:ext xmlns:c16="http://schemas.microsoft.com/office/drawing/2014/chart" uri="{C3380CC4-5D6E-409C-BE32-E72D297353CC}">
              <c16:uniqueId val="{00000000-EF5E-408B-98A2-4069DF8357EE}"/>
            </c:ext>
          </c:extLst>
        </c:ser>
        <c:ser>
          <c:idx val="1"/>
          <c:order val="1"/>
          <c:tx>
            <c:strRef>
              <c:f>'TABLE 49'!$A$9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2011-12</c:v>
                  </c:pt>
                  <c:pt idx="1">
                    <c:v> PBIs or HBIs3</c:v>
                  </c:pt>
                  <c:pt idx="2">
                    <c:v>2016-17</c:v>
                  </c:pt>
                  <c:pt idx="3">
                    <c:v> PBIs or HBIs3</c:v>
                  </c:pt>
                  <c:pt idx="4">
                    <c:v>2011-12</c:v>
                  </c:pt>
                  <c:pt idx="5">
                    <c:v>2016-17</c:v>
                  </c:pt>
                </c:lvl>
                <c:lvl>
                  <c:pt idx="1">
                    <c:v>Percent at</c:v>
                  </c:pt>
                  <c:pt idx="2">
                    <c:v> </c:v>
                  </c:pt>
                  <c:pt idx="3">
                    <c:v>Percent at</c:v>
                  </c:pt>
                  <c:pt idx="4">
                    <c:v> </c:v>
                  </c:pt>
                  <c:pt idx="5">
                    <c:v> </c:v>
                  </c:pt>
                </c:lvl>
                <c:lvl>
                  <c:pt idx="0">
                    <c:v>Black Students2</c:v>
                  </c:pt>
                  <c:pt idx="4">
                    <c:v>Hispanic Students2</c:v>
                  </c:pt>
                </c:lvl>
              </c:multiLvlStrCache>
            </c:multiLvlStrRef>
          </c:cat>
          <c:val>
            <c:numRef>
              <c:f>'TABLE 49'!$K$9:$P$9</c:f>
              <c:numCache>
                <c:formatCode>0.0</c:formatCode>
                <c:ptCount val="6"/>
                <c:pt idx="0">
                  <c:v>20.432369983718036</c:v>
                </c:pt>
                <c:pt idx="1">
                  <c:v>24.366091962441587</c:v>
                </c:pt>
                <c:pt idx="2">
                  <c:v>19.123140883830363</c:v>
                </c:pt>
                <c:pt idx="3">
                  <c:v>17.817139497280614</c:v>
                </c:pt>
                <c:pt idx="4">
                  <c:v>16.468729048941672</c:v>
                </c:pt>
                <c:pt idx="5">
                  <c:v>20.67255662029476</c:v>
                </c:pt>
              </c:numCache>
            </c:numRef>
          </c:val>
          <c:extLst>
            <c:ext xmlns:c16="http://schemas.microsoft.com/office/drawing/2014/chart" uri="{C3380CC4-5D6E-409C-BE32-E72D297353CC}">
              <c16:uniqueId val="{00000001-EF5E-408B-98A2-4069DF8357EE}"/>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49'!$K$5:$P$7</c:f>
              <c:multiLvlStrCache>
                <c:ptCount val="6"/>
                <c:lvl>
                  <c:pt idx="0">
                    <c:v>2011-12</c:v>
                  </c:pt>
                  <c:pt idx="1">
                    <c:v> PBIs or HBIs3</c:v>
                  </c:pt>
                  <c:pt idx="2">
                    <c:v>2016-17</c:v>
                  </c:pt>
                  <c:pt idx="3">
                    <c:v> PBIs or HBIs3</c:v>
                  </c:pt>
                  <c:pt idx="4">
                    <c:v>2011-12</c:v>
                  </c:pt>
                  <c:pt idx="5">
                    <c:v>2016-17</c:v>
                  </c:pt>
                </c:lvl>
                <c:lvl>
                  <c:pt idx="1">
                    <c:v>Percent at</c:v>
                  </c:pt>
                  <c:pt idx="2">
                    <c:v> </c:v>
                  </c:pt>
                  <c:pt idx="3">
                    <c:v>Percent at</c:v>
                  </c:pt>
                  <c:pt idx="4">
                    <c:v> </c:v>
                  </c:pt>
                  <c:pt idx="5">
                    <c:v> </c:v>
                  </c:pt>
                </c:lvl>
                <c:lvl>
                  <c:pt idx="0">
                    <c:v>Black Students2</c:v>
                  </c:pt>
                  <c:pt idx="4">
                    <c:v>Hispanic Students2</c:v>
                  </c:pt>
                </c:lvl>
              </c:multiLvlStrCache>
            </c:multiLvlStrRef>
          </c:cat>
          <c:val>
            <c:numRef>
              <c:f>'TABLE 49'!$K$11:$P$11</c:f>
              <c:numCache>
                <c:formatCode>0.0</c:formatCode>
                <c:ptCount val="6"/>
                <c:pt idx="0">
                  <c:v>29.155716162943495</c:v>
                </c:pt>
                <c:pt idx="1">
                  <c:v>50.112676056338024</c:v>
                </c:pt>
                <c:pt idx="2">
                  <c:v>25.103851963746219</c:v>
                </c:pt>
                <c:pt idx="3">
                  <c:v>45.054531778864238</c:v>
                </c:pt>
                <c:pt idx="4">
                  <c:v>2.0942838370565044</c:v>
                </c:pt>
                <c:pt idx="5">
                  <c:v>3.3327039274924468</c:v>
                </c:pt>
              </c:numCache>
            </c:numRef>
          </c:val>
          <c:extLst>
            <c:ext xmlns:c16="http://schemas.microsoft.com/office/drawing/2014/chart" uri="{C3380CC4-5D6E-409C-BE32-E72D297353CC}">
              <c16:uniqueId val="{00000002-EF5E-408B-98A2-4069DF8357EE}"/>
            </c:ext>
          </c:extLst>
        </c:ser>
        <c:dLbls>
          <c:showLegendKey val="0"/>
          <c:showVal val="1"/>
          <c:showCatName val="0"/>
          <c:showSerName val="0"/>
          <c:showPercent val="0"/>
          <c:showBubbleSize val="0"/>
        </c:dLbls>
        <c:gapWidth val="150"/>
        <c:axId val="240472776"/>
        <c:axId val="240474184"/>
      </c:barChart>
      <c:catAx>
        <c:axId val="240472776"/>
        <c:scaling>
          <c:orientation val="minMax"/>
        </c:scaling>
        <c:delete val="0"/>
        <c:axPos val="b"/>
        <c:numFmt formatCode="General" sourceLinked="0"/>
        <c:majorTickMark val="out"/>
        <c:minorTickMark val="none"/>
        <c:tickLblPos val="nextTo"/>
        <c:crossAx val="240474184"/>
        <c:crosses val="autoZero"/>
        <c:auto val="1"/>
        <c:lblAlgn val="ctr"/>
        <c:lblOffset val="100"/>
        <c:noMultiLvlLbl val="0"/>
      </c:catAx>
      <c:valAx>
        <c:axId val="240474184"/>
        <c:scaling>
          <c:orientation val="minMax"/>
          <c:max val="100"/>
        </c:scaling>
        <c:delete val="1"/>
        <c:axPos val="l"/>
        <c:numFmt formatCode="0.0" sourceLinked="1"/>
        <c:majorTickMark val="out"/>
        <c:minorTickMark val="none"/>
        <c:tickLblPos val="none"/>
        <c:crossAx val="240472776"/>
        <c:crosses val="autoZero"/>
        <c:crossBetween val="between"/>
      </c:valAx>
    </c:plotArea>
    <c:legend>
      <c:legendPos val="r"/>
      <c:layout>
        <c:manualLayout>
          <c:xMode val="edge"/>
          <c:yMode val="edge"/>
          <c:x val="0.28118623297134465"/>
          <c:y val="6.1098400435794585E-2"/>
          <c:w val="0.42453206991817721"/>
          <c:h val="6.5583971814843892E-2"/>
        </c:manualLayou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E04C-4E1B-AD8C-F52C2A85FD0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Gender!#REF!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04C-4E1B-AD8C-F52C2A85FD08}"/>
            </c:ext>
          </c:extLst>
        </c:ser>
        <c:dLbls>
          <c:showLegendKey val="0"/>
          <c:showVal val="0"/>
          <c:showCatName val="0"/>
          <c:showSerName val="0"/>
          <c:showPercent val="0"/>
          <c:showBubbleSize val="0"/>
        </c:dLbls>
        <c:gapWidth val="150"/>
        <c:shape val="box"/>
        <c:axId val="240278360"/>
        <c:axId val="240535144"/>
        <c:axId val="0"/>
      </c:bar3DChart>
      <c:catAx>
        <c:axId val="2402783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535144"/>
        <c:crosses val="autoZero"/>
        <c:auto val="1"/>
        <c:lblAlgn val="ctr"/>
        <c:lblOffset val="100"/>
        <c:tickLblSkip val="1"/>
        <c:tickMarkSkip val="1"/>
        <c:noMultiLvlLbl val="0"/>
      </c:catAx>
      <c:valAx>
        <c:axId val="24053514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2783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D32C-44EC-A9A8-F3FDD9E022E3}"/>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78373</c:v>
                </c:pt>
                <c:pt idx="1">
                  <c:v>125590</c:v>
                </c:pt>
                <c:pt idx="2">
                  <c:v>130839</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 xmlns:c16="http://schemas.microsoft.com/office/drawing/2014/chart" uri="{C3380CC4-5D6E-409C-BE32-E72D297353CC}">
              <c16:uniqueId val="{00000001-D32C-44EC-A9A8-F3FDD9E022E3}"/>
            </c:ext>
          </c:extLst>
        </c:ser>
        <c:dLbls>
          <c:showLegendKey val="0"/>
          <c:showVal val="0"/>
          <c:showCatName val="0"/>
          <c:showSerName val="0"/>
          <c:showPercent val="0"/>
          <c:showBubbleSize val="0"/>
        </c:dLbls>
        <c:gapWidth val="150"/>
        <c:shape val="box"/>
        <c:axId val="241061984"/>
        <c:axId val="240819400"/>
        <c:axId val="0"/>
      </c:bar3DChart>
      <c:catAx>
        <c:axId val="24106198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819400"/>
        <c:crosses val="autoZero"/>
        <c:auto val="1"/>
        <c:lblAlgn val="ctr"/>
        <c:lblOffset val="100"/>
        <c:tickLblSkip val="3"/>
        <c:tickMarkSkip val="1"/>
        <c:noMultiLvlLbl val="0"/>
      </c:catAx>
      <c:valAx>
        <c:axId val="240819400"/>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106198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C0C6-4B4B-B90A-46C95CBFE8A2}"/>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0.24787933226641196</c:v>
                </c:pt>
                <c:pt idx="1">
                  <c:v>0.27919063836598201</c:v>
                </c:pt>
                <c:pt idx="2">
                  <c:v>0.28859464538585272</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 xmlns:c16="http://schemas.microsoft.com/office/drawing/2014/chart" uri="{C3380CC4-5D6E-409C-BE32-E72D297353CC}">
              <c16:uniqueId val="{00000001-C0C6-4B4B-B90A-46C95CBFE8A2}"/>
            </c:ext>
          </c:extLst>
        </c:ser>
        <c:dLbls>
          <c:showLegendKey val="0"/>
          <c:showVal val="0"/>
          <c:showCatName val="0"/>
          <c:showSerName val="0"/>
          <c:showPercent val="0"/>
          <c:showBubbleSize val="0"/>
        </c:dLbls>
        <c:gapWidth val="150"/>
        <c:shape val="box"/>
        <c:axId val="238772560"/>
        <c:axId val="238772952"/>
        <c:axId val="0"/>
      </c:bar3DChart>
      <c:catAx>
        <c:axId val="2387725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8772952"/>
        <c:crosses val="autoZero"/>
        <c:auto val="1"/>
        <c:lblAlgn val="ctr"/>
        <c:lblOffset val="100"/>
        <c:tickLblSkip val="3"/>
        <c:tickMarkSkip val="1"/>
        <c:noMultiLvlLbl val="0"/>
      </c:catAx>
      <c:valAx>
        <c:axId val="23877295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87725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6BA1-49BD-AAC5-48A3863E924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78373</c:v>
                </c:pt>
                <c:pt idx="1">
                  <c:v>125590</c:v>
                </c:pt>
                <c:pt idx="2">
                  <c:v>130839</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 xmlns:c16="http://schemas.microsoft.com/office/drawing/2014/chart" uri="{C3380CC4-5D6E-409C-BE32-E72D297353CC}">
              <c16:uniqueId val="{00000001-6BA1-49BD-AAC5-48A3863E9248}"/>
            </c:ext>
          </c:extLst>
        </c:ser>
        <c:dLbls>
          <c:showLegendKey val="0"/>
          <c:showVal val="0"/>
          <c:showCatName val="0"/>
          <c:showSerName val="0"/>
          <c:showPercent val="0"/>
          <c:showBubbleSize val="0"/>
        </c:dLbls>
        <c:gapWidth val="150"/>
        <c:shape val="box"/>
        <c:axId val="362936784"/>
        <c:axId val="362937176"/>
        <c:axId val="0"/>
      </c:bar3DChart>
      <c:catAx>
        <c:axId val="36293678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7176"/>
        <c:crosses val="autoZero"/>
        <c:auto val="1"/>
        <c:lblAlgn val="ctr"/>
        <c:lblOffset val="100"/>
        <c:tickLblSkip val="3"/>
        <c:tickMarkSkip val="1"/>
        <c:noMultiLvlLbl val="0"/>
      </c:catAx>
      <c:valAx>
        <c:axId val="362937176"/>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678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AE40-461A-A397-1E93749CBE83}"/>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0.24787933226641196</c:v>
                </c:pt>
                <c:pt idx="1">
                  <c:v>0.27919063836598201</c:v>
                </c:pt>
                <c:pt idx="2">
                  <c:v>0.28859464538585272</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 xmlns:c16="http://schemas.microsoft.com/office/drawing/2014/chart" uri="{C3380CC4-5D6E-409C-BE32-E72D297353CC}">
              <c16:uniqueId val="{00000001-AE40-461A-A397-1E93749CBE83}"/>
            </c:ext>
          </c:extLst>
        </c:ser>
        <c:dLbls>
          <c:showLegendKey val="0"/>
          <c:showVal val="0"/>
          <c:showCatName val="0"/>
          <c:showSerName val="0"/>
          <c:showPercent val="0"/>
          <c:showBubbleSize val="0"/>
        </c:dLbls>
        <c:gapWidth val="150"/>
        <c:shape val="box"/>
        <c:axId val="362937960"/>
        <c:axId val="362938352"/>
        <c:axId val="0"/>
      </c:bar3DChart>
      <c:catAx>
        <c:axId val="3629379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8352"/>
        <c:crosses val="autoZero"/>
        <c:auto val="1"/>
        <c:lblAlgn val="ctr"/>
        <c:lblOffset val="100"/>
        <c:tickLblSkip val="3"/>
        <c:tickMarkSkip val="1"/>
        <c:noMultiLvlLbl val="0"/>
      </c:catAx>
      <c:valAx>
        <c:axId val="36293835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79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19</xdr:col>
      <xdr:colOff>152400</xdr:colOff>
      <xdr:row>2</xdr:row>
      <xdr:rowOff>133350</xdr:rowOff>
    </xdr:from>
    <xdr:to>
      <xdr:col>26</xdr:col>
      <xdr:colOff>190500</xdr:colOff>
      <xdr:row>17</xdr:row>
      <xdr:rowOff>9525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266699</xdr:colOff>
      <xdr:row>21</xdr:row>
      <xdr:rowOff>28574</xdr:rowOff>
    </xdr:from>
    <xdr:to>
      <xdr:col>30</xdr:col>
      <xdr:colOff>314324</xdr:colOff>
      <xdr:row>41</xdr:row>
      <xdr:rowOff>76199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276224</xdr:colOff>
      <xdr:row>42</xdr:row>
      <xdr:rowOff>28574</xdr:rowOff>
    </xdr:from>
    <xdr:to>
      <xdr:col>30</xdr:col>
      <xdr:colOff>314325</xdr:colOff>
      <xdr:row>61</xdr:row>
      <xdr:rowOff>123824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0</xdr:colOff>
      <xdr:row>6</xdr:row>
      <xdr:rowOff>0</xdr:rowOff>
    </xdr:from>
    <xdr:to>
      <xdr:col>32</xdr:col>
      <xdr:colOff>314325</xdr:colOff>
      <xdr:row>16</xdr:row>
      <xdr:rowOff>71965</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9488150" y="1257300"/>
          <a:ext cx="1609725" cy="1853140"/>
        </a:xfrm>
        <a:prstGeom prst="wedgeEllipseCallout">
          <a:avLst>
            <a:gd name="adj1" fmla="val -255873"/>
            <a:gd name="adj2" fmla="val 305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66</xdr:col>
      <xdr:colOff>0</xdr:colOff>
      <xdr:row>219</xdr:row>
      <xdr:rowOff>0</xdr:rowOff>
    </xdr:from>
    <xdr:to>
      <xdr:col>66</xdr:col>
      <xdr:colOff>0</xdr:colOff>
      <xdr:row>242</xdr:row>
      <xdr:rowOff>0</xdr:rowOff>
    </xdr:to>
    <xdr:graphicFrame macro="">
      <xdr:nvGraphicFramePr>
        <xdr:cNvPr id="1091" name="Chart 1">
          <a:extLst>
            <a:ext uri="{FF2B5EF4-FFF2-40B4-BE49-F238E27FC236}">
              <a16:creationId xmlns:a16="http://schemas.microsoft.com/office/drawing/2014/main" id="{00000000-0008-0000-0300-00004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62</xdr:col>
      <xdr:colOff>0</xdr:colOff>
      <xdr:row>217</xdr:row>
      <xdr:rowOff>0</xdr:rowOff>
    </xdr:from>
    <xdr:to>
      <xdr:col>62</xdr:col>
      <xdr:colOff>0</xdr:colOff>
      <xdr:row>240</xdr:row>
      <xdr:rowOff>0</xdr:rowOff>
    </xdr:to>
    <xdr:graphicFrame macro="">
      <xdr:nvGraphicFramePr>
        <xdr:cNvPr id="8273" name="Chart 1">
          <a:extLst>
            <a:ext uri="{FF2B5EF4-FFF2-40B4-BE49-F238E27FC236}">
              <a16:creationId xmlns:a16="http://schemas.microsoft.com/office/drawing/2014/main" id="{00000000-0008-0000-0500-00005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62</xdr:col>
      <xdr:colOff>0</xdr:colOff>
      <xdr:row>245</xdr:row>
      <xdr:rowOff>0</xdr:rowOff>
    </xdr:from>
    <xdr:to>
      <xdr:col>62</xdr:col>
      <xdr:colOff>0</xdr:colOff>
      <xdr:row>268</xdr:row>
      <xdr:rowOff>0</xdr:rowOff>
    </xdr:to>
    <xdr:graphicFrame macro="">
      <xdr:nvGraphicFramePr>
        <xdr:cNvPr id="8274" name="Chart 2">
          <a:extLst>
            <a:ext uri="{FF2B5EF4-FFF2-40B4-BE49-F238E27FC236}">
              <a16:creationId xmlns:a16="http://schemas.microsoft.com/office/drawing/2014/main" id="{00000000-0008-0000-0500-00005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218</xdr:row>
      <xdr:rowOff>0</xdr:rowOff>
    </xdr:from>
    <xdr:to>
      <xdr:col>39</xdr:col>
      <xdr:colOff>0</xdr:colOff>
      <xdr:row>241</xdr:row>
      <xdr:rowOff>0</xdr:rowOff>
    </xdr:to>
    <xdr:graphicFrame macro="">
      <xdr:nvGraphicFramePr>
        <xdr:cNvPr id="9282" name="Chart 1">
          <a:extLst>
            <a:ext uri="{FF2B5EF4-FFF2-40B4-BE49-F238E27FC236}">
              <a16:creationId xmlns:a16="http://schemas.microsoft.com/office/drawing/2014/main" id="{00000000-0008-0000-0600-000042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39</xdr:col>
      <xdr:colOff>0</xdr:colOff>
      <xdr:row>246</xdr:row>
      <xdr:rowOff>0</xdr:rowOff>
    </xdr:from>
    <xdr:to>
      <xdr:col>39</xdr:col>
      <xdr:colOff>0</xdr:colOff>
      <xdr:row>269</xdr:row>
      <xdr:rowOff>0</xdr:rowOff>
    </xdr:to>
    <xdr:graphicFrame macro="">
      <xdr:nvGraphicFramePr>
        <xdr:cNvPr id="9283" name="Chart 2">
          <a:extLst>
            <a:ext uri="{FF2B5EF4-FFF2-40B4-BE49-F238E27FC236}">
              <a16:creationId xmlns:a16="http://schemas.microsoft.com/office/drawing/2014/main" id="{00000000-0008-0000-0600-000043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postsecondary.org/" TargetMode="External"/><Relationship Id="rId13" Type="http://schemas.openxmlformats.org/officeDocument/2006/relationships/hyperlink" Target="http://www.nces.ed.gov/" TargetMode="External"/><Relationship Id="rId3" Type="http://schemas.openxmlformats.org/officeDocument/2006/relationships/hyperlink" Target="http://www.postsecondary.org/" TargetMode="External"/><Relationship Id="rId7" Type="http://schemas.openxmlformats.org/officeDocument/2006/relationships/hyperlink" Target="http://www.postsecondary.org/" TargetMode="External"/><Relationship Id="rId12" Type="http://schemas.openxmlformats.org/officeDocument/2006/relationships/hyperlink" Target="http://www.nces.ed.gov/" TargetMode="External"/><Relationship Id="rId2" Type="http://schemas.openxmlformats.org/officeDocument/2006/relationships/hyperlink" Target="http://www.nces.ed.gov/" TargetMode="External"/><Relationship Id="rId16" Type="http://schemas.openxmlformats.org/officeDocument/2006/relationships/comments" Target="../comments1.xm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hyperlink" Target="http://www.nces.ed.gov/" TargetMode="External"/><Relationship Id="rId5" Type="http://schemas.openxmlformats.org/officeDocument/2006/relationships/hyperlink" Target="http://www.postsecondary.org/" TargetMode="External"/><Relationship Id="rId15" Type="http://schemas.openxmlformats.org/officeDocument/2006/relationships/vmlDrawing" Target="../drawings/vmlDrawing1.vml"/><Relationship Id="rId10" Type="http://schemas.openxmlformats.org/officeDocument/2006/relationships/hyperlink" Target="http://www.postsecondary.org/" TargetMode="External"/><Relationship Id="rId4" Type="http://schemas.openxmlformats.org/officeDocument/2006/relationships/hyperlink" Target="http://www.postsecondary.org/" TargetMode="External"/><Relationship Id="rId9" Type="http://schemas.openxmlformats.org/officeDocument/2006/relationships/hyperlink" Target="http://www.postsecondary.org/"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nces.ed.gov/" TargetMode="Externa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2.xml"/><Relationship Id="rId5" Type="http://schemas.openxmlformats.org/officeDocument/2006/relationships/hyperlink" Target="http://www.nces.ed.gov/" TargetMode="External"/><Relationship Id="rId10" Type="http://schemas.openxmlformats.org/officeDocument/2006/relationships/vmlDrawing" Target="../drawings/vmlDrawing2.vml"/><Relationship Id="rId4" Type="http://schemas.openxmlformats.org/officeDocument/2006/relationships/hyperlink" Target="http://www.nces.ed.gov/"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nces.ed.gov/" TargetMode="External"/><Relationship Id="rId13" Type="http://schemas.openxmlformats.org/officeDocument/2006/relationships/comments" Target="../comments3.xm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vmlDrawing" Target="../drawings/vmlDrawing3.vml"/><Relationship Id="rId2" Type="http://schemas.openxmlformats.org/officeDocument/2006/relationships/hyperlink" Target="http://www.nces.ed.gov/" TargetMode="External"/><Relationship Id="rId1" Type="http://schemas.openxmlformats.org/officeDocument/2006/relationships/hyperlink" Target="http://www.postsecondary.org/" TargetMode="External"/><Relationship Id="rId6" Type="http://schemas.openxmlformats.org/officeDocument/2006/relationships/hyperlink" Target="http://www.nces.ed.gov/" TargetMode="External"/><Relationship Id="rId11" Type="http://schemas.openxmlformats.org/officeDocument/2006/relationships/drawing" Target="../drawings/drawing2.xml"/><Relationship Id="rId5" Type="http://schemas.openxmlformats.org/officeDocument/2006/relationships/hyperlink" Target="http://www.nces.ed.gov/" TargetMode="External"/><Relationship Id="rId10" Type="http://schemas.openxmlformats.org/officeDocument/2006/relationships/printerSettings" Target="../printerSettings/printerSettings4.bin"/><Relationship Id="rId4" Type="http://schemas.openxmlformats.org/officeDocument/2006/relationships/hyperlink" Target="http://www.nces.ed.gov/" TargetMode="External"/><Relationship Id="rId9"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www.nces.ed.gov/" TargetMode="External"/><Relationship Id="rId7"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5.xml"/><Relationship Id="rId5" Type="http://schemas.openxmlformats.org/officeDocument/2006/relationships/hyperlink" Target="http://www.nces.ed.gov/" TargetMode="External"/><Relationship Id="rId10" Type="http://schemas.openxmlformats.org/officeDocument/2006/relationships/vmlDrawing" Target="../drawings/vmlDrawing5.vml"/><Relationship Id="rId4" Type="http://schemas.openxmlformats.org/officeDocument/2006/relationships/hyperlink" Target="http://www.nces.ed.gov/" TargetMode="External"/><Relationship Id="rId9"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8" Type="http://schemas.openxmlformats.org/officeDocument/2006/relationships/hyperlink" Target="http://www.nces.ed.gov/" TargetMode="Externa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comments" Target="../comments6.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vmlDrawing" Target="../drawings/vmlDrawing6.vml"/><Relationship Id="rId5" Type="http://schemas.openxmlformats.org/officeDocument/2006/relationships/hyperlink" Target="http://www.nces.ed.gov/" TargetMode="External"/><Relationship Id="rId10" Type="http://schemas.openxmlformats.org/officeDocument/2006/relationships/drawing" Target="../drawings/drawing4.xml"/><Relationship Id="rId4" Type="http://schemas.openxmlformats.org/officeDocument/2006/relationships/hyperlink" Target="http://www.nces.ed.gov/"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AD79"/>
  <sheetViews>
    <sheetView showGridLines="0" tabSelected="1" view="pageBreakPreview" zoomScaleNormal="100" zoomScaleSheetLayoutView="100" workbookViewId="0">
      <selection activeCell="A2" sqref="A2"/>
    </sheetView>
  </sheetViews>
  <sheetFormatPr defaultColWidth="9.7109375" defaultRowHeight="12.75"/>
  <cols>
    <col min="1" max="1" width="8" style="1" customWidth="1"/>
    <col min="2" max="2" width="12.7109375" style="1" customWidth="1"/>
    <col min="3" max="3" width="9.85546875" style="3" customWidth="1"/>
    <col min="4" max="4" width="10.7109375" style="1" customWidth="1"/>
    <col min="5" max="8" width="9" style="1" customWidth="1"/>
    <col min="9" max="9" width="9.7109375" style="1" customWidth="1"/>
    <col min="10" max="10" width="10.85546875" style="1" customWidth="1"/>
    <col min="11" max="11" width="9" style="1" customWidth="1"/>
    <col min="12" max="12" width="12.7109375" style="3" customWidth="1"/>
    <col min="13" max="13" width="9" style="1" customWidth="1"/>
    <col min="14" max="14" width="13.140625" style="3" customWidth="1"/>
    <col min="15" max="16" width="9" style="1" customWidth="1"/>
    <col min="17" max="26" width="9.7109375" style="1"/>
    <col min="27" max="27" width="10" style="1" customWidth="1"/>
    <col min="28" max="16384" width="9.7109375" style="1"/>
  </cols>
  <sheetData>
    <row r="1" spans="1:18" ht="12.75" customHeight="1">
      <c r="A1" s="2" t="s">
        <v>232</v>
      </c>
      <c r="B1" s="9"/>
      <c r="D1" s="9"/>
      <c r="E1" s="9"/>
      <c r="F1" s="9"/>
      <c r="K1" s="29"/>
    </row>
    <row r="2" spans="1:18" ht="15" customHeight="1">
      <c r="A2" s="2" t="s">
        <v>214</v>
      </c>
      <c r="B2" s="9"/>
      <c r="D2" s="9"/>
      <c r="E2" s="9"/>
      <c r="F2" s="9"/>
    </row>
    <row r="3" spans="1:18" ht="12.75" customHeight="1">
      <c r="D3" s="9"/>
    </row>
    <row r="4" spans="1:18" ht="13.5" customHeight="1">
      <c r="A4" s="20"/>
      <c r="B4" s="20"/>
      <c r="C4" s="22" t="s">
        <v>46</v>
      </c>
      <c r="D4" s="23"/>
      <c r="E4" s="22" t="s">
        <v>106</v>
      </c>
      <c r="F4" s="22"/>
      <c r="G4" s="22"/>
      <c r="H4" s="22"/>
      <c r="I4" s="22"/>
      <c r="J4" s="22"/>
      <c r="K4" s="22"/>
      <c r="L4" s="184"/>
      <c r="M4" s="147"/>
      <c r="N4" s="184"/>
      <c r="O4" s="22"/>
      <c r="P4" s="22"/>
    </row>
    <row r="5" spans="1:18" ht="30" customHeight="1">
      <c r="A5" s="16"/>
      <c r="B5" s="16"/>
      <c r="D5" s="24" t="s">
        <v>183</v>
      </c>
      <c r="E5" s="25" t="s">
        <v>111</v>
      </c>
      <c r="F5" s="26"/>
      <c r="G5" s="25" t="s">
        <v>167</v>
      </c>
      <c r="H5" s="144"/>
      <c r="I5" s="26" t="s">
        <v>155</v>
      </c>
      <c r="J5" s="144"/>
      <c r="K5" s="187" t="s">
        <v>195</v>
      </c>
      <c r="L5" s="27"/>
      <c r="M5" s="26"/>
      <c r="N5" s="28"/>
      <c r="O5" s="25" t="s">
        <v>196</v>
      </c>
      <c r="P5" s="22"/>
    </row>
    <row r="6" spans="1:18" ht="15" customHeight="1">
      <c r="A6" s="16"/>
      <c r="B6" s="16"/>
      <c r="D6" s="195" t="s">
        <v>227</v>
      </c>
      <c r="G6" s="37"/>
      <c r="H6" s="145"/>
      <c r="I6" s="143"/>
      <c r="J6" s="145" t="s">
        <v>109</v>
      </c>
      <c r="K6" s="20"/>
      <c r="L6" s="185" t="s">
        <v>166</v>
      </c>
      <c r="M6" s="20" t="s">
        <v>109</v>
      </c>
      <c r="N6" s="185" t="s">
        <v>166</v>
      </c>
      <c r="O6" s="1" t="s">
        <v>109</v>
      </c>
      <c r="P6" s="1" t="s">
        <v>109</v>
      </c>
    </row>
    <row r="7" spans="1:18" ht="15" customHeight="1">
      <c r="A7" s="21"/>
      <c r="B7" s="21"/>
      <c r="C7" s="197" t="s">
        <v>226</v>
      </c>
      <c r="D7" s="198" t="s">
        <v>226</v>
      </c>
      <c r="E7" s="199" t="s">
        <v>208</v>
      </c>
      <c r="F7" s="21" t="s">
        <v>226</v>
      </c>
      <c r="G7" s="199" t="s">
        <v>208</v>
      </c>
      <c r="H7" s="21" t="s">
        <v>226</v>
      </c>
      <c r="I7" s="199" t="s">
        <v>208</v>
      </c>
      <c r="J7" s="21" t="s">
        <v>226</v>
      </c>
      <c r="K7" s="199" t="s">
        <v>208</v>
      </c>
      <c r="L7" s="200" t="s">
        <v>203</v>
      </c>
      <c r="M7" s="21" t="s">
        <v>226</v>
      </c>
      <c r="N7" s="200" t="s">
        <v>203</v>
      </c>
      <c r="O7" s="199" t="s">
        <v>208</v>
      </c>
      <c r="P7" s="21" t="s">
        <v>226</v>
      </c>
      <c r="R7" s="142"/>
    </row>
    <row r="8" spans="1:18" ht="12.75" customHeight="1">
      <c r="A8" s="45" t="s">
        <v>197</v>
      </c>
      <c r="B8" s="5"/>
      <c r="C8" s="79">
        <f>+'Total Associates'!AW4</f>
        <v>995739</v>
      </c>
      <c r="D8" s="135">
        <f>+(('Total Associates'!AW4-'Total Associates'!AR4)/'Total Associates'!AR4)*100</f>
        <v>-0.81371998230913589</v>
      </c>
      <c r="E8" s="134">
        <f>+(Public!X4/'Total Associates'!AR4)*100</f>
        <v>75.3015216533786</v>
      </c>
      <c r="F8" s="135">
        <f>+(Public!AC4/'Total Associates'!AW4)*100</f>
        <v>86.526288515363973</v>
      </c>
      <c r="G8" s="134">
        <f>+(Gender!CL4/'Total Associates'!AR4)*100</f>
        <v>61.42983221570104</v>
      </c>
      <c r="H8" s="146">
        <f>+(Gender!CQ4/'Total Associates'!AW4)*100</f>
        <v>60.929721543496839</v>
      </c>
      <c r="I8" s="134">
        <f>+('Hispanic &amp; Foreign'!BB4/'Total Associates'!AR4)*100</f>
        <v>1.6954740872669607</v>
      </c>
      <c r="J8" s="146">
        <f>+('Hispanic &amp; Foreign'!BG4/'Total Associates'!AW4)*100</f>
        <v>2.0979393194401346</v>
      </c>
      <c r="K8" s="134">
        <f>+(Black!Z4/'All races'!Z4)*100</f>
        <v>13.982912714821744</v>
      </c>
      <c r="L8" s="135">
        <f>IF(Black!BX4="NA","NA",(Black!BX4/Black!Z4)*100)</f>
        <v>18.927101750872307</v>
      </c>
      <c r="M8" s="134">
        <f>+(Black!AE4/'All races'!AE4)*100</f>
        <v>13.071861341018638</v>
      </c>
      <c r="N8" s="135">
        <f>IF(Black!CC4="NA","NA",(Black!CC4/Black!AE4)*100)</f>
        <v>13.94400254015811</v>
      </c>
      <c r="O8" s="134">
        <f>+('Hispanic &amp; Foreign'!Y4/'All races'!Z4)*100</f>
        <v>15.277476945292246</v>
      </c>
      <c r="P8" s="148">
        <f>+('Hispanic &amp; Foreign'!AD4/'All races'!AE4)*100</f>
        <v>21.374712785578136</v>
      </c>
    </row>
    <row r="9" spans="1:18" ht="12.75" customHeight="1">
      <c r="A9" s="46" t="s">
        <v>49</v>
      </c>
      <c r="C9" s="72">
        <f>+'Total Associates'!AW5</f>
        <v>373221</v>
      </c>
      <c r="D9" s="136">
        <f>+(('Total Associates'!AW5-'Total Associates'!AR5)/'Total Associates'!AR5)*100</f>
        <v>4.8788986649206567</v>
      </c>
      <c r="E9" s="128">
        <f>+(Public!X5/'Total Associates'!AR5)*100</f>
        <v>81.551962996580102</v>
      </c>
      <c r="F9" s="136">
        <f>+(Public!AC5/'Total Associates'!AW5)*100</f>
        <v>88.064712328620303</v>
      </c>
      <c r="G9" s="128">
        <f>+(Gender!CL5/'Total Associates'!AR5)*100</f>
        <v>62.581528077131679</v>
      </c>
      <c r="H9" s="136">
        <f>+(Gender!CQ5/'Total Associates'!AW5)*100</f>
        <v>62.550070869538423</v>
      </c>
      <c r="I9" s="128">
        <f>+('Hispanic &amp; Foreign'!BB5/'Total Associates'!AR5)*100</f>
        <v>1.4764274614383786</v>
      </c>
      <c r="J9" s="136">
        <f>+('Hispanic &amp; Foreign'!BG5/'Total Associates'!AW5)*100</f>
        <v>1.9192381993510546</v>
      </c>
      <c r="K9" s="128">
        <f>+(Black!Z5/'All races'!Z5)*100</f>
        <v>20.432369983718036</v>
      </c>
      <c r="L9" s="136">
        <f>IF(Black!BX5="NA","NA",(Black!BX5/Black!Z5)*100)</f>
        <v>24.366091962441587</v>
      </c>
      <c r="M9" s="128">
        <f>+(Black!AE5/'All races'!AE5)*100</f>
        <v>19.123140883830363</v>
      </c>
      <c r="N9" s="136">
        <f>IF(Black!CC5="NA","NA",(Black!CC5/Black!AE5)*100)</f>
        <v>17.817139497280614</v>
      </c>
      <c r="O9" s="128">
        <f>+('Hispanic &amp; Foreign'!Y5/'All races'!Z5)*100</f>
        <v>16.468729048941672</v>
      </c>
      <c r="P9" s="128">
        <f>+('Hispanic &amp; Foreign'!AD5/'All races'!AE5)*100</f>
        <v>20.67255662029476</v>
      </c>
    </row>
    <row r="10" spans="1:18" ht="14.25" customHeight="1">
      <c r="A10" s="47" t="s">
        <v>189</v>
      </c>
      <c r="B10" s="16"/>
      <c r="C10" s="133">
        <f>+'Total Associates'!AW6</f>
        <v>37.481809992377521</v>
      </c>
      <c r="D10" s="137"/>
      <c r="E10" s="47"/>
      <c r="F10" s="137"/>
      <c r="G10" s="47"/>
      <c r="H10" s="137"/>
      <c r="I10" s="47"/>
      <c r="J10" s="137"/>
      <c r="K10" s="141"/>
      <c r="L10" s="186"/>
      <c r="M10" s="47"/>
      <c r="N10" s="186"/>
      <c r="O10" s="141"/>
      <c r="P10" s="141"/>
    </row>
    <row r="11" spans="1:18" ht="14.25" customHeight="1">
      <c r="A11" s="38" t="s">
        <v>14</v>
      </c>
      <c r="B11" s="38"/>
      <c r="C11" s="62">
        <f>+'Total Associates'!AW7</f>
        <v>11020</v>
      </c>
      <c r="D11" s="138">
        <f>+(('Total Associates'!AW7-'Total Associates'!AR7)/'Total Associates'!AR7)*100</f>
        <v>-16.210462287104622</v>
      </c>
      <c r="E11" s="129">
        <f>+(Public!X7/'Total Associates'!AR7)*100</f>
        <v>78.193430656934311</v>
      </c>
      <c r="F11" s="138">
        <f>+(Public!AC7/'Total Associates'!AW7)*100</f>
        <v>91.669691470054445</v>
      </c>
      <c r="G11" s="129">
        <f>+(Gender!CL7/'Total Associates'!AR7)*100</f>
        <v>63.845802919708028</v>
      </c>
      <c r="H11" s="138">
        <f>+(Gender!CQ7/'Total Associates'!AW7)*100</f>
        <v>64.373865698729588</v>
      </c>
      <c r="I11" s="129">
        <f>+('Hispanic &amp; Foreign'!BB7/'Total Associates'!AR7)*100</f>
        <v>0.58546228710462289</v>
      </c>
      <c r="J11" s="138">
        <f>+('Hispanic &amp; Foreign'!BG7/'Total Associates'!AW7)*100</f>
        <v>0.65335753176043554</v>
      </c>
      <c r="K11" s="129">
        <f>+(Black!Z7/'All races'!Z7)*100</f>
        <v>29.155716162943495</v>
      </c>
      <c r="L11" s="149">
        <f>IF(Black!BX7="NA","NA",(Black!BX7/Black!Z7)*100)</f>
        <v>50.112676056338024</v>
      </c>
      <c r="M11" s="129">
        <f>+(Black!AE7/'All races'!AE7)*100</f>
        <v>25.103851963746219</v>
      </c>
      <c r="N11" s="149">
        <f>IF(Black!CC7="NA","NA",(Black!CC7/Black!AE7)*100)</f>
        <v>45.054531778864238</v>
      </c>
      <c r="O11" s="129">
        <f>+('Hispanic &amp; Foreign'!Y7/'All races'!Z7)*100</f>
        <v>2.0942838370565044</v>
      </c>
      <c r="P11" s="129">
        <f>+('Hispanic &amp; Foreign'!AD7/'All races'!AE7)*100</f>
        <v>3.3327039274924468</v>
      </c>
    </row>
    <row r="12" spans="1:18" ht="14.25" customHeight="1">
      <c r="A12" s="38" t="s">
        <v>15</v>
      </c>
      <c r="B12" s="38"/>
      <c r="C12" s="62">
        <f>+'Total Associates'!AW8</f>
        <v>8600</v>
      </c>
      <c r="D12" s="138">
        <f>+(('Total Associates'!AW8-'Total Associates'!AR8)/'Total Associates'!AR8)*100</f>
        <v>-0.52053209947946788</v>
      </c>
      <c r="E12" s="129">
        <f>+(Public!X8/'Total Associates'!AR8)*100</f>
        <v>93.950260266049739</v>
      </c>
      <c r="F12" s="138">
        <f>+(Public!AC8/'Total Associates'!AW8)*100</f>
        <v>94.802325581395351</v>
      </c>
      <c r="G12" s="129">
        <f>+(Gender!CL8/'Total Associates'!AR8)*100</f>
        <v>67.669172932330824</v>
      </c>
      <c r="H12" s="138">
        <f>+(Gender!CQ8/'Total Associates'!AW8)*100</f>
        <v>67.116279069767444</v>
      </c>
      <c r="I12" s="129">
        <f>+('Hispanic &amp; Foreign'!BB8/'Total Associates'!AR8)*100</f>
        <v>0.69404279930595725</v>
      </c>
      <c r="J12" s="138">
        <f>+('Hispanic &amp; Foreign'!BG8/'Total Associates'!AW8)*100</f>
        <v>0.7441860465116279</v>
      </c>
      <c r="K12" s="129">
        <f>+(Black!Z8/'All races'!Z8)*100</f>
        <v>16.741759544700024</v>
      </c>
      <c r="L12" s="149">
        <f>IF(Black!BX8="NA","NA",(Black!BX8/Black!Z8)*100)</f>
        <v>47.59206798866856</v>
      </c>
      <c r="M12" s="129">
        <f>+(Black!AE8/'All races'!AE8)*100</f>
        <v>17.022531555974989</v>
      </c>
      <c r="N12" s="149">
        <f>IF(Black!CC8="NA","NA",(Black!CC8/Black!AE8)*100)</f>
        <v>21.413721413721415</v>
      </c>
      <c r="O12" s="129">
        <f>+('Hispanic &amp; Foreign'!Y8/'All races'!Z8)*100</f>
        <v>3.4858904434432061</v>
      </c>
      <c r="P12" s="129">
        <f>+('Hispanic &amp; Foreign'!AD8/'All races'!AE8)*100</f>
        <v>5.4854311666863271</v>
      </c>
    </row>
    <row r="13" spans="1:18" ht="14.25" customHeight="1">
      <c r="A13" s="38" t="s">
        <v>50</v>
      </c>
      <c r="B13" s="38"/>
      <c r="C13" s="62">
        <f>+'Total Associates'!AW9</f>
        <v>2091</v>
      </c>
      <c r="D13" s="138">
        <f>+(('Total Associates'!AW9-'Total Associates'!AR9)/'Total Associates'!AR9)*100</f>
        <v>7.3959938366718037</v>
      </c>
      <c r="E13" s="129">
        <f>+(Public!X9/'Total Associates'!AR9)*100</f>
        <v>89.111453518233176</v>
      </c>
      <c r="F13" s="138">
        <f>+(Public!AC9/'Total Associates'!AW9)*100</f>
        <v>92.922046867527499</v>
      </c>
      <c r="G13" s="129">
        <f>+(Gender!CL9/'Total Associates'!AR9)*100</f>
        <v>59.989727786337951</v>
      </c>
      <c r="H13" s="138">
        <f>+(Gender!CQ9/'Total Associates'!AW9)*100</f>
        <v>63.318986131037782</v>
      </c>
      <c r="I13" s="129">
        <f>+('Hispanic &amp; Foreign'!BB9/'Total Associates'!AR9)*100</f>
        <v>2.1058038007190549</v>
      </c>
      <c r="J13" s="138">
        <f>+('Hispanic &amp; Foreign'!BG9/'Total Associates'!AW9)*100</f>
        <v>1.5303682448589193</v>
      </c>
      <c r="K13" s="129">
        <f>+(Black!Z9/'All races'!Z9)*100</f>
        <v>15.918803418803417</v>
      </c>
      <c r="L13" s="149">
        <f>IF(Black!BX9="NA","NA",(Black!BX9/Black!Z9)*100)</f>
        <v>2.348993288590604</v>
      </c>
      <c r="M13" s="129">
        <f>+(Black!AE9/'All races'!AE9)*100</f>
        <v>18.168316831683168</v>
      </c>
      <c r="N13" s="149">
        <f>IF(Black!CC9="NA","NA",(Black!CC9/Black!AE9)*100)</f>
        <v>0.27247956403269752</v>
      </c>
      <c r="O13" s="129">
        <f>+('Hispanic &amp; Foreign'!Y9/'All races'!Z9)*100</f>
        <v>5.0747863247863245</v>
      </c>
      <c r="P13" s="129">
        <f>+('Hispanic &amp; Foreign'!AD9/'All races'!AE9)*100</f>
        <v>9.5544554455445549</v>
      </c>
    </row>
    <row r="14" spans="1:18" ht="14.25" customHeight="1">
      <c r="A14" s="38" t="s">
        <v>16</v>
      </c>
      <c r="B14" s="38"/>
      <c r="C14" s="62">
        <f>+'Total Associates'!AW10</f>
        <v>92518</v>
      </c>
      <c r="D14" s="138">
        <f>+(('Total Associates'!AW10-'Total Associates'!AR10)/'Total Associates'!AR10)*100</f>
        <v>-9.4647225755944806</v>
      </c>
      <c r="E14" s="129">
        <f>+(Public!X10/'Total Associates'!AR10)*100</f>
        <v>77.66121929738722</v>
      </c>
      <c r="F14" s="138">
        <f>+(Public!AC10/'Total Associates'!AW10)*100</f>
        <v>81.444691843749325</v>
      </c>
      <c r="G14" s="129">
        <f>+(Gender!CL10/'Total Associates'!AR10)*100</f>
        <v>62.218416674821405</v>
      </c>
      <c r="H14" s="138">
        <f>+(Gender!CQ10/'Total Associates'!AW10)*100</f>
        <v>64.054562355433546</v>
      </c>
      <c r="I14" s="129">
        <f>+('Hispanic &amp; Foreign'!BB10/'Total Associates'!AR10)*100</f>
        <v>1.5187396027008515</v>
      </c>
      <c r="J14" s="138">
        <f>+('Hispanic &amp; Foreign'!BG10/'Total Associates'!AW10)*100</f>
        <v>2.5454506150154566</v>
      </c>
      <c r="K14" s="129">
        <f>+(Black!Z10/'All races'!Z10)*100</f>
        <v>19.146803414474586</v>
      </c>
      <c r="L14" s="149">
        <f>IF(Black!BX10="NA","NA",(Black!BX10/Black!Z10)*100)</f>
        <v>7.7482640802380693</v>
      </c>
      <c r="M14" s="129">
        <f>+(Black!AE10/'All races'!AE10)*100</f>
        <v>19.441383550044659</v>
      </c>
      <c r="N14" s="149">
        <f>IF(Black!CC10="NA","NA",(Black!CC10/Black!AE10)*100)</f>
        <v>2.9950480281606109</v>
      </c>
      <c r="O14" s="129">
        <f>+('Hispanic &amp; Foreign'!Y10/'All races'!Z10)*100</f>
        <v>25.476665294967976</v>
      </c>
      <c r="P14" s="129">
        <f>+('Hispanic &amp; Foreign'!AD10/'All races'!AE10)*100</f>
        <v>27.232551935322981</v>
      </c>
    </row>
    <row r="15" spans="1:18" ht="14.25" customHeight="1">
      <c r="A15" s="39" t="s">
        <v>17</v>
      </c>
      <c r="B15" s="39"/>
      <c r="C15" s="61">
        <f>+'Total Associates'!AW11</f>
        <v>19058</v>
      </c>
      <c r="D15" s="137">
        <f>+(('Total Associates'!AW11-'Total Associates'!AR11)/'Total Associates'!AR11)*100</f>
        <v>3.5029598653125507</v>
      </c>
      <c r="E15" s="47">
        <f>+(Public!X11/'Total Associates'!AR11)*100</f>
        <v>78.72698636832672</v>
      </c>
      <c r="F15" s="137">
        <f>+(Public!AC11/'Total Associates'!AW11)*100</f>
        <v>85.538881309686218</v>
      </c>
      <c r="G15" s="47">
        <f>+(Gender!CL11/'Total Associates'!AR11)*100</f>
        <v>65.068158366371591</v>
      </c>
      <c r="H15" s="137">
        <f>+(Gender!CQ11/'Total Associates'!AW11)*100</f>
        <v>66.318606359534044</v>
      </c>
      <c r="I15" s="47">
        <f>+('Hispanic &amp; Foreign'!BB11/'Total Associates'!AR11)*100</f>
        <v>1.5804051485363604</v>
      </c>
      <c r="J15" s="137">
        <f>+('Hispanic &amp; Foreign'!BG11/'Total Associates'!AW11)*100</f>
        <v>1.7315563018155105</v>
      </c>
      <c r="K15" s="47">
        <f>+(Black!Z11/'All races'!Z11)*100</f>
        <v>37.759935304990762</v>
      </c>
      <c r="L15" s="186">
        <f>IF(Black!BX11="NA","NA",(Black!BX11/Black!Z11)*100)</f>
        <v>47.789505889551783</v>
      </c>
      <c r="M15" s="47">
        <f>+(Black!AE11/'All races'!AE11)*100</f>
        <v>37.33121959219374</v>
      </c>
      <c r="N15" s="186">
        <f>IF(Black!CC11="NA","NA",(Black!CC11/Black!AE11)*100)</f>
        <v>45.306779909210718</v>
      </c>
      <c r="O15" s="47">
        <f>+('Hispanic &amp; Foreign'!Y11/'All races'!Z11)*100</f>
        <v>4.8867837338262481</v>
      </c>
      <c r="P15" s="47">
        <f>+('Hispanic &amp; Foreign'!AD11/'All races'!AE11)*100</f>
        <v>6.7621494560760942</v>
      </c>
    </row>
    <row r="16" spans="1:18" ht="14.25" customHeight="1">
      <c r="A16" s="39" t="s">
        <v>18</v>
      </c>
      <c r="B16" s="39"/>
      <c r="C16" s="61">
        <f>+'Total Associates'!AW12</f>
        <v>12350</v>
      </c>
      <c r="D16" s="137">
        <f>+(('Total Associates'!AW12-'Total Associates'!AR12)/'Total Associates'!AR12)*100</f>
        <v>-15.716918037261996</v>
      </c>
      <c r="E16" s="47">
        <f>+(Public!X12/'Total Associates'!AR12)*100</f>
        <v>66.587047021087827</v>
      </c>
      <c r="F16" s="137">
        <f>+(Public!AC12/'Total Associates'!AW12)*100</f>
        <v>86.016194331983812</v>
      </c>
      <c r="G16" s="47">
        <f>+(Gender!CL12/'Total Associates'!AR12)*100</f>
        <v>67.098887599808904</v>
      </c>
      <c r="H16" s="137">
        <f>+(Gender!CQ12/'Total Associates'!AW12)*100</f>
        <v>64.97165991902834</v>
      </c>
      <c r="I16" s="47">
        <f>+('Hispanic &amp; Foreign'!BB12/'Total Associates'!AR12)*100</f>
        <v>0.27298164198457653</v>
      </c>
      <c r="J16" s="137">
        <f>+('Hispanic &amp; Foreign'!BG12/'Total Associates'!AW12)*100</f>
        <v>0.31578947368421051</v>
      </c>
      <c r="K16" s="47">
        <f>+(Black!Z12/'All races'!Z12)*100</f>
        <v>10.696464965914682</v>
      </c>
      <c r="L16" s="186">
        <f>IF(Black!BX12="NA","NA",(Black!BX12/Black!Z12)*100)</f>
        <v>0.78843626806833111</v>
      </c>
      <c r="M16" s="47">
        <f>+(Black!AE12/'All races'!AE12)*100</f>
        <v>7.8130161876445321</v>
      </c>
      <c r="N16" s="186">
        <f>IF(Black!CC12="NA","NA",(Black!CC12/Black!AE12)*100)</f>
        <v>2.8541226215644819</v>
      </c>
      <c r="O16" s="47">
        <f>+('Hispanic &amp; Foreign'!Y12/'All races'!Z12)*100</f>
        <v>2.066202825216108</v>
      </c>
      <c r="P16" s="47">
        <f>+('Hispanic &amp; Foreign'!AD12/'All races'!AE12)*100</f>
        <v>2.8658738024446646</v>
      </c>
    </row>
    <row r="17" spans="1:30" ht="14.25" customHeight="1">
      <c r="A17" s="39" t="s">
        <v>19</v>
      </c>
      <c r="B17" s="39"/>
      <c r="C17" s="61">
        <f>+'Total Associates'!AW13</f>
        <v>6931</v>
      </c>
      <c r="D17" s="137">
        <f>+(('Total Associates'!AW13-'Total Associates'!AR13)/'Total Associates'!AR13)*100</f>
        <v>-10.057098364910459</v>
      </c>
      <c r="E17" s="47">
        <f>+(Public!X13/'Total Associates'!AR13)*100</f>
        <v>77.056838826888139</v>
      </c>
      <c r="F17" s="137">
        <f>+(Public!AC13/'Total Associates'!AW13)*100</f>
        <v>83.696436300678116</v>
      </c>
      <c r="G17" s="47">
        <f>+(Gender!CL13/'Total Associates'!AR13)*100</f>
        <v>61.536465092135998</v>
      </c>
      <c r="H17" s="137">
        <f>+(Gender!CQ13/'Total Associates'!AW13)*100</f>
        <v>62.357524166786902</v>
      </c>
      <c r="I17" s="47">
        <f>+('Hispanic &amp; Foreign'!BB13/'Total Associates'!AR13)*100</f>
        <v>0.36335323124837787</v>
      </c>
      <c r="J17" s="137">
        <f>+('Hispanic &amp; Foreign'!BG13/'Total Associates'!AW13)*100</f>
        <v>0.70696869138652429</v>
      </c>
      <c r="K17" s="47">
        <f>+(Black!Z13/'All races'!Z13)*100</f>
        <v>32.95774647887324</v>
      </c>
      <c r="L17" s="186">
        <f>IF(Black!BX13="NA","NA",(Black!BX13/Black!Z13)*100)</f>
        <v>29.230769230769234</v>
      </c>
      <c r="M17" s="47">
        <f>+(Black!AE13/'All races'!AE13)*100</f>
        <v>34.680691209616832</v>
      </c>
      <c r="N17" s="186">
        <f>IF(Black!CC13="NA","NA",(Black!CC13/Black!AE13)*100)</f>
        <v>31.109185441941072</v>
      </c>
      <c r="O17" s="47">
        <f>+('Hispanic &amp; Foreign'!Y13/'All races'!Z13)*100</f>
        <v>2.7887323943661975</v>
      </c>
      <c r="P17" s="47">
        <f>+('Hispanic &amp; Foreign'!AD13/'All races'!AE13)*100</f>
        <v>4.552967693463561</v>
      </c>
    </row>
    <row r="18" spans="1:30" ht="14.25" customHeight="1">
      <c r="A18" s="39" t="s">
        <v>20</v>
      </c>
      <c r="B18" s="39"/>
      <c r="C18" s="61">
        <f>+'Total Associates'!AW14</f>
        <v>16877</v>
      </c>
      <c r="D18" s="137">
        <f>+(('Total Associates'!AW14-'Total Associates'!AR14)/'Total Associates'!AR14)*100</f>
        <v>11.355238849300607</v>
      </c>
      <c r="E18" s="47">
        <f>+(Public!X14/'Total Associates'!AR14)*100</f>
        <v>94.022169437846387</v>
      </c>
      <c r="F18" s="137">
        <f>+(Public!AC14/'Total Associates'!AW14)*100</f>
        <v>97.807667239438288</v>
      </c>
      <c r="G18" s="47">
        <f>+(Gender!CL14/'Total Associates'!AR14)*100</f>
        <v>61.520190023752974</v>
      </c>
      <c r="H18" s="137">
        <f>+(Gender!CQ14/'Total Associates'!AW14)*100</f>
        <v>58.250873970492393</v>
      </c>
      <c r="I18" s="47">
        <f>+('Hispanic &amp; Foreign'!BB14/'Total Associates'!AR14)*100</f>
        <v>4.7967801530746899</v>
      </c>
      <c r="J18" s="137">
        <f>+('Hispanic &amp; Foreign'!BG14/'Total Associates'!AW14)*100</f>
        <v>3.7743674823724591</v>
      </c>
      <c r="K18" s="47">
        <f>+(Black!Z14/'All races'!Z14)*100</f>
        <v>24.238004958436633</v>
      </c>
      <c r="L18" s="186">
        <f>IF(Black!BX14="NA","NA",(Black!BX14/Black!Z14)*100)</f>
        <v>38.297232250300844</v>
      </c>
      <c r="M18" s="47">
        <f>+(Black!AE14/'All races'!AE14)*100</f>
        <v>23.876635277760222</v>
      </c>
      <c r="N18" s="186">
        <f>IF(Black!CC14="NA","NA",(Black!CC14/Black!AE14)*100)</f>
        <v>27.951296982530437</v>
      </c>
      <c r="O18" s="47">
        <f>+('Hispanic &amp; Foreign'!Y14/'All races'!Z14)*100</f>
        <v>6.4313839871663987</v>
      </c>
      <c r="P18" s="47">
        <f>+('Hispanic &amp; Foreign'!AD14/'All races'!AE14)*100</f>
        <v>9.7326676357201549</v>
      </c>
    </row>
    <row r="19" spans="1:30" ht="14.25" customHeight="1">
      <c r="A19" s="38" t="s">
        <v>21</v>
      </c>
      <c r="B19" s="38"/>
      <c r="C19" s="62">
        <f>+'Total Associates'!AW15</f>
        <v>13497</v>
      </c>
      <c r="D19" s="138">
        <f>+(('Total Associates'!AW15-'Total Associates'!AR15)/'Total Associates'!AR15)*100</f>
        <v>3.8550323176361956</v>
      </c>
      <c r="E19" s="129">
        <f>+(Public!X15/'Total Associates'!AR15)*100</f>
        <v>94.682979378270232</v>
      </c>
      <c r="F19" s="138">
        <f>+(Public!AC15/'Total Associates'!AW15)*100</f>
        <v>97.895828702674663</v>
      </c>
      <c r="G19" s="129">
        <f>+(Gender!CL15/'Total Associates'!AR15)*100</f>
        <v>67.559248999692215</v>
      </c>
      <c r="H19" s="138">
        <f>+(Gender!CQ15/'Total Associates'!AW15)*100</f>
        <v>62.888049196117656</v>
      </c>
      <c r="I19" s="129">
        <f>+('Hispanic &amp; Foreign'!BB15/'Total Associates'!AR15)*100</f>
        <v>2.3084025854108955E-2</v>
      </c>
      <c r="J19" s="138">
        <f>+('Hispanic &amp; Foreign'!BG15/'Total Associates'!AW15)*100</f>
        <v>1.4818107727643181E-2</v>
      </c>
      <c r="K19" s="129">
        <f>+(Black!Z15/'All races'!Z15)*100</f>
        <v>36.271053662358014</v>
      </c>
      <c r="L19" s="149">
        <f>IF(Black!BX15="NA","NA",(Black!BX15/Black!Z15)*100)</f>
        <v>44.427645788336932</v>
      </c>
      <c r="M19" s="129">
        <f>+(Black!AE15/'All races'!AE15)*100</f>
        <v>34.32464990212317</v>
      </c>
      <c r="N19" s="149">
        <f>IF(Black!CC15="NA","NA",(Black!CC15/Black!AE15)*100)</f>
        <v>31.651677999561308</v>
      </c>
      <c r="O19" s="129">
        <f>+('Hispanic &amp; Foreign'!Y15/'All races'!Z15)*100</f>
        <v>1.0027418723070896</v>
      </c>
      <c r="P19" s="129">
        <f>+('Hispanic &amp; Foreign'!AD15/'All races'!AE15)*100</f>
        <v>1.814485770215329</v>
      </c>
    </row>
    <row r="20" spans="1:30" ht="14.25" customHeight="1">
      <c r="A20" s="38" t="s">
        <v>22</v>
      </c>
      <c r="B20" s="38"/>
      <c r="C20" s="62">
        <f>+'Total Associates'!AW16</f>
        <v>33887</v>
      </c>
      <c r="D20" s="138">
        <f>+(('Total Associates'!AW16-'Total Associates'!AR16)/'Total Associates'!AR16)*100</f>
        <v>22.459525874530211</v>
      </c>
      <c r="E20" s="129">
        <f>+(Public!X16/'Total Associates'!AR16)*100</f>
        <v>89.888696154958083</v>
      </c>
      <c r="F20" s="138">
        <f>+(Public!AC16/'Total Associates'!AW16)*100</f>
        <v>93.071089208250953</v>
      </c>
      <c r="G20" s="129">
        <f>+(Gender!CL16/'Total Associates'!AR16)*100</f>
        <v>63.099884359641514</v>
      </c>
      <c r="H20" s="138">
        <f>+(Gender!CQ16/'Total Associates'!AW16)*100</f>
        <v>62.271667601144983</v>
      </c>
      <c r="I20" s="129">
        <f>+('Hispanic &amp; Foreign'!BB16/'Total Associates'!AR16)*100</f>
        <v>0.70829719572130667</v>
      </c>
      <c r="J20" s="138">
        <f>+('Hispanic &amp; Foreign'!BG16/'Total Associates'!AW16)*100</f>
        <v>1.9978162717266208</v>
      </c>
      <c r="K20" s="129">
        <f>+(Black!Z16/'All races'!Z16)*100</f>
        <v>20.429940630941758</v>
      </c>
      <c r="L20" s="149">
        <f>IF(Black!BX16="NA","NA",(Black!BX16/Black!Z16)*100)</f>
        <v>15.821462488129153</v>
      </c>
      <c r="M20" s="129">
        <f>+(Black!AE16/'All races'!AE16)*100</f>
        <v>19.247019059243264</v>
      </c>
      <c r="N20" s="149">
        <f>IF(Black!CC16="NA","NA",(Black!CC16/Black!AE16)*100)</f>
        <v>14.195121951219511</v>
      </c>
      <c r="O20" s="129">
        <f>+('Hispanic &amp; Foreign'!Y16/'All races'!Z16)*100</f>
        <v>4.3382096154592364</v>
      </c>
      <c r="P20" s="129">
        <f>+('Hispanic &amp; Foreign'!AD16/'All races'!AE16)*100</f>
        <v>8.612649829436986</v>
      </c>
    </row>
    <row r="21" spans="1:30" ht="14.25" customHeight="1">
      <c r="A21" s="38" t="s">
        <v>23</v>
      </c>
      <c r="B21" s="38"/>
      <c r="C21" s="62">
        <f>+'Total Associates'!AW17</f>
        <v>11561</v>
      </c>
      <c r="D21" s="138">
        <f>+(('Total Associates'!AW17-'Total Associates'!AR17)/'Total Associates'!AR17)*100</f>
        <v>0.41692000347433339</v>
      </c>
      <c r="E21" s="129">
        <f>+(Public!X17/'Total Associates'!AR17)*100</f>
        <v>85.329627377746903</v>
      </c>
      <c r="F21" s="138">
        <f>+(Public!AC17/'Total Associates'!AW17)*100</f>
        <v>89.741371853645873</v>
      </c>
      <c r="G21" s="129">
        <f>+(Gender!CL17/'Total Associates'!AR17)*100</f>
        <v>62.121080517675672</v>
      </c>
      <c r="H21" s="138">
        <f>+(Gender!CQ17/'Total Associates'!AW17)*100</f>
        <v>61.482570711876136</v>
      </c>
      <c r="I21" s="129">
        <f>+('Hispanic &amp; Foreign'!BB17/'Total Associates'!AR17)*100</f>
        <v>1.7197950143316252</v>
      </c>
      <c r="J21" s="138">
        <f>+('Hispanic &amp; Foreign'!BG17/'Total Associates'!AW17)*100</f>
        <v>2.9236225240031137</v>
      </c>
      <c r="K21" s="129">
        <f>+(Black!Z17/'All races'!Z17)*100</f>
        <v>8.7394802552483117</v>
      </c>
      <c r="L21" s="149">
        <f>IF(Black!BX17="NA","NA",(Black!BX17/Black!Z17)*100)</f>
        <v>6.0317460317460316</v>
      </c>
      <c r="M21" s="129">
        <f>+(Black!AE17/'All races'!AE17)*100</f>
        <v>8.837594261541291</v>
      </c>
      <c r="N21" s="149">
        <f>IF(Black!CC17="NA","NA",(Black!CC17/Black!AE17)*100)</f>
        <v>1.1446409989594173</v>
      </c>
      <c r="O21" s="129">
        <f>+('Hispanic &amp; Foreign'!Y17/'All races'!Z17)*100</f>
        <v>4.7720336631832057</v>
      </c>
      <c r="P21" s="129">
        <f>+('Hispanic &amp; Foreign'!AD17/'All races'!AE17)*100</f>
        <v>8.4881368401692114</v>
      </c>
      <c r="R21" s="169" t="s">
        <v>213</v>
      </c>
      <c r="S21" s="168"/>
      <c r="T21" s="168"/>
      <c r="U21" s="168"/>
      <c r="V21" s="168"/>
      <c r="W21" s="168"/>
      <c r="X21" s="168"/>
      <c r="Y21" s="168"/>
      <c r="Z21" s="168"/>
      <c r="AA21" s="168"/>
      <c r="AB21" s="168"/>
      <c r="AC21" s="168"/>
      <c r="AD21" s="168"/>
    </row>
    <row r="22" spans="1:30" ht="14.25" customHeight="1">
      <c r="A22" s="38" t="s">
        <v>24</v>
      </c>
      <c r="B22" s="38"/>
      <c r="C22" s="62">
        <f>+'Total Associates'!AW18</f>
        <v>11259</v>
      </c>
      <c r="D22" s="138">
        <f>+(('Total Associates'!AW18-'Total Associates'!AR18)/'Total Associates'!AR18)*100</f>
        <v>4.3466172381835033</v>
      </c>
      <c r="E22" s="129">
        <f>+(Public!X18/'Total Associates'!AR18)*100</f>
        <v>82.974976830398518</v>
      </c>
      <c r="F22" s="138">
        <f>+(Public!AC18/'Total Associates'!AW18)*100</f>
        <v>88.409272581934445</v>
      </c>
      <c r="G22" s="129">
        <f>+(Gender!CL18/'Total Associates'!AR18)*100</f>
        <v>62.53938832252085</v>
      </c>
      <c r="H22" s="138">
        <f>+(Gender!CQ18/'Total Associates'!AW18)*100</f>
        <v>62.891908695266011</v>
      </c>
      <c r="I22" s="129">
        <f>+('Hispanic &amp; Foreign'!BB18/'Total Associates'!AR18)*100</f>
        <v>0.15755329008341057</v>
      </c>
      <c r="J22" s="138">
        <f>+('Hispanic &amp; Foreign'!BG18/'Total Associates'!AW18)*100</f>
        <v>0.14210853539390708</v>
      </c>
      <c r="K22" s="129">
        <f>+(Black!Z18/'All races'!Z18)*100</f>
        <v>29.77261731978713</v>
      </c>
      <c r="L22" s="149">
        <f>IF(Black!BX18="NA","NA",(Black!BX18/Black!Z18)*100)</f>
        <v>37.861553461163474</v>
      </c>
      <c r="M22" s="129">
        <f>+(Black!AE18/'All races'!AE18)*100</f>
        <v>25.828119249171884</v>
      </c>
      <c r="N22" s="149">
        <f>IF(Black!CC18="NA","NA",(Black!CC18/Black!AE18)*100)</f>
        <v>20.021375133594585</v>
      </c>
      <c r="O22" s="129">
        <f>+('Hispanic &amp; Foreign'!Y18/'All races'!Z18)*100</f>
        <v>2.583454281567489</v>
      </c>
      <c r="P22" s="129">
        <f>+('Hispanic &amp; Foreign'!AD18/'All races'!AE18)*100</f>
        <v>3.8001472211998526</v>
      </c>
    </row>
    <row r="23" spans="1:30" ht="14.25" customHeight="1">
      <c r="A23" s="39" t="s">
        <v>25</v>
      </c>
      <c r="B23" s="39"/>
      <c r="C23" s="61">
        <f>+'Total Associates'!AW19</f>
        <v>13535</v>
      </c>
      <c r="D23" s="137">
        <f>+(('Total Associates'!AW19-'Total Associates'!AR19)/'Total Associates'!AR19)*100</f>
        <v>-9.5955122527310296E-2</v>
      </c>
      <c r="E23" s="47">
        <f>+(Public!X19/'Total Associates'!AR19)*100</f>
        <v>70.098907587835839</v>
      </c>
      <c r="F23" s="137">
        <f>+(Public!AC19/'Total Associates'!AW19)*100</f>
        <v>82.031769486516438</v>
      </c>
      <c r="G23" s="47">
        <f>+(Gender!CL19/'Total Associates'!AR19)*100</f>
        <v>61.167700029524653</v>
      </c>
      <c r="H23" s="137">
        <f>+(Gender!CQ19/'Total Associates'!AW19)*100</f>
        <v>63.258219431104543</v>
      </c>
      <c r="I23" s="47">
        <f>+('Hispanic &amp; Foreign'!BB19/'Total Associates'!AR19)*100</f>
        <v>0.28786536758193093</v>
      </c>
      <c r="J23" s="137">
        <f>+('Hispanic &amp; Foreign'!BG19/'Total Associates'!AW19)*100</f>
        <v>0.51717768747691173</v>
      </c>
      <c r="K23" s="47">
        <f>+(Black!Z19/'All races'!Z19)*100</f>
        <v>19.674272105707921</v>
      </c>
      <c r="L23" s="186">
        <f>IF(Black!BX19="NA","NA",(Black!BX19/Black!Z19)*100)</f>
        <v>57.516595080046862</v>
      </c>
      <c r="M23" s="47">
        <f>+(Black!AE19/'All races'!AE19)*100</f>
        <v>15.782742796960806</v>
      </c>
      <c r="N23" s="186">
        <f>IF(Black!CC19="NA","NA",(Black!CC19/Black!AE19)*100)</f>
        <v>51.715919923736898</v>
      </c>
      <c r="O23" s="47">
        <f>+('Hispanic &amp; Foreign'!Y19/'All races'!Z19)*100</f>
        <v>2.9576707382653455</v>
      </c>
      <c r="P23" s="47">
        <f>+('Hispanic &amp; Foreign'!AD19/'All races'!AE19)*100</f>
        <v>4.2353118182502074</v>
      </c>
    </row>
    <row r="24" spans="1:30" ht="14.25" customHeight="1">
      <c r="A24" s="39" t="s">
        <v>26</v>
      </c>
      <c r="B24" s="39"/>
      <c r="C24" s="61">
        <f>+'Total Associates'!AW20</f>
        <v>91545</v>
      </c>
      <c r="D24" s="137">
        <f>+(('Total Associates'!AW20-'Total Associates'!AR20)/'Total Associates'!AR20)*100</f>
        <v>35.920239933483785</v>
      </c>
      <c r="E24" s="47">
        <f>+(Public!X20/'Total Associates'!AR20)*100</f>
        <v>88.613552678465382</v>
      </c>
      <c r="F24" s="137">
        <f>+(Public!AC20/'Total Associates'!AW20)*100</f>
        <v>93.539789174722813</v>
      </c>
      <c r="G24" s="47">
        <f>+(Gender!CL20/'Total Associates'!AR20)*100</f>
        <v>60.265470958546139</v>
      </c>
      <c r="H24" s="137">
        <f>+(Gender!CQ20/'Total Associates'!AW20)*100</f>
        <v>60.352831940575669</v>
      </c>
      <c r="I24" s="47">
        <f>+('Hispanic &amp; Foreign'!BB20/'Total Associates'!AR20)*100</f>
        <v>2.4305143128637607</v>
      </c>
      <c r="J24" s="137">
        <f>+('Hispanic &amp; Foreign'!BG20/'Total Associates'!AW20)*100</f>
        <v>2.3671418428095472</v>
      </c>
      <c r="K24" s="47">
        <f>+(Black!Z20/'All races'!Z20)*100</f>
        <v>13.315432001263625</v>
      </c>
      <c r="L24" s="186">
        <f>IF(Black!BX20="NA","NA",(Black!BX20/Black!Z20)*100)</f>
        <v>5.8481613285883753</v>
      </c>
      <c r="M24" s="47">
        <f>+(Black!AE20/'All races'!AE20)*100</f>
        <v>12.722704171546168</v>
      </c>
      <c r="N24" s="186">
        <f>IF(Black!CC20="NA","NA",(Black!CC20/Black!AE20)*100)</f>
        <v>2.7167113494191244</v>
      </c>
      <c r="O24" s="47">
        <f>+('Hispanic &amp; Foreign'!Y20/'All races'!Z20)*100</f>
        <v>37.704943926709838</v>
      </c>
      <c r="P24" s="47">
        <f>+('Hispanic &amp; Foreign'!AD20/'All races'!AE20)*100</f>
        <v>43.530067194979139</v>
      </c>
    </row>
    <row r="25" spans="1:30" ht="14.25" customHeight="1">
      <c r="A25" s="39" t="s">
        <v>27</v>
      </c>
      <c r="B25" s="39"/>
      <c r="C25" s="61">
        <f>+'Total Associates'!AW21</f>
        <v>24187</v>
      </c>
      <c r="D25" s="137">
        <f>+(('Total Associates'!AW21-'Total Associates'!AR21)/'Total Associates'!AR21)*100</f>
        <v>-7.679682430627123</v>
      </c>
      <c r="E25" s="47">
        <f>+(Public!X21/'Total Associates'!AR21)*100</f>
        <v>68.987365929997324</v>
      </c>
      <c r="F25" s="137">
        <f>+(Public!AC21/'Total Associates'!AW21)*100</f>
        <v>76.780915367759533</v>
      </c>
      <c r="G25" s="47">
        <f>+(Gender!CL21/'Total Associates'!AR21)*100</f>
        <v>61.632123363487153</v>
      </c>
      <c r="H25" s="137">
        <f>+(Gender!CQ21/'Total Associates'!AW21)*100</f>
        <v>61.487575970562702</v>
      </c>
      <c r="I25" s="47">
        <f>+('Hispanic &amp; Foreign'!BB21/'Total Associates'!AR21)*100</f>
        <v>1.3130272147791899</v>
      </c>
      <c r="J25" s="137">
        <f>+('Hispanic &amp; Foreign'!BG21/'Total Associates'!AW21)*100</f>
        <v>1.2403357175342127</v>
      </c>
      <c r="K25" s="47">
        <f>+(Black!Z21/'All races'!Z21)*100</f>
        <v>24.457689656570572</v>
      </c>
      <c r="L25" s="186">
        <f>IF(Black!BX21="NA","NA",(Black!BX21/Black!Z21)*100)</f>
        <v>26.45888594164456</v>
      </c>
      <c r="M25" s="47">
        <f>+(Black!AE21/'All races'!AE21)*100</f>
        <v>21.368926578116213</v>
      </c>
      <c r="N25" s="186">
        <f>IF(Black!CC21="NA","NA",(Black!CC21/Black!AE21)*100)</f>
        <v>18.647499493824661</v>
      </c>
      <c r="O25" s="47">
        <f>+('Hispanic &amp; Foreign'!Y21/'All races'!Z21)*100</f>
        <v>6.90508048493695</v>
      </c>
      <c r="P25" s="47">
        <f>+('Hispanic &amp; Foreign'!AD21/'All races'!AE21)*100</f>
        <v>10.262622766408516</v>
      </c>
    </row>
    <row r="26" spans="1:30" ht="14.25" customHeight="1">
      <c r="A26" s="40" t="s">
        <v>28</v>
      </c>
      <c r="B26" s="40"/>
      <c r="C26" s="60">
        <f>+'Total Associates'!AW22</f>
        <v>4305</v>
      </c>
      <c r="D26" s="140">
        <f>+(('Total Associates'!AW22-'Total Associates'!AR22)/'Total Associates'!AR22)*100</f>
        <v>9.6256684491978604</v>
      </c>
      <c r="E26" s="192">
        <f>+(Public!X22/'Total Associates'!AR22)*100</f>
        <v>77.82021899668959</v>
      </c>
      <c r="F26" s="140">
        <f>+(Public!AC22/'Total Associates'!AW22)*100</f>
        <v>81.486643437862952</v>
      </c>
      <c r="G26" s="192">
        <f>+(Gender!CL22/'Total Associates'!AR22)*100</f>
        <v>67.787114845938376</v>
      </c>
      <c r="H26" s="140">
        <f>+(Gender!CQ22/'Total Associates'!AW22)*100</f>
        <v>63.159117305458764</v>
      </c>
      <c r="I26" s="192">
        <f>+('Hispanic &amp; Foreign'!BB22/'Total Associates'!AR22)*100</f>
        <v>0.10185892538833714</v>
      </c>
      <c r="J26" s="140">
        <f>+('Hispanic &amp; Foreign'!BG22/'Total Associates'!AW22)*100</f>
        <v>0.34843205574912894</v>
      </c>
      <c r="K26" s="192">
        <f>+(Black!Z22/'All races'!Z22)*100</f>
        <v>5.1724137931034484</v>
      </c>
      <c r="L26" s="194">
        <f>IF(Black!BX22="NA","NA",(Black!BX22/Black!Z22)*100)</f>
        <v>1.5151515151515151</v>
      </c>
      <c r="M26" s="192">
        <f>+(Black!AE22/'All races'!AE22)*100</f>
        <v>5.5555555555555554</v>
      </c>
      <c r="N26" s="194">
        <f>IF(Black!CC22="NA","NA",(Black!CC22/Black!AE22)*100)</f>
        <v>7.2340425531914887</v>
      </c>
      <c r="O26" s="192">
        <f>+('Hispanic &amp; Foreign'!Y22/'All races'!Z22)*100</f>
        <v>0.70532915360501569</v>
      </c>
      <c r="P26" s="131">
        <f>+('Hispanic &amp; Foreign'!AD22/'All races'!AE22)*100</f>
        <v>1.7966903073286054</v>
      </c>
    </row>
    <row r="27" spans="1:30" ht="14.25" customHeight="1">
      <c r="A27" s="39" t="s">
        <v>185</v>
      </c>
      <c r="B27" s="39"/>
      <c r="C27" s="61">
        <f>+'Total Associates'!AW23</f>
        <v>283667</v>
      </c>
      <c r="D27" s="137">
        <f>+(('Total Associates'!AW23-'Total Associates'!AR23)/'Total Associates'!AR23)*100</f>
        <v>3.5727064940375781</v>
      </c>
      <c r="E27" s="47">
        <f>+(Public!X23/'Total Associates'!AR23)*100</f>
        <v>68.044632359921437</v>
      </c>
      <c r="F27" s="137">
        <f>+(Public!AC23/'Total Associates'!AW23)*100</f>
        <v>88.451247413340297</v>
      </c>
      <c r="G27" s="47">
        <f>+(Gender!CL23/'Total Associates'!AR23)*100</f>
        <v>60.959829415587727</v>
      </c>
      <c r="H27" s="137">
        <f>+(Gender!CQ23/'Total Associates'!AW23)*100</f>
        <v>59.994994130441683</v>
      </c>
      <c r="I27" s="47">
        <f>+('Hispanic &amp; Foreign'!BB23/'Total Associates'!AR23)*100</f>
        <v>2.2166480455086499</v>
      </c>
      <c r="J27" s="137">
        <f>+('Hispanic &amp; Foreign'!BG23/'Total Associates'!AW23)*100</f>
        <v>2.7782576048676795</v>
      </c>
      <c r="K27" s="47">
        <f>+(Black!Z23/'All races'!Z23)*100</f>
        <v>7.0783999731003151</v>
      </c>
      <c r="L27" s="186">
        <f>IF(Black!BX23="NA","NA",(Black!BX23/Black!Z23)*100)</f>
        <v>0.90849712012350814</v>
      </c>
      <c r="M27" s="47">
        <f>+(Black!AE23/'All races'!AE23)*100</f>
        <v>5.6019052299317664</v>
      </c>
      <c r="N27" s="186">
        <f>IF(Black!CC23="NA","NA",(Black!CC23/Black!AE23)*100)</f>
        <v>2.8679398070045212</v>
      </c>
      <c r="O27" s="47">
        <f>+('Hispanic &amp; Foreign'!Y23/'All races'!Z23)*100</f>
        <v>23.368260893321732</v>
      </c>
      <c r="P27" s="47">
        <f>+('Hispanic &amp; Foreign'!AD23/'All races'!AE23)*100</f>
        <v>33.443967716937266</v>
      </c>
    </row>
    <row r="28" spans="1:30" ht="14.25" customHeight="1">
      <c r="A28" s="47" t="s">
        <v>189</v>
      </c>
      <c r="B28" s="39"/>
      <c r="C28" s="132">
        <f>+'Total Associates'!AW24</f>
        <v>28.4880877418681</v>
      </c>
      <c r="D28" s="137"/>
      <c r="E28" s="47"/>
      <c r="F28" s="137"/>
      <c r="G28" s="47"/>
      <c r="H28" s="137"/>
      <c r="I28" s="47"/>
      <c r="J28" s="137"/>
      <c r="K28" s="141"/>
      <c r="L28" s="186"/>
      <c r="M28" s="47"/>
      <c r="N28" s="186"/>
      <c r="O28" s="141"/>
      <c r="P28" s="141"/>
    </row>
    <row r="29" spans="1:30" ht="14.25" customHeight="1">
      <c r="A29" s="38" t="s">
        <v>112</v>
      </c>
      <c r="B29" s="38"/>
      <c r="C29" s="62">
        <f>+'Total Associates'!AW25</f>
        <v>1353</v>
      </c>
      <c r="D29" s="138">
        <f>+(('Total Associates'!AW25-'Total Associates'!AR25)/'Total Associates'!AR25)*100</f>
        <v>-20.691676436107855</v>
      </c>
      <c r="E29" s="129">
        <f>+(Public!X25/'Total Associates'!AR25)*100</f>
        <v>65.650644783118409</v>
      </c>
      <c r="F29" s="138">
        <f>+(Public!AC25/'Total Associates'!AW25)*100</f>
        <v>95.121951219512198</v>
      </c>
      <c r="G29" s="129">
        <f>+(Gender!CL25/'Total Associates'!AR25)*100</f>
        <v>65.885111371629549</v>
      </c>
      <c r="H29" s="138">
        <f>+(Gender!CQ25/'Total Associates'!AW25)*100</f>
        <v>62.158167036215815</v>
      </c>
      <c r="I29" s="129">
        <f>+('Hispanic &amp; Foreign'!BB25/'Total Associates'!AR25)*100</f>
        <v>2.1101992966002343</v>
      </c>
      <c r="J29" s="138">
        <f>+('Hispanic &amp; Foreign'!BG25/'Total Associates'!AW25)*100</f>
        <v>0.44345898004434592</v>
      </c>
      <c r="K29" s="129">
        <f>+(Black!Z25/'All races'!Z25)*100</f>
        <v>3.6821705426356592</v>
      </c>
      <c r="L29" s="149" t="str">
        <f>IF(Black!BX25="NA","NA",(Black!BX25/Black!Z25)*100)</f>
        <v>NA</v>
      </c>
      <c r="M29" s="129">
        <f>+(Black!AE25/'All races'!AE25)*100</f>
        <v>3.6466774716369525</v>
      </c>
      <c r="N29" s="149" t="str">
        <f>IF(Black!CC25="NA","NA",(Black!CC25/Black!AE25)*100)</f>
        <v>NA</v>
      </c>
      <c r="O29" s="129">
        <f>+('Hispanic &amp; Foreign'!Y25/'All races'!Z25)*100</f>
        <v>13.565891472868216</v>
      </c>
      <c r="P29" s="129">
        <f>+('Hispanic &amp; Foreign'!AD25/'All races'!AE25)*100</f>
        <v>7.7795786061588341</v>
      </c>
    </row>
    <row r="30" spans="1:30" ht="14.25" customHeight="1">
      <c r="A30" s="38" t="s">
        <v>113</v>
      </c>
      <c r="B30" s="38"/>
      <c r="C30" s="62">
        <f>+'Total Associates'!AW26</f>
        <v>29229</v>
      </c>
      <c r="D30" s="138">
        <f>+(('Total Associates'!AW26-'Total Associates'!AR26)/'Total Associates'!AR26)*100</f>
        <v>-53.553154298426819</v>
      </c>
      <c r="E30" s="129">
        <f>+(Public!X26/'Total Associates'!AR26)*100</f>
        <v>26.732877800730968</v>
      </c>
      <c r="F30" s="138">
        <f>+(Public!AC26/'Total Associates'!AW26)*100</f>
        <v>64.412056519210367</v>
      </c>
      <c r="G30" s="129">
        <f>+(Gender!CL26/'Total Associates'!AR26)*100</f>
        <v>65.172413793103445</v>
      </c>
      <c r="H30" s="138">
        <f>+(Gender!CQ26/'Total Associates'!AW26)*100</f>
        <v>59.256218139518971</v>
      </c>
      <c r="I30" s="129">
        <f>+('Hispanic &amp; Foreign'!BB26/'Total Associates'!AR26)*100</f>
        <v>1.473065310662641</v>
      </c>
      <c r="J30" s="138">
        <f>+('Hispanic &amp; Foreign'!BG26/'Total Associates'!AW26)*100</f>
        <v>0.95453145848301346</v>
      </c>
      <c r="K30" s="129">
        <f>+(Black!Z26/'All races'!Z26)*100</f>
        <v>14.504359844712292</v>
      </c>
      <c r="L30" s="149" t="str">
        <f>IF(Black!BX26="NA","NA",(Black!BX26/Black!Z26)*100)</f>
        <v>NA</v>
      </c>
      <c r="M30" s="129">
        <f>+(Black!AE26/'All races'!AE26)*100</f>
        <v>10.942341116904707</v>
      </c>
      <c r="N30" s="149" t="str">
        <f>IF(Black!CC26="NA","NA",(Black!CC26/Black!AE26)*100)</f>
        <v>NA</v>
      </c>
      <c r="O30" s="129">
        <f>+('Hispanic &amp; Foreign'!Y26/'All races'!Z26)*100</f>
        <v>15.419012581556535</v>
      </c>
      <c r="P30" s="129">
        <f>+('Hispanic &amp; Foreign'!AD26/'All races'!AE26)*100</f>
        <v>28.315574699614597</v>
      </c>
    </row>
    <row r="31" spans="1:30" ht="14.25" customHeight="1">
      <c r="A31" s="38" t="s">
        <v>114</v>
      </c>
      <c r="B31" s="38"/>
      <c r="C31" s="62">
        <f>+'Total Associates'!AW27</f>
        <v>151189</v>
      </c>
      <c r="D31" s="138">
        <f>+(('Total Associates'!AW27-'Total Associates'!AR27)/'Total Associates'!AR27)*100</f>
        <v>31.98515931907464</v>
      </c>
      <c r="E31" s="129">
        <f>+(Public!X27/'Total Associates'!AR27)*100</f>
        <v>77.94325621999127</v>
      </c>
      <c r="F31" s="138">
        <f>+(Public!AC27/'Total Associates'!AW27)*100</f>
        <v>91.959732520223042</v>
      </c>
      <c r="G31" s="129">
        <f>+(Gender!CL27/'Total Associates'!AR27)*100</f>
        <v>60.841553906591002</v>
      </c>
      <c r="H31" s="138">
        <f>+(Gender!CQ27/'Total Associates'!AW27)*100</f>
        <v>60.48522048561734</v>
      </c>
      <c r="I31" s="129">
        <f>+('Hispanic &amp; Foreign'!BB27/'Total Associates'!AR27)*100</f>
        <v>2.3570493234395458</v>
      </c>
      <c r="J31" s="138">
        <f>+('Hispanic &amp; Foreign'!BG27/'Total Associates'!AW27)*100</f>
        <v>2.5907969495135226</v>
      </c>
      <c r="K31" s="129">
        <f>+(Black!Z27/'All races'!Z27)*100</f>
        <v>6.8359567384409292</v>
      </c>
      <c r="L31" s="149">
        <f>IF(Black!BX27="NA","NA",(Black!BX27/Black!Z27)*100)</f>
        <v>2.2046109510086458</v>
      </c>
      <c r="M31" s="129">
        <f>+(Black!AE27/'All races'!AE27)*100</f>
        <v>5.7442865966646082</v>
      </c>
      <c r="N31" s="149">
        <f>IF(Black!CC27="NA","NA",(Black!CC27/Black!AE27)*100)</f>
        <v>5.1347106439531238</v>
      </c>
      <c r="O31" s="129">
        <f>+('Hispanic &amp; Foreign'!Y27/'All races'!Z27)*100</f>
        <v>36.449242528712986</v>
      </c>
      <c r="P31" s="129">
        <f>+('Hispanic &amp; Foreign'!AD27/'All races'!AE27)*100</f>
        <v>45.103441575115724</v>
      </c>
    </row>
    <row r="32" spans="1:30" ht="14.25" customHeight="1">
      <c r="A32" s="38" t="s">
        <v>115</v>
      </c>
      <c r="B32" s="38"/>
      <c r="C32" s="62">
        <f>+'Total Associates'!AW28</f>
        <v>13515</v>
      </c>
      <c r="D32" s="138">
        <f>+(('Total Associates'!AW28-'Total Associates'!AR28)/'Total Associates'!AR28)*100</f>
        <v>9.6195960742963749</v>
      </c>
      <c r="E32" s="129">
        <f>+(Public!X28/'Total Associates'!AR28)*100</f>
        <v>63.379025062859931</v>
      </c>
      <c r="F32" s="138">
        <f>+(Public!AC28/'Total Associates'!AW28)*100</f>
        <v>72.51202367739549</v>
      </c>
      <c r="G32" s="129">
        <f>+(Gender!CL28/'Total Associates'!AR28)*100</f>
        <v>59.17754886852137</v>
      </c>
      <c r="H32" s="138">
        <f>+(Gender!CQ28/'Total Associates'!AW28)*100</f>
        <v>59.755826859045499</v>
      </c>
      <c r="I32" s="129">
        <f>+('Hispanic &amp; Foreign'!BB28/'Total Associates'!AR28)*100</f>
        <v>0.7948738746045908</v>
      </c>
      <c r="J32" s="138">
        <f>+('Hispanic &amp; Foreign'!BG28/'Total Associates'!AW28)*100</f>
        <v>1.3762486126526081</v>
      </c>
      <c r="K32" s="129">
        <f>+(Black!Z28/'All races'!Z28)*100</f>
        <v>5.5112465274666196</v>
      </c>
      <c r="L32" s="149" t="str">
        <f>IF(Black!BX28="NA","NA",(Black!BX28/Black!Z28)*100)</f>
        <v>NA</v>
      </c>
      <c r="M32" s="129">
        <f>+(Black!AE28/'All races'!AE28)*100</f>
        <v>8.5349515328237047</v>
      </c>
      <c r="N32" s="149" t="str">
        <f>IF(Black!CC28="NA","NA",(Black!CC28/Black!AE28)*100)</f>
        <v>NA</v>
      </c>
      <c r="O32" s="129">
        <f>+('Hispanic &amp; Foreign'!Y28/'All races'!Z28)*100</f>
        <v>17.555336499686351</v>
      </c>
      <c r="P32" s="129">
        <f>+('Hispanic &amp; Foreign'!AD28/'All races'!AE28)*100</f>
        <v>17.329970840885807</v>
      </c>
    </row>
    <row r="33" spans="1:16" ht="14.25" customHeight="1">
      <c r="A33" s="39" t="s">
        <v>117</v>
      </c>
      <c r="B33" s="39"/>
      <c r="C33" s="61">
        <f>+'Total Associates'!AW29</f>
        <v>4452</v>
      </c>
      <c r="D33" s="137">
        <f>+(('Total Associates'!AW29-'Total Associates'!AR29)/'Total Associates'!AR29)*100</f>
        <v>6.0252441057394623</v>
      </c>
      <c r="E33" s="47">
        <f>+(Public!X29/'Total Associates'!AR29)*100</f>
        <v>72.731602762562517</v>
      </c>
      <c r="F33" s="137">
        <f>+(Public!AC29/'Total Associates'!AW29)*100</f>
        <v>88.656783468104223</v>
      </c>
      <c r="G33" s="47">
        <f>+(Gender!CL29/'Total Associates'!AR29)*100</f>
        <v>58.966420576327693</v>
      </c>
      <c r="H33" s="137">
        <f>+(Gender!CQ29/'Total Associates'!AW29)*100</f>
        <v>57.434860736747531</v>
      </c>
      <c r="I33" s="47">
        <f>+('Hispanic &amp; Foreign'!BB29/'Total Associates'!AR29)*100</f>
        <v>3.9056918313884257</v>
      </c>
      <c r="J33" s="137">
        <f>+('Hispanic &amp; Foreign'!BG29/'Total Associates'!AW29)*100</f>
        <v>4.8966756513926324</v>
      </c>
      <c r="K33" s="47">
        <f>+(Black!Z29/'All races'!Z29)*100</f>
        <v>2.6084775520441434</v>
      </c>
      <c r="L33" s="186" t="str">
        <f>IF(Black!BX29="NA","NA",(Black!BX29/Black!Z29)*100)</f>
        <v>NA</v>
      </c>
      <c r="M33" s="47">
        <f>+(Black!AE29/'All races'!AE29)*100</f>
        <v>1.951451689671585</v>
      </c>
      <c r="N33" s="186" t="str">
        <f>IF(Black!CC29="NA","NA",(Black!CC29/Black!AE29)*100)</f>
        <v>NA</v>
      </c>
      <c r="O33" s="47">
        <f>+('Hispanic &amp; Foreign'!Y29/'All races'!Z29)*100</f>
        <v>9.2299974918485077</v>
      </c>
      <c r="P33" s="47">
        <f>+('Hispanic &amp; Foreign'!AD29/'All races'!AE29)*100</f>
        <v>10.947168015230842</v>
      </c>
    </row>
    <row r="34" spans="1:16" ht="14.25" customHeight="1">
      <c r="A34" s="39" t="s">
        <v>119</v>
      </c>
      <c r="B34" s="39"/>
      <c r="C34" s="61">
        <f>+'Total Associates'!AW30</f>
        <v>5310</v>
      </c>
      <c r="D34" s="137">
        <f>+(('Total Associates'!AW30-'Total Associates'!AR30)/'Total Associates'!AR30)*100</f>
        <v>7.4898785425101213</v>
      </c>
      <c r="E34" s="47">
        <f>+(Public!X30/'Total Associates'!AR30)*100</f>
        <v>57.631578947368425</v>
      </c>
      <c r="F34" s="137">
        <f>+(Public!AC30/'Total Associates'!AW30)*100</f>
        <v>66.666666666666657</v>
      </c>
      <c r="G34" s="47">
        <f>+(Gender!CL30/'Total Associates'!AR30)*100</f>
        <v>62.489878542510127</v>
      </c>
      <c r="H34" s="137">
        <f>+(Gender!CQ30/'Total Associates'!AW30)*100</f>
        <v>65.122410546139363</v>
      </c>
      <c r="I34" s="47">
        <f>+('Hispanic &amp; Foreign'!BB30/'Total Associates'!AR30)*100</f>
        <v>0.76923076923076927</v>
      </c>
      <c r="J34" s="137">
        <f>+('Hispanic &amp; Foreign'!BG30/'Total Associates'!AW30)*100</f>
        <v>2.2033898305084745</v>
      </c>
      <c r="K34" s="47">
        <f>+(Black!Z30/'All races'!Z30)*100</f>
        <v>0.97762328915924401</v>
      </c>
      <c r="L34" s="186" t="str">
        <f>IF(Black!BX30="NA","NA",(Black!BX30/Black!Z30)*100)</f>
        <v>NA</v>
      </c>
      <c r="M34" s="47">
        <f>+(Black!AE30/'All races'!AE30)*100</f>
        <v>1.165644171779141</v>
      </c>
      <c r="N34" s="186" t="str">
        <f>IF(Black!CC30="NA","NA",(Black!CC30/Black!AE30)*100)</f>
        <v>NA</v>
      </c>
      <c r="O34" s="47">
        <f>+('Hispanic &amp; Foreign'!Y30/'All races'!Z30)*100</f>
        <v>6.5609385183575926</v>
      </c>
      <c r="P34" s="47">
        <f>+('Hispanic &amp; Foreign'!AD30/'All races'!AE30)*100</f>
        <v>9.8773006134969332</v>
      </c>
    </row>
    <row r="35" spans="1:16" ht="14.25" customHeight="1">
      <c r="A35" s="39" t="s">
        <v>128</v>
      </c>
      <c r="B35" s="39"/>
      <c r="C35" s="61">
        <f>+'Total Associates'!AW31</f>
        <v>2244</v>
      </c>
      <c r="D35" s="137">
        <f>+(('Total Associates'!AW31-'Total Associates'!AR31)/'Total Associates'!AR31)*100</f>
        <v>-5.0761421319796955</v>
      </c>
      <c r="E35" s="47">
        <f>+(Public!X31/'Total Associates'!AR31)*100</f>
        <v>93.104906937394247</v>
      </c>
      <c r="F35" s="137">
        <f>+(Public!AC31/'Total Associates'!AW31)*100</f>
        <v>92.602495543672021</v>
      </c>
      <c r="G35" s="47">
        <f>+(Gender!CL31/'Total Associates'!AR31)*100</f>
        <v>60.532994923857864</v>
      </c>
      <c r="H35" s="137">
        <f>+(Gender!CQ31/'Total Associates'!AW31)*100</f>
        <v>61.987522281639926</v>
      </c>
      <c r="I35" s="47">
        <f>+('Hispanic &amp; Foreign'!BB31/'Total Associates'!AR31)*100</f>
        <v>0.4230118443316413</v>
      </c>
      <c r="J35" s="137">
        <f>+('Hispanic &amp; Foreign'!BG31/'Total Associates'!AW31)*100</f>
        <v>0.66844919786096257</v>
      </c>
      <c r="K35" s="47">
        <f>+(Black!Z31/'All races'!Z31)*100</f>
        <v>0.83774250440917108</v>
      </c>
      <c r="L35" s="186" t="str">
        <f>IF(Black!BX31="NA","NA",(Black!BX31/Black!Z31)*100)</f>
        <v>NA</v>
      </c>
      <c r="M35" s="47">
        <f>+(Black!AE31/'All races'!AE31)*100</f>
        <v>0.8083689966714217</v>
      </c>
      <c r="N35" s="186" t="str">
        <f>IF(Black!CC31="NA","NA",(Black!CC31/Black!AE31)*100)</f>
        <v>NA</v>
      </c>
      <c r="O35" s="47">
        <f>+('Hispanic &amp; Foreign'!Y31/'All races'!Z31)*100</f>
        <v>2.3809523809523809</v>
      </c>
      <c r="P35" s="47">
        <f>+('Hispanic &amp; Foreign'!AD31/'All races'!AE31)*100</f>
        <v>3.1383737517831669</v>
      </c>
    </row>
    <row r="36" spans="1:16" ht="14.25" customHeight="1">
      <c r="A36" s="39" t="s">
        <v>135</v>
      </c>
      <c r="B36" s="39"/>
      <c r="C36" s="61">
        <f>+'Total Associates'!AW32</f>
        <v>6169</v>
      </c>
      <c r="D36" s="137">
        <f>+(('Total Associates'!AW32-'Total Associates'!AR32)/'Total Associates'!AR32)*100</f>
        <v>15.308411214953271</v>
      </c>
      <c r="E36" s="47">
        <f>+(Public!X32/'Total Associates'!AR32)*100</f>
        <v>72.018691588785046</v>
      </c>
      <c r="F36" s="137">
        <f>+(Public!AC32/'Total Associates'!AW32)*100</f>
        <v>91.392446101475116</v>
      </c>
      <c r="G36" s="47">
        <f>+(Gender!CL32/'Total Associates'!AR32)*100</f>
        <v>60.504672897196265</v>
      </c>
      <c r="H36" s="137">
        <f>+(Gender!CQ32/'Total Associates'!AW32)*100</f>
        <v>61.663154482087855</v>
      </c>
      <c r="I36" s="47">
        <f>+('Hispanic &amp; Foreign'!BB32/'Total Associates'!AR32)*100</f>
        <v>1.0280373831775702</v>
      </c>
      <c r="J36" s="137">
        <f>+('Hispanic &amp; Foreign'!BG32/'Total Associates'!AW32)*100</f>
        <v>0.71324363754255138</v>
      </c>
      <c r="K36" s="47">
        <f>+(Black!Z32/'All races'!Z32)*100</f>
        <v>6.2322946175637393</v>
      </c>
      <c r="L36" s="186" t="str">
        <f>IF(Black!BX32="NA","NA",(Black!BX32/Black!Z32)*100)</f>
        <v>NA</v>
      </c>
      <c r="M36" s="47">
        <f>+(Black!AE32/'All races'!AE32)*100</f>
        <v>6.247877758913412</v>
      </c>
      <c r="N36" s="186" t="str">
        <f>IF(Black!CC32="NA","NA",(Black!CC32/Black!AE32)*100)</f>
        <v>NA</v>
      </c>
      <c r="O36" s="47">
        <f>+('Hispanic &amp; Foreign'!Y32/'All races'!Z32)*100</f>
        <v>19.405099150141645</v>
      </c>
      <c r="P36" s="47">
        <f>+('Hispanic &amp; Foreign'!AD32/'All races'!AE32)*100</f>
        <v>26.910016977928692</v>
      </c>
    </row>
    <row r="37" spans="1:16" ht="14.25" customHeight="1">
      <c r="A37" s="38" t="s">
        <v>134</v>
      </c>
      <c r="B37" s="38"/>
      <c r="C37" s="62">
        <f>+'Total Associates'!AW33</f>
        <v>10457</v>
      </c>
      <c r="D37" s="138">
        <f>+(('Total Associates'!AW33-'Total Associates'!AR33)/'Total Associates'!AR33)*100</f>
        <v>35.646646776495004</v>
      </c>
      <c r="E37" s="129">
        <f>+(Public!X33/'Total Associates'!AR33)*100</f>
        <v>90.699182773381764</v>
      </c>
      <c r="F37" s="138">
        <f>+(Public!AC33/'Total Associates'!AW33)*100</f>
        <v>96.088744381753855</v>
      </c>
      <c r="G37" s="129">
        <f>+(Gender!CL33/'Total Associates'!AR33)*100</f>
        <v>61.953560773122327</v>
      </c>
      <c r="H37" s="138">
        <f>+(Gender!CQ33/'Total Associates'!AW33)*100</f>
        <v>63.947594912498808</v>
      </c>
      <c r="I37" s="129">
        <f>+('Hispanic &amp; Foreign'!BB33/'Total Associates'!AR33)*100</f>
        <v>0.72642366065637565</v>
      </c>
      <c r="J37" s="138">
        <f>+('Hispanic &amp; Foreign'!BG33/'Total Associates'!AW33)*100</f>
        <v>0.82241560677058423</v>
      </c>
      <c r="K37" s="129">
        <f>+(Black!Z33/'All races'!Z33)*100</f>
        <v>3.1856713152857532</v>
      </c>
      <c r="L37" s="149" t="str">
        <f>IF(Black!BX33="NA","NA",(Black!BX33/Black!Z33)*100)</f>
        <v>NA</v>
      </c>
      <c r="M37" s="129">
        <f>+(Black!AE33/'All races'!AE33)*100</f>
        <v>3.0780098899989907</v>
      </c>
      <c r="N37" s="149" t="str">
        <f>IF(Black!CC33="NA","NA",(Black!CC33/Black!AE33)*100)</f>
        <v>NA</v>
      </c>
      <c r="O37" s="129">
        <f>+('Hispanic &amp; Foreign'!Y33/'All races'!Z33)*100</f>
        <v>44.134536505332242</v>
      </c>
      <c r="P37" s="129">
        <f>+('Hispanic &amp; Foreign'!AD33/'All races'!AE33)*100</f>
        <v>48.077505298213744</v>
      </c>
    </row>
    <row r="38" spans="1:16" ht="14.25" customHeight="1">
      <c r="A38" s="38" t="s">
        <v>138</v>
      </c>
      <c r="B38" s="38"/>
      <c r="C38" s="62">
        <f>+'Total Associates'!AW34</f>
        <v>13071</v>
      </c>
      <c r="D38" s="138">
        <f>+(('Total Associates'!AW34-'Total Associates'!AR34)/'Total Associates'!AR34)*100</f>
        <v>3.4998812257502574</v>
      </c>
      <c r="E38" s="129">
        <f>+(Public!X34/'Total Associates'!AR34)*100</f>
        <v>88.779792540977127</v>
      </c>
      <c r="F38" s="138">
        <f>+(Public!AC34/'Total Associates'!AW34)*100</f>
        <v>96.955091423762525</v>
      </c>
      <c r="G38" s="129">
        <f>+(Gender!CL34/'Total Associates'!AR34)*100</f>
        <v>57.288779792540979</v>
      </c>
      <c r="H38" s="138">
        <f>+(Gender!CQ34/'Total Associates'!AW34)*100</f>
        <v>58.036875525973528</v>
      </c>
      <c r="I38" s="129">
        <f>+('Hispanic &amp; Foreign'!BB34/'Total Associates'!AR34)*100</f>
        <v>1.5519835299707023</v>
      </c>
      <c r="J38" s="138">
        <f>+('Hispanic &amp; Foreign'!BG34/'Total Associates'!AW34)*100</f>
        <v>1.8208247264937649</v>
      </c>
      <c r="K38" s="129">
        <f>+(Black!Z34/'All races'!Z34)*100</f>
        <v>2.1513944223107573</v>
      </c>
      <c r="L38" s="149" t="str">
        <f>IF(Black!BX34="NA","NA",(Black!BX34/Black!Z34)*100)</f>
        <v>NA</v>
      </c>
      <c r="M38" s="129">
        <f>+(Black!AE34/'All races'!AE34)*100</f>
        <v>2.456318055203849</v>
      </c>
      <c r="N38" s="149" t="str">
        <f>IF(Black!CC34="NA","NA",(Black!CC34/Black!AE34)*100)</f>
        <v>NA</v>
      </c>
      <c r="O38" s="129">
        <f>+('Hispanic &amp; Foreign'!Y34/'All races'!Z34)*100</f>
        <v>8.0655157149181047</v>
      </c>
      <c r="P38" s="129">
        <f>+('Hispanic &amp; Foreign'!AD34/'All races'!AE34)*100</f>
        <v>13.598379336540898</v>
      </c>
    </row>
    <row r="39" spans="1:16" ht="14.25" customHeight="1">
      <c r="A39" s="38" t="s">
        <v>142</v>
      </c>
      <c r="B39" s="38"/>
      <c r="C39" s="62">
        <f>+'Total Associates'!AW35</f>
        <v>13696</v>
      </c>
      <c r="D39" s="138">
        <f>+(('Total Associates'!AW35-'Total Associates'!AR35)/'Total Associates'!AR35)*100</f>
        <v>3.1713747645951038</v>
      </c>
      <c r="E39" s="129">
        <f>+(Public!X35/'Total Associates'!AR35)*100</f>
        <v>80.158192090395474</v>
      </c>
      <c r="F39" s="138">
        <f>+(Public!AC35/'Total Associates'!AW35)*100</f>
        <v>85.981308411214954</v>
      </c>
      <c r="G39" s="129">
        <f>+(Gender!CL35/'Total Associates'!AR35)*100</f>
        <v>57.581920903954796</v>
      </c>
      <c r="H39" s="138">
        <f>+(Gender!CQ35/'Total Associates'!AW35)*100</f>
        <v>59.455315420560751</v>
      </c>
      <c r="I39" s="129">
        <f>+('Hispanic &amp; Foreign'!BB35/'Total Associates'!AR35)*100</f>
        <v>1.6120527306967984</v>
      </c>
      <c r="J39" s="138">
        <f>+('Hispanic &amp; Foreign'!BG35/'Total Associates'!AW35)*100</f>
        <v>1.9859813084112148</v>
      </c>
      <c r="K39" s="129">
        <f>+(Black!Z35/'All races'!Z35)*100</f>
        <v>1.1383320960158376</v>
      </c>
      <c r="L39" s="149" t="str">
        <f>IF(Black!BX35="NA","NA",(Black!BX35/Black!Z35)*100)</f>
        <v>NA</v>
      </c>
      <c r="M39" s="129">
        <f>+(Black!AE35/'All races'!AE35)*100</f>
        <v>2.3075731763977076</v>
      </c>
      <c r="N39" s="149" t="str">
        <f>IF(Black!CC35="NA","NA",(Black!CC35/Black!AE35)*100)</f>
        <v>NA</v>
      </c>
      <c r="O39" s="129">
        <f>+('Hispanic &amp; Foreign'!Y35/'All races'!Z35)*100</f>
        <v>6.4752948940031345</v>
      </c>
      <c r="P39" s="129">
        <f>+('Hispanic &amp; Foreign'!AD35/'All races'!AE35)*100</f>
        <v>8.5024004955861869</v>
      </c>
    </row>
    <row r="40" spans="1:16" ht="14.25" customHeight="1">
      <c r="A40" s="38" t="s">
        <v>66</v>
      </c>
      <c r="B40" s="38"/>
      <c r="C40" s="62">
        <f>+'Total Associates'!AW36</f>
        <v>30217</v>
      </c>
      <c r="D40" s="138">
        <f>+(('Total Associates'!AW36-'Total Associates'!AR36)/'Total Associates'!AR36)*100</f>
        <v>4.2792559616247363</v>
      </c>
      <c r="E40" s="129">
        <f>+(Public!X36/'Total Associates'!AR36)*100</f>
        <v>96.052041274113947</v>
      </c>
      <c r="F40" s="138">
        <f>+(Public!AC36/'Total Associates'!AW36)*100</f>
        <v>97.852202402621032</v>
      </c>
      <c r="G40" s="129">
        <f>+(Gender!CL36/'Total Associates'!AR36)*100</f>
        <v>55.920212582392935</v>
      </c>
      <c r="H40" s="138">
        <f>+(Gender!CQ36/'Total Associates'!AW36)*100</f>
        <v>57.057285633914681</v>
      </c>
      <c r="I40" s="129">
        <f>+('Hispanic &amp; Foreign'!BB36/'Total Associates'!AR36)*100</f>
        <v>5.2593436173516928</v>
      </c>
      <c r="J40" s="138">
        <f>+('Hispanic &amp; Foreign'!BG36/'Total Associates'!AW36)*100</f>
        <v>7.9226925240758517</v>
      </c>
      <c r="K40" s="129">
        <f>+(Black!Z36/'All races'!Z36)*100</f>
        <v>3.8790531131887804</v>
      </c>
      <c r="L40" s="149" t="str">
        <f>IF(Black!BX36="NA","NA",(Black!BX36/Black!Z36)*100)</f>
        <v>NA</v>
      </c>
      <c r="M40" s="129">
        <f>+(Black!AE36/'All races'!AE36)*100</f>
        <v>4.153031011376032</v>
      </c>
      <c r="N40" s="149" t="str">
        <f>IF(Black!CC36="NA","NA",(Black!CC36/Black!AE36)*100)</f>
        <v>NA</v>
      </c>
      <c r="O40" s="129">
        <f>+('Hispanic &amp; Foreign'!Y36/'All races'!Z36)*100</f>
        <v>8.1360652476626214</v>
      </c>
      <c r="P40" s="129">
        <f>+('Hispanic &amp; Foreign'!AD36/'All races'!AE36)*100</f>
        <v>13.253856942496494</v>
      </c>
    </row>
    <row r="41" spans="1:16" ht="14.25" customHeight="1">
      <c r="A41" s="41" t="s">
        <v>145</v>
      </c>
      <c r="B41" s="41"/>
      <c r="C41" s="63">
        <f>+'Total Associates'!AW37</f>
        <v>2765</v>
      </c>
      <c r="D41" s="139">
        <f>+(('Total Associates'!AW37-'Total Associates'!AR37)/'Total Associates'!AR37)*100</f>
        <v>-5.4377564979480164</v>
      </c>
      <c r="E41" s="193">
        <f>+(Public!X37/'Total Associates'!AR37)*100</f>
        <v>91.928864569083444</v>
      </c>
      <c r="F41" s="139">
        <f>+(Public!AC37/'Total Associates'!AW37)*100</f>
        <v>97.359855334538878</v>
      </c>
      <c r="G41" s="193">
        <f>+(Gender!CL37/'Total Associates'!AR37)*100</f>
        <v>59.541723666210665</v>
      </c>
      <c r="H41" s="139">
        <f>+(Gender!CQ37/'Total Associates'!AW37)*100</f>
        <v>59.132007233273058</v>
      </c>
      <c r="I41" s="193">
        <f>+('Hispanic &amp; Foreign'!BB37/'Total Associates'!AR37)*100</f>
        <v>1.8125854993160055</v>
      </c>
      <c r="J41" s="139">
        <f>+('Hispanic &amp; Foreign'!BG37/'Total Associates'!AW37)*100</f>
        <v>3.9421338155515371</v>
      </c>
      <c r="K41" s="193">
        <f>+(Black!Z37/'All races'!Z37)*100</f>
        <v>0.99079971691436663</v>
      </c>
      <c r="L41" s="150" t="str">
        <f>IF(Black!BX37="NA","NA",(Black!BX37/Black!Z37)*100)</f>
        <v>NA</v>
      </c>
      <c r="M41" s="193">
        <f>+(Black!AE37/'All races'!AE37)*100</f>
        <v>1.2917933130699089</v>
      </c>
      <c r="N41" s="150" t="str">
        <f>IF(Black!CC37="NA","NA",(Black!CC37/Black!AE37)*100)</f>
        <v>NA</v>
      </c>
      <c r="O41" s="193">
        <f>+('Hispanic &amp; Foreign'!Y37/'All races'!Z37)*100</f>
        <v>6.6171266808209479</v>
      </c>
      <c r="P41" s="130">
        <f>+('Hispanic &amp; Foreign'!AD37/'All races'!AE37)*100</f>
        <v>8.4726443768996962</v>
      </c>
    </row>
    <row r="42" spans="1:16" ht="14.25" customHeight="1">
      <c r="A42" s="39" t="s">
        <v>186</v>
      </c>
      <c r="B42" s="39"/>
      <c r="C42" s="61">
        <f>+'Total Associates'!AW38</f>
        <v>196251</v>
      </c>
      <c r="D42" s="137">
        <f>+(('Total Associates'!AW38-'Total Associates'!AR38)/'Total Associates'!AR38)*100</f>
        <v>-12.492252538269117</v>
      </c>
      <c r="E42" s="47">
        <f>+(Public!X38/'Total Associates'!AR38)*100</f>
        <v>74.820637900359841</v>
      </c>
      <c r="F42" s="137">
        <f>+(Public!AC38/'Total Associates'!AW38)*100</f>
        <v>85.203132722890587</v>
      </c>
      <c r="G42" s="47">
        <f>+(Gender!CL38/'Total Associates'!AR38)*100</f>
        <v>60.927376742900208</v>
      </c>
      <c r="H42" s="137">
        <f>+(Gender!CQ38/'Total Associates'!AW38)*100</f>
        <v>59.756638182735379</v>
      </c>
      <c r="I42" s="47">
        <f>+('Hispanic &amp; Foreign'!BB38/'Total Associates'!AR38)*100</f>
        <v>0.63272795373371915</v>
      </c>
      <c r="J42" s="137">
        <f>+('Hispanic &amp; Foreign'!BG38/'Total Associates'!AW38)*100</f>
        <v>0.94878497434407982</v>
      </c>
      <c r="K42" s="47">
        <f>+(Black!Z38/'All races'!Z38)*100</f>
        <v>11.02780760615528</v>
      </c>
      <c r="L42" s="186">
        <f>IF(Black!BX38="NA","NA",(Black!BX38/Black!Z38)*100)</f>
        <v>19.875749030666196</v>
      </c>
      <c r="M42" s="47">
        <f>+(Black!AE38/'All races'!AE38)*100</f>
        <v>10.660754400849488</v>
      </c>
      <c r="N42" s="186">
        <f>IF(Black!CC38="NA","NA",(Black!CC38/Black!AE38)*100)</f>
        <v>14.315030782321436</v>
      </c>
      <c r="O42" s="47">
        <f>+('Hispanic &amp; Foreign'!Y38/'All races'!Z38)*100</f>
        <v>5.147055250793219</v>
      </c>
      <c r="P42" s="47">
        <f>+('Hispanic &amp; Foreign'!AD38/'All races'!AE38)*100</f>
        <v>7.9634165212612125</v>
      </c>
    </row>
    <row r="43" spans="1:16" ht="14.25" customHeight="1">
      <c r="A43" s="47" t="s">
        <v>189</v>
      </c>
      <c r="B43" s="39"/>
      <c r="C43" s="132">
        <f>+'Total Associates'!AW39</f>
        <v>19.709080391548387</v>
      </c>
      <c r="D43" s="137"/>
      <c r="E43" s="47"/>
      <c r="F43" s="137"/>
      <c r="G43" s="47"/>
      <c r="H43" s="137"/>
      <c r="I43" s="47"/>
      <c r="J43" s="137"/>
      <c r="K43" s="141"/>
      <c r="L43" s="186"/>
      <c r="M43" s="47"/>
      <c r="N43" s="186"/>
      <c r="O43" s="141"/>
      <c r="P43" s="141"/>
    </row>
    <row r="44" spans="1:16" ht="14.25" customHeight="1">
      <c r="A44" s="38" t="s">
        <v>120</v>
      </c>
      <c r="B44" s="38"/>
      <c r="C44" s="62">
        <f>+'Total Associates'!AW40</f>
        <v>39193</v>
      </c>
      <c r="D44" s="138">
        <f>+(('Total Associates'!AW40-'Total Associates'!AR40)/'Total Associates'!AR40)*100</f>
        <v>2.5618883131836498</v>
      </c>
      <c r="E44" s="129">
        <f>+(Public!X40/'Total Associates'!AR40)*100</f>
        <v>85.089234312032232</v>
      </c>
      <c r="F44" s="138">
        <f>+(Public!AC40/'Total Associates'!AW40)*100</f>
        <v>91.22037098461459</v>
      </c>
      <c r="G44" s="129">
        <f>+(Gender!CL40/'Total Associates'!AR40)*100</f>
        <v>59.478201706180975</v>
      </c>
      <c r="H44" s="138">
        <f>+(Gender!CQ40/'Total Associates'!AW40)*100</f>
        <v>59.472354757227052</v>
      </c>
      <c r="I44" s="129">
        <f>+('Hispanic &amp; Foreign'!BB40/'Total Associates'!AR40)*100</f>
        <v>0.34803998534568481</v>
      </c>
      <c r="J44" s="138">
        <f>+('Hispanic &amp; Foreign'!BG40/'Total Associates'!AW40)*100</f>
        <v>0.8751562779067692</v>
      </c>
      <c r="K44" s="129">
        <f>+(Black!Z40/'All races'!Z40)*100</f>
        <v>13.228454172366622</v>
      </c>
      <c r="L44" s="149">
        <f>IF(Black!BX40="NA","NA",(Black!BX40/Black!Z40)*100)</f>
        <v>32.926577042399174</v>
      </c>
      <c r="M44" s="129">
        <f>+(Black!AE40/'All races'!AE40)*100</f>
        <v>11.646905917614918</v>
      </c>
      <c r="N44" s="149">
        <f>IF(Black!CC40="NA","NA",(Black!CC40/Black!AE40)*100)</f>
        <v>23.16101115918925</v>
      </c>
      <c r="O44" s="129">
        <f>+('Hispanic &amp; Foreign'!Y40/'All races'!Z40)*100</f>
        <v>13.135430916552668</v>
      </c>
      <c r="P44" s="129">
        <f>+('Hispanic &amp; Foreign'!AD40/'All races'!AE40)*100</f>
        <v>19.559162886926078</v>
      </c>
    </row>
    <row r="45" spans="1:16" ht="14.25" customHeight="1">
      <c r="A45" s="38" t="s">
        <v>121</v>
      </c>
      <c r="B45" s="38"/>
      <c r="C45" s="62">
        <f>+'Total Associates'!AW41</f>
        <v>14436</v>
      </c>
      <c r="D45" s="138">
        <f>+(('Total Associates'!AW41-'Total Associates'!AR41)/'Total Associates'!AR41)*100</f>
        <v>-25.702521873391664</v>
      </c>
      <c r="E45" s="129">
        <f>+(Public!X41/'Total Associates'!AR41)*100</f>
        <v>63.134328358208961</v>
      </c>
      <c r="F45" s="138">
        <f>+(Public!AC41/'Total Associates'!AW41)*100</f>
        <v>78.996952064283732</v>
      </c>
      <c r="G45" s="129">
        <f>+(Gender!CL41/'Total Associates'!AR41)*100</f>
        <v>61.091096242923314</v>
      </c>
      <c r="H45" s="138">
        <f>+(Gender!CQ41/'Total Associates'!AW41)*100</f>
        <v>61.963147686339703</v>
      </c>
      <c r="I45" s="129">
        <f>+('Hispanic &amp; Foreign'!BB41/'Total Associates'!AR41)*100</f>
        <v>0.11322696860524961</v>
      </c>
      <c r="J45" s="138">
        <f>+('Hispanic &amp; Foreign'!BG41/'Total Associates'!AW41)*100</f>
        <v>0.20781379883624274</v>
      </c>
      <c r="K45" s="129">
        <f>+(Black!Z41/'All races'!Z41)*100</f>
        <v>11.801938049627514</v>
      </c>
      <c r="L45" s="149">
        <f>IF(Black!BX41="NA","NA",(Black!BX41/Black!Z41)*100)</f>
        <v>12.624584717607974</v>
      </c>
      <c r="M45" s="129">
        <f>+(Black!AE41/'All races'!AE41)*100</f>
        <v>11.996566277988412</v>
      </c>
      <c r="N45" s="149">
        <f>IF(Black!CC41="NA","NA",(Black!CC41/Black!AE41)*100)</f>
        <v>1.8485390578413834</v>
      </c>
      <c r="O45" s="129">
        <f>+('Hispanic &amp; Foreign'!Y41/'All races'!Z41)*100</f>
        <v>3.4840082899232621</v>
      </c>
      <c r="P45" s="129">
        <f>+('Hispanic &amp; Foreign'!AD41/'All races'!AE41)*100</f>
        <v>4.5997567780241795</v>
      </c>
    </row>
    <row r="46" spans="1:16" ht="14.25" customHeight="1">
      <c r="A46" s="38" t="s">
        <v>118</v>
      </c>
      <c r="B46" s="38"/>
      <c r="C46" s="62">
        <f>+'Total Associates'!AW42</f>
        <v>15189</v>
      </c>
      <c r="D46" s="138">
        <f>+(('Total Associates'!AW42-'Total Associates'!AR42)/'Total Associates'!AR42)*100</f>
        <v>-25.961491591518399</v>
      </c>
      <c r="E46" s="129">
        <f>+(Public!X42/'Total Associates'!AR42)*100</f>
        <v>62.076529368754571</v>
      </c>
      <c r="F46" s="138">
        <f>+(Public!AC42/'Total Associates'!AW42)*100</f>
        <v>77.661465534268231</v>
      </c>
      <c r="G46" s="129">
        <f>+(Gender!CL42/'Total Associates'!AR42)*100</f>
        <v>64.806239337070437</v>
      </c>
      <c r="H46" s="138">
        <f>+(Gender!CQ42/'Total Associates'!AW42)*100</f>
        <v>56.88327078807032</v>
      </c>
      <c r="I46" s="129">
        <f>+('Hispanic &amp; Foreign'!BB42/'Total Associates'!AR42)*100</f>
        <v>0.98951986351450161</v>
      </c>
      <c r="J46" s="138">
        <f>+('Hispanic &amp; Foreign'!BG42/'Total Associates'!AW42)*100</f>
        <v>1.4945026005661992</v>
      </c>
      <c r="K46" s="129">
        <f>+(Black!Z42/'All races'!Z42)*100</f>
        <v>8.0361723961005644</v>
      </c>
      <c r="L46" s="149" t="str">
        <f>IF(Black!BX42="NA","NA",(Black!BX42/Black!Z42)*100)</f>
        <v>NA</v>
      </c>
      <c r="M46" s="129">
        <f>+(Black!AE42/'All races'!AE42)*100</f>
        <v>8.6308492201039861</v>
      </c>
      <c r="N46" s="149" t="str">
        <f>IF(Black!CC42="NA","NA",(Black!CC42/Black!AE42)*100)</f>
        <v>NA</v>
      </c>
      <c r="O46" s="129">
        <f>+('Hispanic &amp; Foreign'!Y42/'All races'!Z42)*100</f>
        <v>4.2585941508465881</v>
      </c>
      <c r="P46" s="129">
        <f>+('Hispanic &amp; Foreign'!AD42/'All races'!AE42)*100</f>
        <v>6.9740034662045067</v>
      </c>
    </row>
    <row r="47" spans="1:16" ht="14.25" customHeight="1">
      <c r="A47" s="38" t="s">
        <v>122</v>
      </c>
      <c r="B47" s="38"/>
      <c r="C47" s="62">
        <f>+'Total Associates'!AW43</f>
        <v>9936</v>
      </c>
      <c r="D47" s="138">
        <f>+(('Total Associates'!AW43-'Total Associates'!AR43)/'Total Associates'!AR43)*100</f>
        <v>-2.7598355842630653</v>
      </c>
      <c r="E47" s="129">
        <f>+(Public!X43/'Total Associates'!AR43)*100</f>
        <v>87.345860246623602</v>
      </c>
      <c r="F47" s="138">
        <f>+(Public!AC43/'Total Associates'!AW43)*100</f>
        <v>93.005233494363921</v>
      </c>
      <c r="G47" s="129">
        <f>+(Gender!CL43/'Total Associates'!AR43)*100</f>
        <v>61.743981209630064</v>
      </c>
      <c r="H47" s="138">
        <f>+(Gender!CQ43/'Total Associates'!AW43)*100</f>
        <v>58.836553945249591</v>
      </c>
      <c r="I47" s="129">
        <f>+('Hispanic &amp; Foreign'!BB43/'Total Associates'!AR43)*100</f>
        <v>1.6930906243883344</v>
      </c>
      <c r="J47" s="138">
        <f>+('Hispanic &amp; Foreign'!BG43/'Total Associates'!AW43)*100</f>
        <v>2.2544283413848629</v>
      </c>
      <c r="K47" s="129">
        <f>+(Black!Z43/'All races'!Z43)*100</f>
        <v>8.9088469082275221</v>
      </c>
      <c r="L47" s="149" t="str">
        <f>IF(Black!BX43="NA","NA",(Black!BX43/Black!Z43)*100)</f>
        <v>NA</v>
      </c>
      <c r="M47" s="129">
        <f>+(Black!AE43/'All races'!AE43)*100</f>
        <v>8.7049742710120075</v>
      </c>
      <c r="N47" s="149" t="str">
        <f>IF(Black!CC43="NA","NA",(Black!CC43/Black!AE43)*100)</f>
        <v>NA</v>
      </c>
      <c r="O47" s="129">
        <f>+('Hispanic &amp; Foreign'!Y43/'All races'!Z43)*100</f>
        <v>7.5152265923402499</v>
      </c>
      <c r="P47" s="129">
        <f>+('Hispanic &amp; Foreign'!AD43/'All races'!AE43)*100</f>
        <v>11.224271012006861</v>
      </c>
    </row>
    <row r="48" spans="1:16" ht="14.25" customHeight="1">
      <c r="A48" s="39" t="s">
        <v>125</v>
      </c>
      <c r="B48" s="39"/>
      <c r="C48" s="61">
        <f>+'Total Associates'!AW44</f>
        <v>28282</v>
      </c>
      <c r="D48" s="137">
        <f>+(('Total Associates'!AW44-'Total Associates'!AR44)/'Total Associates'!AR44)*100</f>
        <v>-15.125142548466478</v>
      </c>
      <c r="E48" s="47">
        <f>+(Public!X44/'Total Associates'!AR44)*100</f>
        <v>81.204609567252859</v>
      </c>
      <c r="F48" s="137">
        <f>+(Public!AC44/'Total Associates'!AW44)*100</f>
        <v>89.459727034863164</v>
      </c>
      <c r="G48" s="47">
        <f>+(Gender!CL44/'Total Associates'!AR44)*100</f>
        <v>61.079767120821082</v>
      </c>
      <c r="H48" s="137">
        <f>+(Gender!CQ44/'Total Associates'!AW44)*100</f>
        <v>60.384696980411569</v>
      </c>
      <c r="I48" s="47">
        <f>+('Hispanic &amp; Foreign'!BB44/'Total Associates'!AR44)*100</f>
        <v>1.2634295660524577</v>
      </c>
      <c r="J48" s="137">
        <f>+('Hispanic &amp; Foreign'!BG44/'Total Associates'!AW44)*100</f>
        <v>1.3506824128420902</v>
      </c>
      <c r="K48" s="47">
        <f>+(Black!Z44/'All races'!Z44)*100</f>
        <v>12.986181327940679</v>
      </c>
      <c r="L48" s="186">
        <f>IF(Black!BX44="NA","NA",(Black!BX44/Black!Z44)*100)</f>
        <v>25.849987023098887</v>
      </c>
      <c r="M48" s="47">
        <f>+(Black!AE44/'All races'!AE44)*100</f>
        <v>13.285973397823458</v>
      </c>
      <c r="N48" s="186">
        <f>IF(Black!CC44="NA","NA",(Black!CC44/Black!AE44)*100)</f>
        <v>31.001137656427758</v>
      </c>
      <c r="O48" s="47">
        <f>+('Hispanic &amp; Foreign'!Y44/'All races'!Z44)*100</f>
        <v>3.1176272328951806</v>
      </c>
      <c r="P48" s="47">
        <f>+('Hispanic &amp; Foreign'!AD44/'All races'!AE44)*100</f>
        <v>3.9071946795646921</v>
      </c>
    </row>
    <row r="49" spans="1:16" ht="14.25" customHeight="1">
      <c r="A49" s="39" t="s">
        <v>126</v>
      </c>
      <c r="B49" s="39"/>
      <c r="C49" s="61">
        <f>+'Total Associates'!AW45</f>
        <v>17927</v>
      </c>
      <c r="D49" s="137">
        <f>+(('Total Associates'!AW45-'Total Associates'!AR45)/'Total Associates'!AR45)*100</f>
        <v>-12.4658203125</v>
      </c>
      <c r="E49" s="47">
        <f>+(Public!X45/'Total Associates'!AR45)*100</f>
        <v>80.9326171875</v>
      </c>
      <c r="F49" s="137">
        <f>+(Public!AC45/'Total Associates'!AW45)*100</f>
        <v>87.086517543370334</v>
      </c>
      <c r="G49" s="47">
        <f>+(Gender!CL45/'Total Associates'!AR45)*100</f>
        <v>60.556640625</v>
      </c>
      <c r="H49" s="137">
        <f>+(Gender!CQ45/'Total Associates'!AW45)*100</f>
        <v>60.924861940090366</v>
      </c>
      <c r="I49" s="47">
        <f>+('Hispanic &amp; Foreign'!BB45/'Total Associates'!AR45)*100</f>
        <v>0.56640625</v>
      </c>
      <c r="J49" s="137">
        <f>+('Hispanic &amp; Foreign'!BG45/'Total Associates'!AW45)*100</f>
        <v>0.71958498354437439</v>
      </c>
      <c r="K49" s="47">
        <f>+(Black!Z45/'All races'!Z45)*100</f>
        <v>6.0389049723195694</v>
      </c>
      <c r="L49" s="186" t="str">
        <f>IF(Black!BX45="NA","NA",(Black!BX45/Black!Z45)*100)</f>
        <v>NA</v>
      </c>
      <c r="M49" s="47">
        <f>+(Black!AE45/'All races'!AE45)*100</f>
        <v>7.7753039904093173</v>
      </c>
      <c r="N49" s="186" t="str">
        <f>IF(Black!CC45="NA","NA",(Black!CC45/Black!AE45)*100)</f>
        <v>NA</v>
      </c>
      <c r="O49" s="47">
        <f>+('Hispanic &amp; Foreign'!Y45/'All races'!Z45)*100</f>
        <v>3.3216516836812433</v>
      </c>
      <c r="P49" s="47">
        <f>+('Hispanic &amp; Foreign'!AD45/'All races'!AE45)*100</f>
        <v>4.8410115887423641</v>
      </c>
    </row>
    <row r="50" spans="1:16" ht="14.25" customHeight="1">
      <c r="A50" s="39" t="s">
        <v>127</v>
      </c>
      <c r="B50" s="39"/>
      <c r="C50" s="61">
        <f>+'Total Associates'!AW46</f>
        <v>17258</v>
      </c>
      <c r="D50" s="137">
        <f>+(('Total Associates'!AW46-'Total Associates'!AR46)/'Total Associates'!AR46)*100</f>
        <v>-10.184751496226905</v>
      </c>
      <c r="E50" s="47">
        <f>+(Public!X46/'Total Associates'!AR46)*100</f>
        <v>60.239396304970072</v>
      </c>
      <c r="F50" s="137">
        <f>+(Public!AC46/'Total Associates'!AW46)*100</f>
        <v>71.462510140224822</v>
      </c>
      <c r="G50" s="47">
        <f>+(Gender!CL46/'Total Associates'!AR46)*100</f>
        <v>60.765027322404372</v>
      </c>
      <c r="H50" s="137">
        <f>+(Gender!CQ46/'Total Associates'!AW46)*100</f>
        <v>60.383590219028861</v>
      </c>
      <c r="I50" s="47">
        <f>+('Hispanic &amp; Foreign'!BB46/'Total Associates'!AR46)*100</f>
        <v>0.54644808743169404</v>
      </c>
      <c r="J50" s="137">
        <f>+('Hispanic &amp; Foreign'!BG46/'Total Associates'!AW46)*100</f>
        <v>0.82280681423108126</v>
      </c>
      <c r="K50" s="47">
        <f>+(Black!Z46/'All races'!Z46)*100</f>
        <v>14.249265072938044</v>
      </c>
      <c r="L50" s="186">
        <f>IF(Black!BX46="NA","NA",(Black!BX46/Black!Z46)*100)</f>
        <v>24.912417282989491</v>
      </c>
      <c r="M50" s="47">
        <f>+(Black!AE46/'All races'!AE46)*100</f>
        <v>12.349145656589796</v>
      </c>
      <c r="N50" s="186">
        <f>IF(Black!CC46="NA","NA",(Black!CC46/Black!AE46)*100)</f>
        <v>18.093855829704886</v>
      </c>
      <c r="O50" s="47">
        <f>+('Hispanic &amp; Foreign'!Y46/'All races'!Z46)*100</f>
        <v>3.078373731210827</v>
      </c>
      <c r="P50" s="47">
        <f>+('Hispanic &amp; Foreign'!AD46/'All races'!AE46)*100</f>
        <v>4.982674154618234</v>
      </c>
    </row>
    <row r="51" spans="1:16" ht="14.25" customHeight="1">
      <c r="A51" s="39" t="s">
        <v>131</v>
      </c>
      <c r="B51" s="39"/>
      <c r="C51" s="61">
        <f>+'Total Associates'!AW47</f>
        <v>5067</v>
      </c>
      <c r="D51" s="137">
        <f>+(('Total Associates'!AW47-'Total Associates'!AR47)/'Total Associates'!AR47)*100</f>
        <v>-12.046519701440722</v>
      </c>
      <c r="E51" s="47">
        <f>+(Public!X47/'Total Associates'!AR47)*100</f>
        <v>84.533935080715153</v>
      </c>
      <c r="F51" s="137">
        <f>+(Public!AC47/'Total Associates'!AW47)*100</f>
        <v>93.289915137162026</v>
      </c>
      <c r="G51" s="47">
        <f>+(Gender!CL47/'Total Associates'!AR47)*100</f>
        <v>54.921020656136086</v>
      </c>
      <c r="H51" s="137">
        <f>+(Gender!CQ47/'Total Associates'!AW47)*100</f>
        <v>54.943753700414447</v>
      </c>
      <c r="I51" s="47">
        <f>+('Hispanic &amp; Foreign'!BB47/'Total Associates'!AR47)*100</f>
        <v>0.50338482902273918</v>
      </c>
      <c r="J51" s="137">
        <f>+('Hispanic &amp; Foreign'!BG47/'Total Associates'!AW47)*100</f>
        <v>0.98677718571146633</v>
      </c>
      <c r="K51" s="47">
        <f>+(Black!Z47/'All races'!Z47)*100</f>
        <v>5.9588299024918747</v>
      </c>
      <c r="L51" s="186" t="str">
        <f>IF(Black!BX47="NA","NA",(Black!BX47/Black!Z47)*100)</f>
        <v>NA</v>
      </c>
      <c r="M51" s="47">
        <f>+(Black!AE47/'All races'!AE47)*100</f>
        <v>5.2610197034328658</v>
      </c>
      <c r="N51" s="186" t="str">
        <f>IF(Black!CC47="NA","NA",(Black!CC47/Black!AE47)*100)</f>
        <v>NA</v>
      </c>
      <c r="O51" s="47">
        <f>+('Hispanic &amp; Foreign'!Y47/'All races'!Z47)*100</f>
        <v>4.803178042614662</v>
      </c>
      <c r="P51" s="47">
        <f>+('Hispanic &amp; Foreign'!AD47/'All races'!AE47)*100</f>
        <v>8.4907576680885644</v>
      </c>
    </row>
    <row r="52" spans="1:16" ht="14.25" customHeight="1">
      <c r="A52" s="38" t="s">
        <v>130</v>
      </c>
      <c r="B52" s="38"/>
      <c r="C52" s="62">
        <f>+'Total Associates'!AW48</f>
        <v>2349</v>
      </c>
      <c r="D52" s="138">
        <f>+(('Total Associates'!AW48-'Total Associates'!AR48)/'Total Associates'!AR48)*100</f>
        <v>4.3536206130608619</v>
      </c>
      <c r="E52" s="129">
        <f>+(Public!X48/'Total Associates'!AR48)*100</f>
        <v>87.605508662816518</v>
      </c>
      <c r="F52" s="138">
        <f>+(Public!AC48/'Total Associates'!AW48)*100</f>
        <v>89.570029799914849</v>
      </c>
      <c r="G52" s="129">
        <f>+(Gender!CL48/'Total Associates'!AR48)*100</f>
        <v>52.465570857396713</v>
      </c>
      <c r="H52" s="138">
        <f>+(Gender!CQ48/'Total Associates'!AW48)*100</f>
        <v>53.214133673903788</v>
      </c>
      <c r="I52" s="129">
        <f>+('Hispanic &amp; Foreign'!BB48/'Total Associates'!AR48)*100</f>
        <v>0.97734340293203026</v>
      </c>
      <c r="J52" s="138">
        <f>+('Hispanic &amp; Foreign'!BG48/'Total Associates'!AW48)*100</f>
        <v>2.3839931885908898</v>
      </c>
      <c r="K52" s="129">
        <f>+(Black!Z48/'All races'!Z48)*100</f>
        <v>1.7050691244239631</v>
      </c>
      <c r="L52" s="149" t="str">
        <f>IF(Black!BX48="NA","NA",(Black!BX48/Black!Z48)*100)</f>
        <v>NA</v>
      </c>
      <c r="M52" s="129">
        <f>+(Black!AE48/'All races'!AE48)*100</f>
        <v>2.8356225077536554</v>
      </c>
      <c r="N52" s="149" t="str">
        <f>IF(Black!CC48="NA","NA",(Black!CC48/Black!AE48)*100)</f>
        <v>NA</v>
      </c>
      <c r="O52" s="129">
        <f>+('Hispanic &amp; Foreign'!Y48/'All races'!Z48)*100</f>
        <v>1.2442396313364055</v>
      </c>
      <c r="P52" s="129">
        <f>+('Hispanic &amp; Foreign'!AD48/'All races'!AE48)*100</f>
        <v>2.4368630926007975</v>
      </c>
    </row>
    <row r="53" spans="1:16" ht="14.25" customHeight="1">
      <c r="A53" s="38" t="s">
        <v>137</v>
      </c>
      <c r="B53" s="38"/>
      <c r="C53" s="62">
        <f>+'Total Associates'!AW49</f>
        <v>31374</v>
      </c>
      <c r="D53" s="138">
        <f>+(('Total Associates'!AW49-'Total Associates'!AR49)/'Total Associates'!AR49)*100</f>
        <v>-12.536589445513089</v>
      </c>
      <c r="E53" s="129">
        <f>+(Public!X49/'Total Associates'!AR49)*100</f>
        <v>66.619274622954478</v>
      </c>
      <c r="F53" s="138">
        <f>+(Public!AC49/'Total Associates'!AW49)*100</f>
        <v>80.008924587237843</v>
      </c>
      <c r="G53" s="129">
        <f>+(Gender!CL49/'Total Associates'!AR49)*100</f>
        <v>62.724763736723254</v>
      </c>
      <c r="H53" s="138">
        <f>+(Gender!CQ49/'Total Associates'!AW49)*100</f>
        <v>60.684005864728753</v>
      </c>
      <c r="I53" s="129">
        <f>+('Hispanic &amp; Foreign'!BB49/'Total Associates'!AR49)*100</f>
        <v>0.44883053162721975</v>
      </c>
      <c r="J53" s="138">
        <f>+('Hispanic &amp; Foreign'!BG49/'Total Associates'!AW49)*100</f>
        <v>0.75221521004653535</v>
      </c>
      <c r="K53" s="129">
        <f>+(Black!Z49/'All races'!Z49)*100</f>
        <v>14.10678175836779</v>
      </c>
      <c r="L53" s="149">
        <f>IF(Black!BX49="NA","NA",(Black!BX49/Black!Z49)*100)</f>
        <v>18.977321352160889</v>
      </c>
      <c r="M53" s="129">
        <f>+(Black!AE49/'All races'!AE49)*100</f>
        <v>12.855195911413968</v>
      </c>
      <c r="N53" s="149">
        <f>IF(Black!CC49="NA","NA",(Black!CC49/Black!AE49)*100)</f>
        <v>7.5536708189769417</v>
      </c>
      <c r="O53" s="129">
        <f>+('Hispanic &amp; Foreign'!Y49/'All races'!Z49)*100</f>
        <v>2.2032414813026291</v>
      </c>
      <c r="P53" s="129">
        <f>+('Hispanic &amp; Foreign'!AD49/'All races'!AE49)*100</f>
        <v>3.192504258943782</v>
      </c>
    </row>
    <row r="54" spans="1:16" ht="14.25" customHeight="1">
      <c r="A54" s="38" t="s">
        <v>141</v>
      </c>
      <c r="B54" s="38"/>
      <c r="C54" s="62">
        <f>+'Total Associates'!AW50</f>
        <v>2319</v>
      </c>
      <c r="D54" s="138">
        <f>+(('Total Associates'!AW50-'Total Associates'!AR50)/'Total Associates'!AR50)*100</f>
        <v>-14.079288625416822</v>
      </c>
      <c r="E54" s="129">
        <f>+(Public!X50/'Total Associates'!AR50)*100</f>
        <v>78.510559466469061</v>
      </c>
      <c r="F54" s="138">
        <f>+(Public!AC50/'Total Associates'!AW50)*100</f>
        <v>89.219491159982752</v>
      </c>
      <c r="G54" s="129">
        <f>+(Gender!CL50/'Total Associates'!AR50)*100</f>
        <v>54.798073360503885</v>
      </c>
      <c r="H54" s="138">
        <f>+(Gender!CQ50/'Total Associates'!AW50)*100</f>
        <v>46.528676153514446</v>
      </c>
      <c r="I54" s="129">
        <f>+('Hispanic &amp; Foreign'!BB50/'Total Associates'!AR50)*100</f>
        <v>0.11115227862171174</v>
      </c>
      <c r="J54" s="138">
        <f>+('Hispanic &amp; Foreign'!BG50/'Total Associates'!AW50)*100</f>
        <v>0.12936610608020699</v>
      </c>
      <c r="K54" s="129">
        <f>+(Black!Z50/'All races'!Z50)*100</f>
        <v>1.6431027894535728</v>
      </c>
      <c r="L54" s="149" t="str">
        <f>IF(Black!BX50="NA","NA",(Black!BX50/Black!Z50)*100)</f>
        <v>NA</v>
      </c>
      <c r="M54" s="129">
        <f>+(Black!AE50/'All races'!AE50)*100</f>
        <v>2.9242357111209571</v>
      </c>
      <c r="N54" s="149" t="str">
        <f>IF(Black!CC50="NA","NA",(Black!CC50/Black!AE50)*100)</f>
        <v>NA</v>
      </c>
      <c r="O54" s="129">
        <f>+('Hispanic &amp; Foreign'!Y50/'All races'!Z50)*100</f>
        <v>1.757737867787543</v>
      </c>
      <c r="P54" s="129">
        <f>+('Hispanic &amp; Foreign'!AD50/'All races'!AE50)*100</f>
        <v>2.3482498892334958</v>
      </c>
    </row>
    <row r="55" spans="1:16" ht="14.25" customHeight="1">
      <c r="A55" s="38" t="s">
        <v>144</v>
      </c>
      <c r="B55" s="38"/>
      <c r="C55" s="63">
        <f>+'Total Associates'!AW51</f>
        <v>12921</v>
      </c>
      <c r="D55" s="139">
        <f>+(('Total Associates'!AW51-'Total Associates'!AR51)/'Total Associates'!AR51)*100</f>
        <v>-20.68626849180529</v>
      </c>
      <c r="E55" s="193">
        <f>+(Public!X51/'Total Associates'!AR51)*100</f>
        <v>81.566509115462523</v>
      </c>
      <c r="F55" s="139">
        <f>+(Public!AC51/'Total Associates'!AW51)*100</f>
        <v>91.099760080489119</v>
      </c>
      <c r="G55" s="193">
        <f>+(Gender!CL51/'Total Associates'!AR51)*100</f>
        <v>59.43158799337057</v>
      </c>
      <c r="H55" s="139">
        <f>+(Gender!CQ51/'Total Associates'!AW51)*100</f>
        <v>61.605138921136138</v>
      </c>
      <c r="I55" s="193">
        <f>+('Hispanic &amp; Foreign'!BB51/'Total Associates'!AR51)*100</f>
        <v>0.19028911669019705</v>
      </c>
      <c r="J55" s="139">
        <f>+('Hispanic &amp; Foreign'!BG51/'Total Associates'!AW51)*100</f>
        <v>0.30957356241776951</v>
      </c>
      <c r="K55" s="193">
        <f>+(Black!Z51/'All races'!Z51)*100</f>
        <v>6.1718698867726944</v>
      </c>
      <c r="L55" s="150">
        <f>IF(Black!BX51="NA","NA",(Black!BX51/Black!Z51)*100)</f>
        <v>13.785790031813361</v>
      </c>
      <c r="M55" s="193">
        <f>+(Black!AE51/'All races'!AE51)*100</f>
        <v>5.991337824831569</v>
      </c>
      <c r="N55" s="150">
        <f>IF(Black!CC51="NA","NA",(Black!CC51/Black!AE51)*100)</f>
        <v>8.4337349397590362</v>
      </c>
      <c r="O55" s="193">
        <f>+('Hispanic &amp; Foreign'!Y51/'All races'!Z51)*100</f>
        <v>3.7633352968126186</v>
      </c>
      <c r="P55" s="130">
        <f>+('Hispanic &amp; Foreign'!AD51/'All races'!AE51)*100</f>
        <v>5.4138594802694904</v>
      </c>
    </row>
    <row r="56" spans="1:16" ht="14.25" customHeight="1">
      <c r="A56" s="42" t="s">
        <v>187</v>
      </c>
      <c r="B56" s="42"/>
      <c r="C56" s="61">
        <f>+'Total Associates'!AW52</f>
        <v>141873</v>
      </c>
      <c r="D56" s="137">
        <f>+(('Total Associates'!AW52-'Total Associates'!AR52)/'Total Associates'!AR52)*100</f>
        <v>-5.06166478181441</v>
      </c>
      <c r="E56" s="47">
        <f>+(Public!X52/'Total Associates'!AR52)*100</f>
        <v>74.558509606054727</v>
      </c>
      <c r="F56" s="137">
        <f>+(Public!AC52/'Total Associates'!AW52)*100</f>
        <v>80.73558746202589</v>
      </c>
      <c r="G56" s="47">
        <f>+(Gender!CL52/'Total Associates'!AR52)*100</f>
        <v>60.303003941460275</v>
      </c>
      <c r="H56" s="137">
        <f>+(Gender!CQ52/'Total Associates'!AW52)*100</f>
        <v>60.139702409901815</v>
      </c>
      <c r="I56" s="47">
        <f>+('Hispanic &amp; Foreign'!BB52/'Total Associates'!AR52)*100</f>
        <v>2.8567222307728337</v>
      </c>
      <c r="J56" s="137">
        <f>+('Hispanic &amp; Foreign'!BG52/'Total Associates'!AW52)*100</f>
        <v>2.8003918997977064</v>
      </c>
      <c r="K56" s="47">
        <f>+(Black!Z52/'All races'!Z52)*100</f>
        <v>14.572542672160093</v>
      </c>
      <c r="L56" s="186">
        <f>IF(Black!BX52="NA","NA",(Black!BX52/Black!Z52)*100)</f>
        <v>13.666885444539808</v>
      </c>
      <c r="M56" s="47">
        <f>+(Black!AE52/'All races'!AE52)*100</f>
        <v>14.985911202497906</v>
      </c>
      <c r="N56" s="186">
        <f>IF(Black!CC52="NA","NA",(Black!CC52/Black!AE52)*100)</f>
        <v>7.5515804451671915</v>
      </c>
      <c r="O56" s="47">
        <f>+('Hispanic &amp; Foreign'!Y52/'All races'!Z52)*100</f>
        <v>13.550618010594468</v>
      </c>
      <c r="P56" s="47">
        <f>+('Hispanic &amp; Foreign'!AD52/'All races'!AE52)*100</f>
        <v>18.147132739319169</v>
      </c>
    </row>
    <row r="57" spans="1:16" ht="14.25" customHeight="1">
      <c r="A57" s="47" t="s">
        <v>189</v>
      </c>
      <c r="B57" s="39"/>
      <c r="C57" s="132">
        <f>+'Total Associates'!AW53</f>
        <v>14.248010773907621</v>
      </c>
      <c r="D57" s="137"/>
      <c r="E57" s="47"/>
      <c r="F57" s="137"/>
      <c r="G57" s="47"/>
      <c r="H57" s="137"/>
      <c r="I57" s="47"/>
      <c r="J57" s="137"/>
      <c r="K57" s="141"/>
      <c r="L57" s="186"/>
      <c r="M57" s="47"/>
      <c r="N57" s="186"/>
      <c r="O57" s="141"/>
      <c r="P57" s="141"/>
    </row>
    <row r="58" spans="1:16" ht="14.25" customHeight="1">
      <c r="A58" s="38" t="s">
        <v>116</v>
      </c>
      <c r="B58" s="38"/>
      <c r="C58" s="62">
        <f>+'Total Associates'!AW54</f>
        <v>6835</v>
      </c>
      <c r="D58" s="138">
        <f>+(('Total Associates'!AW54-'Total Associates'!AR54)/'Total Associates'!AR54)*100</f>
        <v>4.9761941330056825</v>
      </c>
      <c r="E58" s="129">
        <f>+(Public!X54/'Total Associates'!AR54)*100</f>
        <v>83.243741360774067</v>
      </c>
      <c r="F58" s="138">
        <f>+(Public!AC54/'Total Associates'!AW54)*100</f>
        <v>80.71689831748354</v>
      </c>
      <c r="G58" s="129">
        <f>+(Gender!CL54/'Total Associates'!AR54)*100</f>
        <v>66.303179235140533</v>
      </c>
      <c r="H58" s="138">
        <f>+(Gender!CQ54/'Total Associates'!AW54)*100</f>
        <v>65.208485735186542</v>
      </c>
      <c r="I58" s="129">
        <f>+('Hispanic &amp; Foreign'!BB54/'Total Associates'!AR54)*100</f>
        <v>1.2440485332514206</v>
      </c>
      <c r="J58" s="138">
        <f>+('Hispanic &amp; Foreign'!BG54/'Total Associates'!AW54)*100</f>
        <v>0.55596196049743962</v>
      </c>
      <c r="K58" s="129">
        <f>+(Black!Z54/'All races'!Z54)*100</f>
        <v>14.516392105692383</v>
      </c>
      <c r="L58" s="149" t="str">
        <f>IF(Black!BX54="NA","NA",(Black!BX54/Black!Z54)*100)</f>
        <v>NA</v>
      </c>
      <c r="M58" s="129">
        <f>+(Black!AE54/'All races'!AE54)*100</f>
        <v>13.853082776828701</v>
      </c>
      <c r="N58" s="149" t="str">
        <f>IF(Black!CC54="NA","NA",(Black!CC54/Black!AE54)*100)</f>
        <v>NA</v>
      </c>
      <c r="O58" s="129">
        <f>+('Hispanic &amp; Foreign'!Y54/'All races'!Z54)*100</f>
        <v>15.707062469417712</v>
      </c>
      <c r="P58" s="129">
        <f>+('Hispanic &amp; Foreign'!AD54/'All races'!AE54)*100</f>
        <v>19.133405808355334</v>
      </c>
    </row>
    <row r="59" spans="1:16" ht="14.25" customHeight="1">
      <c r="A59" s="38" t="s">
        <v>124</v>
      </c>
      <c r="B59" s="38"/>
      <c r="C59" s="62">
        <f>+'Total Associates'!AW55</f>
        <v>2864</v>
      </c>
      <c r="D59" s="138">
        <f>+(('Total Associates'!AW55-'Total Associates'!AR55)/'Total Associates'!AR55)*100</f>
        <v>-13.760915386931647</v>
      </c>
      <c r="E59" s="129">
        <f>+(Public!X55/'Total Associates'!AR55)*100</f>
        <v>78.078891900030115</v>
      </c>
      <c r="F59" s="138">
        <f>+(Public!AC55/'Total Associates'!AW55)*100</f>
        <v>88.268156424581008</v>
      </c>
      <c r="G59" s="129">
        <f>+(Gender!CL55/'Total Associates'!AR55)*100</f>
        <v>60.975609756097562</v>
      </c>
      <c r="H59" s="138">
        <f>+(Gender!CQ55/'Total Associates'!AW55)*100</f>
        <v>60.719273743016757</v>
      </c>
      <c r="I59" s="129">
        <f>+('Hispanic &amp; Foreign'!BB55/'Total Associates'!AR55)*100</f>
        <v>0.45167118337850043</v>
      </c>
      <c r="J59" s="138">
        <f>+('Hispanic &amp; Foreign'!BG55/'Total Associates'!AW55)*100</f>
        <v>0.83798882681564246</v>
      </c>
      <c r="K59" s="129">
        <f>+(Black!Z55/'All races'!Z55)*100</f>
        <v>1.7123287671232876</v>
      </c>
      <c r="L59" s="149" t="str">
        <f>IF(Black!BX55="NA","NA",(Black!BX55/Black!Z55)*100)</f>
        <v>NA</v>
      </c>
      <c r="M59" s="129">
        <f>+(Black!AE55/'All races'!AE55)*100</f>
        <v>3.0525928650239056</v>
      </c>
      <c r="N59" s="149" t="str">
        <f>IF(Black!CC55="NA","NA",(Black!CC55/Black!AE55)*100)</f>
        <v>NA</v>
      </c>
      <c r="O59" s="129">
        <f>+('Hispanic &amp; Foreign'!Y55/'All races'!Z55)*100</f>
        <v>1.2328767123287672</v>
      </c>
      <c r="P59" s="129">
        <f>+('Hispanic &amp; Foreign'!AD55/'All races'!AE55)*100</f>
        <v>1.9860242736300111</v>
      </c>
    </row>
    <row r="60" spans="1:16" ht="14.25" customHeight="1">
      <c r="A60" s="38" t="s">
        <v>123</v>
      </c>
      <c r="B60" s="38"/>
      <c r="C60" s="62">
        <f>+'Total Associates'!AW56</f>
        <v>13311</v>
      </c>
      <c r="D60" s="138">
        <f>+(('Total Associates'!AW56-'Total Associates'!AR56)/'Total Associates'!AR56)*100</f>
        <v>-2.0385634383279361</v>
      </c>
      <c r="E60" s="129">
        <f>+(Public!X56/'Total Associates'!AR56)*100</f>
        <v>80.939063879894022</v>
      </c>
      <c r="F60" s="138">
        <f>+(Public!AC56/'Total Associates'!AW56)*100</f>
        <v>89.399744572158369</v>
      </c>
      <c r="G60" s="129">
        <f>+(Gender!CL56/'Total Associates'!AR56)*100</f>
        <v>60.39152193111569</v>
      </c>
      <c r="H60" s="138">
        <f>+(Gender!CQ56/'Total Associates'!AW56)*100</f>
        <v>61.888663511381559</v>
      </c>
      <c r="I60" s="129">
        <f>+('Hispanic &amp; Foreign'!BB56/'Total Associates'!AR56)*100</f>
        <v>2.2887842213717988</v>
      </c>
      <c r="J60" s="138">
        <f>+('Hispanic &amp; Foreign'!BG56/'Total Associates'!AW56)*100</f>
        <v>2.0208849823454287</v>
      </c>
      <c r="K60" s="129">
        <f>+(Black!Z56/'All races'!Z56)*100</f>
        <v>11.091421667337897</v>
      </c>
      <c r="L60" s="149">
        <f>IF(Black!BX56="NA","NA",(Black!BX56/Black!Z56)*100)</f>
        <v>12.200435729847495</v>
      </c>
      <c r="M60" s="129">
        <f>+(Black!AE56/'All races'!AE56)*100</f>
        <v>13.830301078731283</v>
      </c>
      <c r="N60" s="149">
        <f>IF(Black!CC56="NA","NA",(Black!CC56/Black!AE56)*100)</f>
        <v>12.223515715948778</v>
      </c>
      <c r="O60" s="129">
        <f>+('Hispanic &amp; Foreign'!Y56/'All races'!Z56)*100</f>
        <v>11.300845751107531</v>
      </c>
      <c r="P60" s="129">
        <f>+('Hispanic &amp; Foreign'!AD56/'All races'!AE56)*100</f>
        <v>15.02173563033328</v>
      </c>
    </row>
    <row r="61" spans="1:16" ht="14.25" customHeight="1">
      <c r="A61" s="38" t="s">
        <v>132</v>
      </c>
      <c r="B61" s="38"/>
      <c r="C61" s="62">
        <f>+'Total Associates'!AW57</f>
        <v>3699</v>
      </c>
      <c r="D61" s="138">
        <f>+(('Total Associates'!AW57-'Total Associates'!AR57)/'Total Associates'!AR57)*100</f>
        <v>18.595703751202308</v>
      </c>
      <c r="E61" s="129">
        <f>+(Public!X57/'Total Associates'!AR57)*100</f>
        <v>68.707919204873363</v>
      </c>
      <c r="F61" s="138">
        <f>+(Public!AC57/'Total Associates'!AW57)*100</f>
        <v>53.933495539334956</v>
      </c>
      <c r="G61" s="129">
        <f>+(Gender!CL57/'Total Associates'!AR57)*100</f>
        <v>60.532221865982685</v>
      </c>
      <c r="H61" s="138">
        <f>+(Gender!CQ57/'Total Associates'!AW57)*100</f>
        <v>60.55690727223574</v>
      </c>
      <c r="I61" s="129">
        <f>+('Hispanic &amp; Foreign'!BB57/'Total Associates'!AR57)*100</f>
        <v>0.22443090734209684</v>
      </c>
      <c r="J61" s="138">
        <f>+('Hispanic &amp; Foreign'!BG57/'Total Associates'!AW57)*100</f>
        <v>0.13517166801838335</v>
      </c>
      <c r="K61" s="129">
        <f>+(Black!Z57/'All races'!Z57)*100</f>
        <v>1.5841584158415842</v>
      </c>
      <c r="L61" s="149" t="str">
        <f>IF(Black!BX57="NA","NA",(Black!BX57/Black!Z57)*100)</f>
        <v>NA</v>
      </c>
      <c r="M61" s="129">
        <f>+(Black!AE57/'All races'!AE57)*100</f>
        <v>9.5392602206359509</v>
      </c>
      <c r="N61" s="149" t="str">
        <f>IF(Black!CC57="NA","NA",(Black!CC57/Black!AE57)*100)</f>
        <v>NA</v>
      </c>
      <c r="O61" s="129">
        <f>+('Hispanic &amp; Foreign'!Y57/'All races'!Z57)*100</f>
        <v>5.1485148514851486</v>
      </c>
      <c r="P61" s="129">
        <f>+('Hispanic &amp; Foreign'!AD57/'All races'!AE57)*100</f>
        <v>5.9052563270603509</v>
      </c>
    </row>
    <row r="62" spans="1:16" ht="14.25" customHeight="1">
      <c r="A62" s="39" t="s">
        <v>133</v>
      </c>
      <c r="B62" s="39"/>
      <c r="C62" s="61">
        <f>+'Total Associates'!AW58</f>
        <v>23421</v>
      </c>
      <c r="D62" s="137">
        <f>+(('Total Associates'!AW58-'Total Associates'!AR58)/'Total Associates'!AR58)*100</f>
        <v>8.2151272928891554</v>
      </c>
      <c r="E62" s="47">
        <f>+(Public!X58/'Total Associates'!AR58)*100</f>
        <v>94.792773645058446</v>
      </c>
      <c r="F62" s="137">
        <f>+(Public!AC58/'Total Associates'!AW58)*100</f>
        <v>93.296614149694719</v>
      </c>
      <c r="G62" s="47">
        <f>+(Gender!CL58/'Total Associates'!AR58)*100</f>
        <v>60.190361779790237</v>
      </c>
      <c r="H62" s="137">
        <f>+(Gender!CQ58/'Total Associates'!AW58)*100</f>
        <v>58.460356090687846</v>
      </c>
      <c r="I62" s="47">
        <f>+('Hispanic &amp; Foreign'!BB58/'Total Associates'!AR58)*100</f>
        <v>4.2877604768285362</v>
      </c>
      <c r="J62" s="137">
        <f>+('Hispanic &amp; Foreign'!BG58/'Total Associates'!AW58)*100</f>
        <v>2.8905682934118953</v>
      </c>
      <c r="K62" s="47">
        <f>+(Black!Z58/'All races'!Z58)*100</f>
        <v>13.615780981627024</v>
      </c>
      <c r="L62" s="186">
        <f>IF(Black!BX58="NA","NA",(Black!BX58/Black!Z58)*100)</f>
        <v>22.859327217125383</v>
      </c>
      <c r="M62" s="47">
        <f>+(Black!AE58/'All races'!AE58)*100</f>
        <v>14.234336551201968</v>
      </c>
      <c r="N62" s="186">
        <f>IF(Black!CC58="NA","NA",(Black!CC58/Black!AE58)*100)</f>
        <v>9.2420212765957448</v>
      </c>
      <c r="O62" s="47">
        <f>+('Hispanic &amp; Foreign'!Y58/'All races'!Z58)*100</f>
        <v>17.961796700150938</v>
      </c>
      <c r="P62" s="47">
        <f>+('Hispanic &amp; Foreign'!AD58/'All races'!AE58)*100</f>
        <v>24.100889646034453</v>
      </c>
    </row>
    <row r="63" spans="1:16" ht="14.25" customHeight="1">
      <c r="A63" s="39" t="s">
        <v>136</v>
      </c>
      <c r="B63" s="39"/>
      <c r="C63" s="61">
        <f>+'Total Associates'!AW59</f>
        <v>63504</v>
      </c>
      <c r="D63" s="137">
        <f>+(('Total Associates'!AW59-'Total Associates'!AR59)/'Total Associates'!AR59)*100</f>
        <v>-5.5182777141326831</v>
      </c>
      <c r="E63" s="47">
        <f>+(Public!X59/'Total Associates'!AR59)*100</f>
        <v>74.981030455417851</v>
      </c>
      <c r="F63" s="137">
        <f>+(Public!AC59/'Total Associates'!AW59)*100</f>
        <v>82.138133030990176</v>
      </c>
      <c r="G63" s="47">
        <f>+(Gender!CL59/'Total Associates'!AR59)*100</f>
        <v>61.17417761444959</v>
      </c>
      <c r="H63" s="137">
        <f>+(Gender!CQ59/'Total Associates'!AW59)*100</f>
        <v>60.588309397833207</v>
      </c>
      <c r="I63" s="47">
        <f>+('Hispanic &amp; Foreign'!BB59/'Total Associates'!AR59)*100</f>
        <v>3.6763721303914423</v>
      </c>
      <c r="J63" s="137">
        <f>+('Hispanic &amp; Foreign'!BG59/'Total Associates'!AW59)*100</f>
        <v>4.1997354497354502</v>
      </c>
      <c r="K63" s="47">
        <f>+(Black!Z59/'All races'!Z59)*100</f>
        <v>18.083464643675175</v>
      </c>
      <c r="L63" s="186">
        <f>IF(Black!BX59="NA","NA",(Black!BX59/Black!Z59)*100)</f>
        <v>7.168523176428315</v>
      </c>
      <c r="M63" s="47">
        <f>+(Black!AE59/'All races'!AE59)*100</f>
        <v>17.673834029688511</v>
      </c>
      <c r="N63" s="186">
        <f>IF(Black!CC59="NA","NA",(Black!CC59/Black!AE59)*100)</f>
        <v>7.9377282337113204</v>
      </c>
      <c r="O63" s="47">
        <f>+('Hispanic &amp; Foreign'!Y59/'All races'!Z59)*100</f>
        <v>17.233873194821228</v>
      </c>
      <c r="P63" s="47">
        <f>+('Hispanic &amp; Foreign'!AD59/'All races'!AE59)*100</f>
        <v>22.500764292265362</v>
      </c>
    </row>
    <row r="64" spans="1:16" ht="14.25" customHeight="1">
      <c r="A64" s="39" t="s">
        <v>139</v>
      </c>
      <c r="B64" s="39"/>
      <c r="C64" s="61">
        <f>+'Total Associates'!AW60</f>
        <v>23830</v>
      </c>
      <c r="D64" s="137">
        <f>+(('Total Associates'!AW60-'Total Associates'!AR60)/'Total Associates'!AR60)*100</f>
        <v>-18.693916544406157</v>
      </c>
      <c r="E64" s="47">
        <f>+(Public!X60/'Total Associates'!AR60)*100</f>
        <v>57.603466511992906</v>
      </c>
      <c r="F64" s="137">
        <f>+(Public!AC60/'Total Associates'!AW60)*100</f>
        <v>67.377255560218202</v>
      </c>
      <c r="G64" s="47">
        <f>+(Gender!CL60/'Total Associates'!AR60)*100</f>
        <v>57.726295677095777</v>
      </c>
      <c r="H64" s="137">
        <f>+(Gender!CQ60/'Total Associates'!AW60)*100</f>
        <v>58.631976500209817</v>
      </c>
      <c r="I64" s="47">
        <f>+('Hispanic &amp; Foreign'!BB60/'Total Associates'!AR60)*100</f>
        <v>1.3272373673615614</v>
      </c>
      <c r="J64" s="137">
        <f>+('Hispanic &amp; Foreign'!BG60/'Total Associates'!AW60)*100</f>
        <v>0.83508182962652111</v>
      </c>
      <c r="K64" s="47">
        <f>+(Black!Z60/'All races'!Z60)*100</f>
        <v>12.877642111475893</v>
      </c>
      <c r="L64" s="186">
        <f>IF(Black!BX60="NA","NA",(Black!BX60/Black!Z60)*100)</f>
        <v>32.741334861071323</v>
      </c>
      <c r="M64" s="47">
        <f>+(Black!AE60/'All races'!AE60)*100</f>
        <v>13.401924697325823</v>
      </c>
      <c r="N64" s="186">
        <f>IF(Black!CC60="NA","NA",(Black!CC60/Black!AE60)*100)</f>
        <v>5.6915949702183983</v>
      </c>
      <c r="O64" s="47">
        <f>+('Hispanic &amp; Foreign'!Y60/'All races'!Z60)*100</f>
        <v>5.7361024014165043</v>
      </c>
      <c r="P64" s="47">
        <f>+('Hispanic &amp; Foreign'!AD60/'All races'!AE60)*100</f>
        <v>7.7475719544103958</v>
      </c>
    </row>
    <row r="65" spans="1:16" ht="14.25" customHeight="1">
      <c r="A65" s="39" t="s">
        <v>140</v>
      </c>
      <c r="B65" s="39"/>
      <c r="C65" s="61">
        <f>+'Total Associates'!AW61</f>
        <v>3353</v>
      </c>
      <c r="D65" s="137">
        <f>+(('Total Associates'!AW61-'Total Associates'!AR61)/'Total Associates'!AR61)*100</f>
        <v>-5.2021487135990956</v>
      </c>
      <c r="E65" s="47">
        <f>+(Public!X61/'Total Associates'!AR61)*100</f>
        <v>43.681085665818493</v>
      </c>
      <c r="F65" s="137">
        <f>+(Public!AC61/'Total Associates'!AW61)*100</f>
        <v>49.537727408291083</v>
      </c>
      <c r="G65" s="47">
        <f>+(Gender!CL61/'Total Associates'!AR61)*100</f>
        <v>53.067571388182074</v>
      </c>
      <c r="H65" s="137">
        <f>+(Gender!CQ61/'Total Associates'!AW61)*100</f>
        <v>55.35341485237101</v>
      </c>
      <c r="I65" s="47">
        <f>+('Hispanic &amp; Foreign'!BB61/'Total Associates'!AR61)*100</f>
        <v>1.5549901046084251</v>
      </c>
      <c r="J65" s="137">
        <f>+('Hispanic &amp; Foreign'!BG61/'Total Associates'!AW61)*100</f>
        <v>2.4753951685058158</v>
      </c>
      <c r="K65" s="47">
        <f>+(Black!Z61/'All races'!Z61)*100</f>
        <v>6.7994505494505493</v>
      </c>
      <c r="L65" s="186" t="str">
        <f>IF(Black!BX61="NA","NA",(Black!BX61/Black!Z61)*100)</f>
        <v>NA</v>
      </c>
      <c r="M65" s="47">
        <f>+(Black!AE61/'All races'!AE61)*100</f>
        <v>7.6348278102664064</v>
      </c>
      <c r="N65" s="186" t="str">
        <f>IF(Black!CC61="NA","NA",(Black!CC61/Black!AE61)*100)</f>
        <v>NA</v>
      </c>
      <c r="O65" s="47">
        <f>+('Hispanic &amp; Foreign'!Y61/'All races'!Z61)*100</f>
        <v>8.5508241758241752</v>
      </c>
      <c r="P65" s="47">
        <f>+('Hispanic &amp; Foreign'!AD61/'All races'!AE61)*100</f>
        <v>12.378167641325536</v>
      </c>
    </row>
    <row r="66" spans="1:16" ht="14.25" customHeight="1">
      <c r="A66" s="40" t="s">
        <v>143</v>
      </c>
      <c r="B66" s="40"/>
      <c r="C66" s="60">
        <f>+'Total Associates'!AW62</f>
        <v>1056</v>
      </c>
      <c r="D66" s="140">
        <f>+(('Total Associates'!AW62-'Total Associates'!AR62)/'Total Associates'!AR62)*100</f>
        <v>-11.705685618729097</v>
      </c>
      <c r="E66" s="192">
        <f>+(Public!X62/'Total Associates'!AR62)*100</f>
        <v>77.173913043478265</v>
      </c>
      <c r="F66" s="140">
        <f>+(Public!AC62/'Total Associates'!AW62)*100</f>
        <v>82.670454545454547</v>
      </c>
      <c r="G66" s="192">
        <f>+(Gender!CL62/'Total Associates'!AR62)*100</f>
        <v>61.789297658862871</v>
      </c>
      <c r="H66" s="140">
        <f>+(Gender!CQ62/'Total Associates'!AW62)*100</f>
        <v>61.742424242424242</v>
      </c>
      <c r="I66" s="192">
        <f>+('Hispanic &amp; Foreign'!BB62/'Total Associates'!AR62)*100</f>
        <v>1.0033444816053512</v>
      </c>
      <c r="J66" s="140">
        <f>+('Hispanic &amp; Foreign'!BG62/'Total Associates'!AW62)*100</f>
        <v>1.0416666666666665</v>
      </c>
      <c r="K66" s="192">
        <f>+(Black!Z62/'All races'!Z62)*100</f>
        <v>1.1443661971830987</v>
      </c>
      <c r="L66" s="194" t="str">
        <f>IF(Black!BX62="NA","NA",(Black!BX62/Black!Z62)*100)</f>
        <v>NA</v>
      </c>
      <c r="M66" s="192">
        <f>+(Black!AE62/'All races'!AE62)*100</f>
        <v>1.9782393669634024</v>
      </c>
      <c r="N66" s="194" t="str">
        <f>IF(Black!CC62="NA","NA",(Black!CC62/Black!AE62)*100)</f>
        <v>NA</v>
      </c>
      <c r="O66" s="192">
        <f>+('Hispanic &amp; Foreign'!Y62/'All races'!Z62)*100</f>
        <v>1.936619718309859</v>
      </c>
      <c r="P66" s="131">
        <f>+('Hispanic &amp; Foreign'!AD62/'All races'!AE62)*100</f>
        <v>2.571711177052423</v>
      </c>
    </row>
    <row r="67" spans="1:16" ht="14.25" customHeight="1">
      <c r="A67" s="43" t="s">
        <v>129</v>
      </c>
      <c r="B67" s="43"/>
      <c r="C67" s="63">
        <f>+'Total Associates'!AW63</f>
        <v>727</v>
      </c>
      <c r="D67" s="139">
        <f>+(('Total Associates'!AW63-'Total Associates'!AR63)/'Total Associates'!AR63)*100</f>
        <v>57.019438444924411</v>
      </c>
      <c r="E67" s="193">
        <f>+(Public!X63/'Total Associates'!AR63)*100</f>
        <v>36.717062634989198</v>
      </c>
      <c r="F67" s="139">
        <f>+(Public!AC63/'Total Associates'!AW63)*100</f>
        <v>32.874828060522695</v>
      </c>
      <c r="G67" s="193">
        <f>+(Gender!CL63/'Total Associates'!AR63)*100</f>
        <v>61.339092872570191</v>
      </c>
      <c r="H67" s="139">
        <f>+(Gender!CQ63/'Total Associates'!AW63)*100</f>
        <v>64.649243466299865</v>
      </c>
      <c r="I67" s="193">
        <f>+('Hispanic &amp; Foreign'!BB63/'Total Associates'!AR63)*100</f>
        <v>1.7278617710583155</v>
      </c>
      <c r="J67" s="139">
        <f>+('Hispanic &amp; Foreign'!BG63/'Total Associates'!AW63)*100</f>
        <v>1.5130674002751032</v>
      </c>
      <c r="K67" s="193">
        <f>+(Black!Z63/'All races'!Z63)*100</f>
        <v>57.027027027027025</v>
      </c>
      <c r="L67" s="150">
        <f>IF(Black!BX63="NA","NA",(Black!BX63/Black!Z63)*100)</f>
        <v>89.099526066350705</v>
      </c>
      <c r="M67" s="193">
        <f>+(Black!AE63/'All races'!AE63)*100</f>
        <v>50.952380952380949</v>
      </c>
      <c r="N67" s="150">
        <f>IF(Black!CC63="NA","NA",(Black!CC63/Black!AE63)*100)</f>
        <v>73.208722741433021</v>
      </c>
      <c r="O67" s="193">
        <f>+('Hispanic &amp; Foreign'!Y63/'All races'!Z63)*100</f>
        <v>6.2162162162162167</v>
      </c>
      <c r="P67" s="130">
        <f>+('Hispanic &amp; Foreign'!AD63/'All races'!AE63)*100</f>
        <v>12.222222222222221</v>
      </c>
    </row>
    <row r="68" spans="1:16" ht="15" customHeight="1">
      <c r="A68" s="151" t="s">
        <v>229</v>
      </c>
      <c r="B68" s="151"/>
      <c r="C68" s="152"/>
      <c r="D68" s="151"/>
      <c r="E68" s="151"/>
      <c r="F68" s="151"/>
      <c r="G68" s="151"/>
      <c r="H68" s="151"/>
      <c r="I68" s="151"/>
      <c r="J68" s="151"/>
      <c r="K68" s="151"/>
      <c r="L68" s="152"/>
      <c r="M68" s="151"/>
      <c r="N68" s="152"/>
      <c r="O68" s="151"/>
      <c r="P68" s="151"/>
    </row>
    <row r="69" spans="1:16" ht="21.75" customHeight="1">
      <c r="A69" s="204" t="s">
        <v>231</v>
      </c>
      <c r="B69" s="204"/>
      <c r="C69" s="204"/>
      <c r="D69" s="204"/>
      <c r="E69" s="204"/>
      <c r="F69" s="204"/>
      <c r="G69" s="204"/>
      <c r="H69" s="204"/>
      <c r="I69" s="204"/>
      <c r="J69" s="204"/>
      <c r="K69" s="204"/>
      <c r="L69" s="204"/>
      <c r="M69" s="204"/>
      <c r="N69" s="204"/>
      <c r="O69" s="204"/>
      <c r="P69" s="204"/>
    </row>
    <row r="70" spans="1:16" ht="20.25" customHeight="1">
      <c r="A70" s="206" t="s">
        <v>224</v>
      </c>
      <c r="B70" s="207"/>
      <c r="C70" s="207"/>
      <c r="D70" s="207"/>
      <c r="E70" s="207"/>
      <c r="F70" s="207"/>
      <c r="G70" s="207"/>
      <c r="H70" s="207"/>
      <c r="I70" s="207"/>
      <c r="J70" s="207"/>
      <c r="K70" s="207"/>
      <c r="L70" s="207"/>
      <c r="M70" s="207"/>
      <c r="N70" s="207"/>
      <c r="O70" s="207"/>
      <c r="P70" s="207"/>
    </row>
    <row r="71" spans="1:16" ht="30.75" customHeight="1">
      <c r="A71" s="206" t="s">
        <v>230</v>
      </c>
      <c r="B71" s="207"/>
      <c r="C71" s="207"/>
      <c r="D71" s="207"/>
      <c r="E71" s="207"/>
      <c r="F71" s="207"/>
      <c r="G71" s="207"/>
      <c r="H71" s="207"/>
      <c r="I71" s="207"/>
      <c r="J71" s="207"/>
      <c r="K71" s="207"/>
      <c r="L71" s="207"/>
      <c r="M71" s="207"/>
      <c r="N71" s="207"/>
      <c r="O71" s="207"/>
      <c r="P71" s="207"/>
    </row>
    <row r="72" spans="1:16" ht="23.25" customHeight="1">
      <c r="A72" s="208" t="s">
        <v>212</v>
      </c>
      <c r="B72" s="209"/>
      <c r="C72" s="209"/>
      <c r="D72" s="209"/>
      <c r="E72" s="209"/>
      <c r="F72" s="209"/>
      <c r="G72" s="209"/>
      <c r="H72" s="209"/>
      <c r="I72" s="209"/>
      <c r="J72" s="209"/>
      <c r="K72" s="209"/>
      <c r="L72" s="209"/>
      <c r="M72" s="209"/>
      <c r="N72" s="209"/>
      <c r="O72" s="209"/>
      <c r="P72" s="209"/>
    </row>
    <row r="73" spans="1:16" ht="12.75" customHeight="1">
      <c r="O73" s="205" t="s">
        <v>228</v>
      </c>
      <c r="P73" s="205"/>
    </row>
    <row r="74" spans="1:16" ht="15" customHeight="1"/>
    <row r="75" spans="1:16" ht="15" customHeight="1"/>
    <row r="76" spans="1:16" ht="15" customHeight="1"/>
    <row r="77" spans="1:16" ht="15" customHeight="1"/>
    <row r="78" spans="1:16" ht="15" customHeight="1"/>
    <row r="79" spans="1:16" ht="15" customHeight="1"/>
  </sheetData>
  <mergeCells count="5">
    <mergeCell ref="A69:P69"/>
    <mergeCell ref="O73:P73"/>
    <mergeCell ref="A70:P70"/>
    <mergeCell ref="A71:P71"/>
    <mergeCell ref="A72:P72"/>
  </mergeCells>
  <phoneticPr fontId="11" type="noConversion"/>
  <printOptions horizontalCentered="1"/>
  <pageMargins left="0.5" right="0.5" top="0.5" bottom="0.5" header="0.5" footer="0.5"/>
  <pageSetup scale="61" orientation="portrait"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AW79"/>
  <sheetViews>
    <sheetView zoomScale="80" zoomScaleNormal="80" workbookViewId="0">
      <pane xSplit="1" ySplit="3" topLeftCell="T4" activePane="bottomRight" state="frozen"/>
      <selection pane="topRight" activeCell="B1" sqref="B1"/>
      <selection pane="bottomLeft" activeCell="A4" sqref="A4"/>
      <selection pane="bottomRight" activeCell="AX7" sqref="AX7:AZ22"/>
    </sheetView>
  </sheetViews>
  <sheetFormatPr defaultRowHeight="12.75"/>
  <cols>
    <col min="1" max="1" width="21" style="1" customWidth="1"/>
    <col min="2" max="37" width="9.140625" style="1"/>
    <col min="38" max="38" width="8.5703125" style="1" customWidth="1"/>
    <col min="39" max="43" width="9.140625" style="1"/>
    <col min="44" max="49" width="10.42578125" style="1" customWidth="1"/>
    <col min="50" max="16384" width="9.140625" style="1"/>
  </cols>
  <sheetData>
    <row r="1" spans="1:49">
      <c r="A1" s="4" t="s">
        <v>215</v>
      </c>
      <c r="B1" s="98"/>
      <c r="C1" s="4"/>
      <c r="D1" s="4"/>
      <c r="E1" s="4"/>
      <c r="F1" s="4"/>
      <c r="G1" s="4"/>
      <c r="H1" s="4"/>
      <c r="I1" s="4"/>
    </row>
    <row r="2" spans="1:49">
      <c r="B2" s="98"/>
      <c r="C2" s="4"/>
      <c r="D2" s="4"/>
      <c r="E2" s="4"/>
      <c r="F2" s="4"/>
      <c r="G2" s="4"/>
      <c r="H2" s="4"/>
      <c r="I2" s="4"/>
      <c r="AE2" s="5"/>
    </row>
    <row r="3" spans="1:49" s="4" customFormat="1">
      <c r="A3" s="54"/>
      <c r="B3" s="101" t="s">
        <v>53</v>
      </c>
      <c r="C3" s="55" t="s">
        <v>54</v>
      </c>
      <c r="D3" s="55" t="s">
        <v>55</v>
      </c>
      <c r="E3" s="55" t="s">
        <v>0</v>
      </c>
      <c r="F3" s="55" t="s">
        <v>56</v>
      </c>
      <c r="G3" s="55" t="s">
        <v>1</v>
      </c>
      <c r="H3" s="55" t="s">
        <v>57</v>
      </c>
      <c r="I3" s="55" t="s">
        <v>2</v>
      </c>
      <c r="J3" s="55" t="s">
        <v>58</v>
      </c>
      <c r="K3" s="55" t="s">
        <v>3</v>
      </c>
      <c r="L3" s="55" t="s">
        <v>59</v>
      </c>
      <c r="M3" s="55" t="s">
        <v>4</v>
      </c>
      <c r="N3" s="55" t="s">
        <v>5</v>
      </c>
      <c r="O3" s="55" t="s">
        <v>6</v>
      </c>
      <c r="P3" s="55" t="s">
        <v>60</v>
      </c>
      <c r="Q3" s="55" t="s">
        <v>7</v>
      </c>
      <c r="R3" s="55" t="s">
        <v>61</v>
      </c>
      <c r="S3" s="55" t="s">
        <v>8</v>
      </c>
      <c r="T3" s="55" t="s">
        <v>62</v>
      </c>
      <c r="U3" s="55" t="s">
        <v>9</v>
      </c>
      <c r="V3" s="55" t="s">
        <v>10</v>
      </c>
      <c r="W3" s="55" t="s">
        <v>63</v>
      </c>
      <c r="X3" s="55" t="s">
        <v>11</v>
      </c>
      <c r="Y3" s="55" t="s">
        <v>64</v>
      </c>
      <c r="Z3" s="55" t="s">
        <v>12</v>
      </c>
      <c r="AA3" s="55" t="s">
        <v>65</v>
      </c>
      <c r="AB3" s="55" t="s">
        <v>51</v>
      </c>
      <c r="AC3" s="55" t="s">
        <v>79</v>
      </c>
      <c r="AD3" s="55" t="s">
        <v>108</v>
      </c>
      <c r="AE3" s="55" t="s">
        <v>146</v>
      </c>
      <c r="AF3" s="55" t="s">
        <v>147</v>
      </c>
      <c r="AG3" s="55" t="s">
        <v>170</v>
      </c>
      <c r="AH3" s="55" t="s">
        <v>171</v>
      </c>
      <c r="AI3" s="55" t="s">
        <v>156</v>
      </c>
      <c r="AJ3" s="55" t="s">
        <v>168</v>
      </c>
      <c r="AK3" s="55" t="s">
        <v>169</v>
      </c>
      <c r="AL3" s="55" t="s">
        <v>180</v>
      </c>
      <c r="AM3" s="55" t="s">
        <v>182</v>
      </c>
      <c r="AN3" s="55" t="s">
        <v>184</v>
      </c>
      <c r="AO3" s="55" t="s">
        <v>190</v>
      </c>
      <c r="AP3" s="55" t="s">
        <v>204</v>
      </c>
      <c r="AQ3" s="55" t="s">
        <v>205</v>
      </c>
      <c r="AR3" s="201" t="s">
        <v>208</v>
      </c>
      <c r="AS3" s="201" t="s">
        <v>210</v>
      </c>
      <c r="AT3" s="201" t="s">
        <v>221</v>
      </c>
      <c r="AU3" s="201" t="s">
        <v>222</v>
      </c>
      <c r="AV3" s="201" t="s">
        <v>225</v>
      </c>
      <c r="AW3" s="201" t="s">
        <v>226</v>
      </c>
    </row>
    <row r="4" spans="1:49">
      <c r="A4" s="45" t="s">
        <v>188</v>
      </c>
      <c r="B4" s="104">
        <f t="shared" ref="B4:AN4" si="0">B5+B23+B38+B52+B63</f>
        <v>206023</v>
      </c>
      <c r="C4" s="51">
        <f t="shared" si="0"/>
        <v>252311</v>
      </c>
      <c r="D4" s="51">
        <f t="shared" si="0"/>
        <v>292014</v>
      </c>
      <c r="E4" s="51">
        <f t="shared" si="0"/>
        <v>316174</v>
      </c>
      <c r="F4" s="51">
        <f t="shared" si="0"/>
        <v>343924</v>
      </c>
      <c r="G4" s="51">
        <f t="shared" si="0"/>
        <v>360171</v>
      </c>
      <c r="H4" s="51">
        <f t="shared" si="0"/>
        <v>391454</v>
      </c>
      <c r="I4" s="51">
        <f t="shared" si="0"/>
        <v>406047</v>
      </c>
      <c r="J4" s="51">
        <f t="shared" si="0"/>
        <v>409996</v>
      </c>
      <c r="K4" s="51">
        <f t="shared" si="0"/>
        <v>399369</v>
      </c>
      <c r="L4" s="51">
        <f t="shared" si="0"/>
        <v>397191</v>
      </c>
      <c r="M4" s="51">
        <f t="shared" si="0"/>
        <v>412358</v>
      </c>
      <c r="N4" s="51">
        <f t="shared" si="0"/>
        <v>430167</v>
      </c>
      <c r="O4" s="51">
        <f t="shared" si="0"/>
        <v>444600</v>
      </c>
      <c r="P4" s="51">
        <f t="shared" si="0"/>
        <v>447220</v>
      </c>
      <c r="Q4" s="51">
        <f t="shared" si="0"/>
        <v>448208</v>
      </c>
      <c r="R4" s="51">
        <f t="shared" si="0"/>
        <v>436801</v>
      </c>
      <c r="S4" s="51">
        <f t="shared" si="0"/>
        <v>427120</v>
      </c>
      <c r="T4" s="51">
        <f t="shared" si="0"/>
        <v>426828</v>
      </c>
      <c r="U4" s="51">
        <f t="shared" si="0"/>
        <v>428786</v>
      </c>
      <c r="V4" s="51">
        <f t="shared" si="0"/>
        <v>446034</v>
      </c>
      <c r="W4" s="51">
        <f t="shared" si="0"/>
        <v>472138</v>
      </c>
      <c r="X4" s="51">
        <f t="shared" si="0"/>
        <v>494005</v>
      </c>
      <c r="Y4" s="51">
        <f t="shared" si="0"/>
        <v>504530</v>
      </c>
      <c r="Z4" s="51">
        <f t="shared" si="0"/>
        <v>519622</v>
      </c>
      <c r="AA4" s="51">
        <f t="shared" si="0"/>
        <v>527714</v>
      </c>
      <c r="AB4" s="51">
        <f t="shared" si="0"/>
        <v>543592</v>
      </c>
      <c r="AC4" s="51">
        <f t="shared" si="0"/>
        <v>559859</v>
      </c>
      <c r="AD4" s="51">
        <f t="shared" si="0"/>
        <v>558555</v>
      </c>
      <c r="AE4" s="51">
        <f t="shared" si="0"/>
        <v>559954</v>
      </c>
      <c r="AF4" s="51">
        <f t="shared" si="0"/>
        <v>564933</v>
      </c>
      <c r="AG4" s="51">
        <f t="shared" si="0"/>
        <v>578865</v>
      </c>
      <c r="AH4" s="51">
        <f t="shared" si="0"/>
        <v>595133</v>
      </c>
      <c r="AI4" s="51">
        <f t="shared" si="0"/>
        <v>634016</v>
      </c>
      <c r="AJ4" s="51">
        <f t="shared" si="0"/>
        <v>664672</v>
      </c>
      <c r="AK4" s="51">
        <f t="shared" si="0"/>
        <v>696660</v>
      </c>
      <c r="AL4" s="51">
        <f t="shared" si="0"/>
        <v>706403</v>
      </c>
      <c r="AM4" s="51">
        <f t="shared" si="0"/>
        <v>728114</v>
      </c>
      <c r="AN4" s="51">
        <f t="shared" si="0"/>
        <v>750164</v>
      </c>
      <c r="AO4" s="51">
        <f t="shared" ref="AO4:AP4" si="1">AO5+AO23+AO38+AO52+AO63</f>
        <v>787325</v>
      </c>
      <c r="AP4" s="51">
        <f t="shared" si="1"/>
        <v>847064</v>
      </c>
      <c r="AQ4" s="51">
        <f t="shared" ref="AQ4:AR4" si="2">AQ5+AQ23+AQ38+AQ52+AQ63</f>
        <v>888454</v>
      </c>
      <c r="AR4" s="51">
        <f t="shared" si="2"/>
        <v>1003908</v>
      </c>
      <c r="AS4" s="51">
        <f t="shared" ref="AS4:AU4" si="3">AS5+AS23+AS38+AS52+AS63</f>
        <v>996798</v>
      </c>
      <c r="AT4" s="51">
        <f t="shared" si="3"/>
        <v>0</v>
      </c>
      <c r="AU4" s="51">
        <f t="shared" si="3"/>
        <v>1001643</v>
      </c>
      <c r="AV4" s="51">
        <f t="shared" ref="AV4:AW4" si="4">AV5+AV23+AV38+AV52+AV63</f>
        <v>997871</v>
      </c>
      <c r="AW4" s="51">
        <f t="shared" si="4"/>
        <v>995739</v>
      </c>
    </row>
    <row r="5" spans="1:49">
      <c r="A5" s="46" t="s">
        <v>70</v>
      </c>
      <c r="B5" s="93">
        <f>SUM(B7:B22)</f>
        <v>46931</v>
      </c>
      <c r="C5" s="52">
        <f t="shared" ref="C5:AN5" si="5">SUM(C7:C22)</f>
        <v>58480</v>
      </c>
      <c r="D5" s="52">
        <f t="shared" si="5"/>
        <v>70671</v>
      </c>
      <c r="E5" s="52">
        <f t="shared" si="5"/>
        <v>79553</v>
      </c>
      <c r="F5" s="52">
        <f t="shared" si="5"/>
        <v>86626</v>
      </c>
      <c r="G5" s="52">
        <f t="shared" si="5"/>
        <v>91491</v>
      </c>
      <c r="H5" s="52">
        <f t="shared" si="5"/>
        <v>106061</v>
      </c>
      <c r="I5" s="52">
        <f t="shared" si="5"/>
        <v>111364</v>
      </c>
      <c r="J5" s="52">
        <f t="shared" si="5"/>
        <v>114498</v>
      </c>
      <c r="K5" s="52">
        <f t="shared" si="5"/>
        <v>113537</v>
      </c>
      <c r="L5" s="52">
        <f t="shared" si="5"/>
        <v>114619</v>
      </c>
      <c r="M5" s="52">
        <f t="shared" si="5"/>
        <v>115634</v>
      </c>
      <c r="N5" s="52">
        <f t="shared" si="5"/>
        <v>122909</v>
      </c>
      <c r="O5" s="52">
        <f t="shared" si="5"/>
        <v>127084</v>
      </c>
      <c r="P5" s="52">
        <f t="shared" si="5"/>
        <v>125711</v>
      </c>
      <c r="Q5" s="52">
        <f t="shared" si="5"/>
        <v>128073</v>
      </c>
      <c r="R5" s="52">
        <f t="shared" si="5"/>
        <v>126880</v>
      </c>
      <c r="S5" s="52">
        <f t="shared" si="5"/>
        <v>121713</v>
      </c>
      <c r="T5" s="52">
        <f t="shared" si="5"/>
        <v>125161</v>
      </c>
      <c r="U5" s="52">
        <f t="shared" si="5"/>
        <v>127290</v>
      </c>
      <c r="V5" s="52">
        <f t="shared" si="5"/>
        <v>133504</v>
      </c>
      <c r="W5" s="52">
        <f t="shared" si="5"/>
        <v>138537</v>
      </c>
      <c r="X5" s="52">
        <f t="shared" si="5"/>
        <v>147216</v>
      </c>
      <c r="Y5" s="52">
        <f t="shared" si="5"/>
        <v>151724</v>
      </c>
      <c r="Z5" s="52">
        <f t="shared" si="5"/>
        <v>158928</v>
      </c>
      <c r="AA5" s="52">
        <f t="shared" si="5"/>
        <v>158836</v>
      </c>
      <c r="AB5" s="52">
        <f t="shared" si="5"/>
        <v>162945</v>
      </c>
      <c r="AC5" s="52">
        <f t="shared" si="5"/>
        <v>171714</v>
      </c>
      <c r="AD5" s="52">
        <f t="shared" si="5"/>
        <v>172347</v>
      </c>
      <c r="AE5" s="52">
        <f t="shared" si="5"/>
        <v>170301</v>
      </c>
      <c r="AF5" s="52">
        <f t="shared" si="5"/>
        <v>172168</v>
      </c>
      <c r="AG5" s="52">
        <f t="shared" si="5"/>
        <v>181248</v>
      </c>
      <c r="AH5" s="52">
        <f t="shared" si="5"/>
        <v>183561</v>
      </c>
      <c r="AI5" s="52">
        <f t="shared" si="5"/>
        <v>203004</v>
      </c>
      <c r="AJ5" s="52">
        <f t="shared" si="5"/>
        <v>216813</v>
      </c>
      <c r="AK5" s="52">
        <f t="shared" si="5"/>
        <v>228028</v>
      </c>
      <c r="AL5" s="52">
        <f t="shared" si="5"/>
        <v>234536</v>
      </c>
      <c r="AM5" s="52">
        <f t="shared" si="5"/>
        <v>238817</v>
      </c>
      <c r="AN5" s="52">
        <f t="shared" si="5"/>
        <v>244896</v>
      </c>
      <c r="AO5" s="52">
        <f t="shared" ref="AO5" si="6">SUM(AO7:AO22)</f>
        <v>258098</v>
      </c>
      <c r="AP5" s="52">
        <f>SUM(AP7:AP22)</f>
        <v>285108</v>
      </c>
      <c r="AQ5" s="52">
        <f>SUM(AQ7:AQ22)</f>
        <v>317521</v>
      </c>
      <c r="AR5" s="52">
        <f>SUM(AR7:AR22)</f>
        <v>355859</v>
      </c>
      <c r="AS5" s="52">
        <f>SUM(AS7:AS22)</f>
        <v>356139</v>
      </c>
      <c r="AT5" s="52">
        <f t="shared" ref="AT5:AU5" si="7">SUM(AT7:AT22)</f>
        <v>0</v>
      </c>
      <c r="AU5" s="52">
        <f t="shared" si="7"/>
        <v>365171</v>
      </c>
      <c r="AV5" s="52">
        <f t="shared" ref="AV5:AW5" si="8">SUM(AV7:AV22)</f>
        <v>369796</v>
      </c>
      <c r="AW5" s="52">
        <f t="shared" si="8"/>
        <v>373221</v>
      </c>
    </row>
    <row r="6" spans="1:49">
      <c r="A6" s="47" t="s">
        <v>189</v>
      </c>
      <c r="B6" s="105">
        <f>(B5/B$4)*100</f>
        <v>22.779495493221631</v>
      </c>
      <c r="C6" s="53">
        <f t="shared" ref="C6:AN6" si="9">(C5/C$4)*100</f>
        <v>23.177744925904932</v>
      </c>
      <c r="D6" s="53">
        <f t="shared" si="9"/>
        <v>24.20123692699665</v>
      </c>
      <c r="E6" s="53">
        <f t="shared" si="9"/>
        <v>25.161145445229526</v>
      </c>
      <c r="F6" s="53">
        <f t="shared" si="9"/>
        <v>25.187541433572534</v>
      </c>
      <c r="G6" s="53">
        <f t="shared" si="9"/>
        <v>25.402100668848966</v>
      </c>
      <c r="H6" s="53">
        <f t="shared" si="9"/>
        <v>27.094115783719158</v>
      </c>
      <c r="I6" s="53">
        <f t="shared" si="9"/>
        <v>27.426381675027766</v>
      </c>
      <c r="J6" s="53">
        <f t="shared" si="9"/>
        <v>27.926613918184568</v>
      </c>
      <c r="K6" s="53">
        <f t="shared" si="9"/>
        <v>28.429096900360317</v>
      </c>
      <c r="L6" s="53">
        <f t="shared" si="9"/>
        <v>28.857401099219267</v>
      </c>
      <c r="M6" s="53">
        <f t="shared" si="9"/>
        <v>28.042138142099827</v>
      </c>
      <c r="N6" s="53">
        <f t="shared" si="9"/>
        <v>28.572391652544244</v>
      </c>
      <c r="O6" s="53">
        <f t="shared" si="9"/>
        <v>28.583895636527217</v>
      </c>
      <c r="P6" s="53">
        <f t="shared" si="9"/>
        <v>28.109431599660123</v>
      </c>
      <c r="Q6" s="53">
        <f t="shared" si="9"/>
        <v>28.574456502338201</v>
      </c>
      <c r="R6" s="53">
        <f t="shared" si="9"/>
        <v>29.047552546811932</v>
      </c>
      <c r="S6" s="53">
        <f t="shared" si="9"/>
        <v>28.496207154897924</v>
      </c>
      <c r="T6" s="53">
        <f t="shared" si="9"/>
        <v>29.323521418463645</v>
      </c>
      <c r="U6" s="53">
        <f t="shared" si="9"/>
        <v>29.686137140671569</v>
      </c>
      <c r="V6" s="53">
        <f t="shared" si="9"/>
        <v>29.931350524847883</v>
      </c>
      <c r="W6" s="53">
        <f t="shared" si="9"/>
        <v>29.342480376500092</v>
      </c>
      <c r="X6" s="53">
        <f t="shared" si="9"/>
        <v>29.80050809202336</v>
      </c>
      <c r="Y6" s="53">
        <f t="shared" si="9"/>
        <v>30.072344558301783</v>
      </c>
      <c r="Z6" s="53">
        <f t="shared" si="9"/>
        <v>30.585310090796767</v>
      </c>
      <c r="AA6" s="53">
        <f t="shared" si="9"/>
        <v>30.098879317205913</v>
      </c>
      <c r="AB6" s="53">
        <f t="shared" si="9"/>
        <v>29.975606705028774</v>
      </c>
      <c r="AC6" s="53">
        <f t="shared" si="9"/>
        <v>30.670936789441626</v>
      </c>
      <c r="AD6" s="53">
        <f t="shared" si="9"/>
        <v>30.855869162392246</v>
      </c>
      <c r="AE6" s="53">
        <f t="shared" si="9"/>
        <v>30.413391099983212</v>
      </c>
      <c r="AF6" s="53">
        <f t="shared" si="9"/>
        <v>30.475826336928453</v>
      </c>
      <c r="AG6" s="53">
        <f t="shared" si="9"/>
        <v>31.310927418309969</v>
      </c>
      <c r="AH6" s="53">
        <f t="shared" si="9"/>
        <v>30.843693762570716</v>
      </c>
      <c r="AI6" s="53">
        <f t="shared" si="9"/>
        <v>32.018750315449452</v>
      </c>
      <c r="AJ6" s="53">
        <f t="shared" si="9"/>
        <v>32.619547686678544</v>
      </c>
      <c r="AK6" s="53">
        <f t="shared" si="9"/>
        <v>32.731605087130021</v>
      </c>
      <c r="AL6" s="53">
        <f t="shared" si="9"/>
        <v>33.201444501226632</v>
      </c>
      <c r="AM6" s="53">
        <f t="shared" si="9"/>
        <v>32.799396797754198</v>
      </c>
      <c r="AN6" s="53">
        <f t="shared" si="9"/>
        <v>32.645661482022597</v>
      </c>
      <c r="AO6" s="53">
        <f t="shared" ref="AO6:AP6" si="10">(AO5/AO$4)*100</f>
        <v>32.781634013907848</v>
      </c>
      <c r="AP6" s="53">
        <f t="shared" si="10"/>
        <v>33.658377643247732</v>
      </c>
      <c r="AQ6" s="53">
        <f t="shared" ref="AQ6:AR6" si="11">(AQ5/AQ$4)*100</f>
        <v>35.738597608880148</v>
      </c>
      <c r="AR6" s="53">
        <f t="shared" si="11"/>
        <v>35.447371671507746</v>
      </c>
      <c r="AS6" s="53">
        <f t="shared" ref="AS6:AU6" si="12">(AS5/AS$4)*100</f>
        <v>35.728302023077894</v>
      </c>
      <c r="AT6" s="53" t="e">
        <f t="shared" si="12"/>
        <v>#DIV/0!</v>
      </c>
      <c r="AU6" s="53">
        <f t="shared" si="12"/>
        <v>36.457200819054293</v>
      </c>
      <c r="AV6" s="53">
        <f t="shared" ref="AV6:AW6" si="13">(AV5/AV$4)*100</f>
        <v>37.058497541265353</v>
      </c>
      <c r="AW6" s="53">
        <f t="shared" si="13"/>
        <v>37.481809992377521</v>
      </c>
    </row>
    <row r="7" spans="1:49" s="6" customFormat="1">
      <c r="A7" s="39" t="s">
        <v>14</v>
      </c>
      <c r="B7" s="94">
        <v>1772</v>
      </c>
      <c r="C7" s="6">
        <v>2115</v>
      </c>
      <c r="D7" s="6">
        <v>2522</v>
      </c>
      <c r="E7" s="6">
        <v>3191</v>
      </c>
      <c r="F7" s="6">
        <v>3161</v>
      </c>
      <c r="G7" s="6">
        <v>3425</v>
      </c>
      <c r="H7" s="6">
        <v>4831</v>
      </c>
      <c r="I7" s="6">
        <v>5191</v>
      </c>
      <c r="J7" s="6">
        <v>5600</v>
      </c>
      <c r="K7" s="6">
        <v>4954</v>
      </c>
      <c r="L7" s="6">
        <v>5146</v>
      </c>
      <c r="M7" s="6">
        <v>4839</v>
      </c>
      <c r="N7" s="6">
        <v>5036</v>
      </c>
      <c r="O7" s="6">
        <v>4820</v>
      </c>
      <c r="P7" s="6">
        <v>5067</v>
      </c>
      <c r="Q7" s="6">
        <v>6012</v>
      </c>
      <c r="R7" s="6">
        <v>6107</v>
      </c>
      <c r="S7" s="6">
        <v>6212</v>
      </c>
      <c r="T7" s="124">
        <v>5974</v>
      </c>
      <c r="U7" s="124">
        <v>5877</v>
      </c>
      <c r="V7" s="6">
        <v>6265</v>
      </c>
      <c r="W7" s="6">
        <v>6584</v>
      </c>
      <c r="X7" s="6">
        <v>7257</v>
      </c>
      <c r="Y7" s="6">
        <v>7484</v>
      </c>
      <c r="Z7" s="124">
        <v>7781</v>
      </c>
      <c r="AA7" s="6">
        <v>7835</v>
      </c>
      <c r="AB7" s="6">
        <v>8260</v>
      </c>
      <c r="AC7" s="6">
        <v>8663</v>
      </c>
      <c r="AD7" s="6">
        <v>9077</v>
      </c>
      <c r="AE7" s="6">
        <v>8056</v>
      </c>
      <c r="AF7" s="6">
        <v>8765</v>
      </c>
      <c r="AG7" s="6">
        <v>8140</v>
      </c>
      <c r="AH7" s="6">
        <v>7927</v>
      </c>
      <c r="AI7" s="6">
        <v>8744</v>
      </c>
      <c r="AJ7" s="6">
        <v>8914</v>
      </c>
      <c r="AK7" s="6">
        <v>9274</v>
      </c>
      <c r="AL7" s="6">
        <v>8895</v>
      </c>
      <c r="AM7" s="6">
        <v>8265</v>
      </c>
      <c r="AN7" s="6">
        <v>9171</v>
      </c>
      <c r="AO7" s="6">
        <v>9314</v>
      </c>
      <c r="AP7" s="6">
        <v>10193</v>
      </c>
      <c r="AQ7" s="6">
        <v>11186</v>
      </c>
      <c r="AR7" s="6">
        <v>13152</v>
      </c>
      <c r="AS7" s="6">
        <v>13758</v>
      </c>
      <c r="AU7" s="6">
        <v>11562</v>
      </c>
      <c r="AV7" s="6">
        <v>10985</v>
      </c>
      <c r="AW7" s="6">
        <v>11020</v>
      </c>
    </row>
    <row r="8" spans="1:49" s="6" customFormat="1">
      <c r="A8" s="39" t="s">
        <v>15</v>
      </c>
      <c r="B8" s="94">
        <v>422</v>
      </c>
      <c r="C8" s="6">
        <v>627</v>
      </c>
      <c r="D8" s="6">
        <v>656</v>
      </c>
      <c r="E8" s="6">
        <v>781</v>
      </c>
      <c r="F8" s="6">
        <v>993</v>
      </c>
      <c r="G8" s="6">
        <v>1130</v>
      </c>
      <c r="H8" s="6">
        <v>1148</v>
      </c>
      <c r="I8" s="6">
        <v>1410</v>
      </c>
      <c r="J8" s="6">
        <v>1636</v>
      </c>
      <c r="K8" s="6">
        <v>1599</v>
      </c>
      <c r="L8" s="6">
        <v>1766</v>
      </c>
      <c r="M8" s="6">
        <v>1785</v>
      </c>
      <c r="N8" s="6">
        <v>1935</v>
      </c>
      <c r="O8" s="6">
        <v>2360</v>
      </c>
      <c r="P8" s="6">
        <v>2064</v>
      </c>
      <c r="Q8" s="6">
        <v>2119</v>
      </c>
      <c r="R8" s="6">
        <v>1990</v>
      </c>
      <c r="S8" s="6">
        <v>2263</v>
      </c>
      <c r="T8" s="124">
        <v>2412</v>
      </c>
      <c r="U8" s="124">
        <v>2432</v>
      </c>
      <c r="V8" s="6">
        <v>2605</v>
      </c>
      <c r="W8" s="6">
        <v>2741</v>
      </c>
      <c r="X8" s="6">
        <v>2592</v>
      </c>
      <c r="Y8" s="6">
        <v>2618</v>
      </c>
      <c r="Z8" s="124">
        <v>2808</v>
      </c>
      <c r="AA8" s="6">
        <v>2492</v>
      </c>
      <c r="AB8" s="6">
        <v>2974</v>
      </c>
      <c r="AC8" s="6">
        <v>3339</v>
      </c>
      <c r="AD8" s="6">
        <v>3155</v>
      </c>
      <c r="AE8" s="6">
        <v>3305</v>
      </c>
      <c r="AF8" s="6">
        <v>3885</v>
      </c>
      <c r="AG8" s="6">
        <v>4014</v>
      </c>
      <c r="AH8" s="6">
        <v>4213</v>
      </c>
      <c r="AI8" s="6">
        <v>4714</v>
      </c>
      <c r="AJ8" s="6">
        <v>4887</v>
      </c>
      <c r="AK8" s="6">
        <v>5166</v>
      </c>
      <c r="AL8" s="6">
        <v>5462</v>
      </c>
      <c r="AM8" s="6">
        <v>5721</v>
      </c>
      <c r="AN8" s="6">
        <v>5567</v>
      </c>
      <c r="AO8" s="6">
        <v>6485</v>
      </c>
      <c r="AP8" s="6">
        <v>7172</v>
      </c>
      <c r="AQ8" s="6">
        <v>10181</v>
      </c>
      <c r="AR8" s="6">
        <v>8645</v>
      </c>
      <c r="AS8" s="6">
        <v>8498</v>
      </c>
      <c r="AU8" s="6">
        <v>9095</v>
      </c>
      <c r="AV8" s="6">
        <v>8767</v>
      </c>
      <c r="AW8" s="6">
        <v>8600</v>
      </c>
    </row>
    <row r="9" spans="1:49" s="6" customFormat="1">
      <c r="A9" s="39" t="s">
        <v>50</v>
      </c>
      <c r="B9" s="94">
        <v>1026</v>
      </c>
      <c r="C9" s="6">
        <v>1126</v>
      </c>
      <c r="D9" s="6">
        <v>1265</v>
      </c>
      <c r="E9" s="6">
        <v>1180</v>
      </c>
      <c r="F9" s="6">
        <v>1165</v>
      </c>
      <c r="G9" s="6">
        <v>1193</v>
      </c>
      <c r="H9" s="6">
        <v>1450</v>
      </c>
      <c r="I9" s="6">
        <v>1666</v>
      </c>
      <c r="J9" s="6">
        <v>1664</v>
      </c>
      <c r="K9" s="6">
        <v>1351</v>
      </c>
      <c r="L9" s="6">
        <v>1209</v>
      </c>
      <c r="M9" s="6">
        <v>1195</v>
      </c>
      <c r="N9" s="6">
        <v>1340</v>
      </c>
      <c r="O9" s="6">
        <v>1302</v>
      </c>
      <c r="P9" s="6">
        <v>1291</v>
      </c>
      <c r="Q9" s="6">
        <v>1196</v>
      </c>
      <c r="R9" s="6">
        <v>1175</v>
      </c>
      <c r="S9" s="6">
        <v>1153</v>
      </c>
      <c r="T9" s="124">
        <v>1134</v>
      </c>
      <c r="U9" s="124">
        <v>1138</v>
      </c>
      <c r="V9" s="6">
        <v>1288</v>
      </c>
      <c r="W9" s="6">
        <v>1304</v>
      </c>
      <c r="X9" s="6">
        <v>1152</v>
      </c>
      <c r="Y9" s="6">
        <v>1313</v>
      </c>
      <c r="Z9" s="124">
        <v>1191</v>
      </c>
      <c r="AA9" s="6">
        <v>1141</v>
      </c>
      <c r="AB9" s="6">
        <v>1182</v>
      </c>
      <c r="AC9" s="6">
        <v>1025</v>
      </c>
      <c r="AD9" s="6">
        <v>1087</v>
      </c>
      <c r="AE9" s="6">
        <v>1031</v>
      </c>
      <c r="AF9" s="6">
        <v>1119</v>
      </c>
      <c r="AG9" s="6">
        <v>1097</v>
      </c>
      <c r="AH9" s="6">
        <v>1163</v>
      </c>
      <c r="AI9" s="6">
        <v>1147</v>
      </c>
      <c r="AJ9" s="6">
        <v>1159</v>
      </c>
      <c r="AK9" s="6">
        <v>1262</v>
      </c>
      <c r="AL9" s="6">
        <v>1328</v>
      </c>
      <c r="AM9" s="6">
        <v>1396</v>
      </c>
      <c r="AN9" s="6">
        <v>1475</v>
      </c>
      <c r="AO9" s="6">
        <v>1645</v>
      </c>
      <c r="AP9" s="6">
        <v>1696</v>
      </c>
      <c r="AQ9" s="6">
        <v>1820</v>
      </c>
      <c r="AR9" s="6">
        <v>1947</v>
      </c>
      <c r="AS9" s="6">
        <v>2072</v>
      </c>
      <c r="AU9" s="6">
        <v>2039</v>
      </c>
      <c r="AV9" s="6">
        <v>2059</v>
      </c>
      <c r="AW9" s="6">
        <v>2091</v>
      </c>
    </row>
    <row r="10" spans="1:49" s="6" customFormat="1">
      <c r="A10" s="39" t="s">
        <v>16</v>
      </c>
      <c r="B10" s="94">
        <v>17096</v>
      </c>
      <c r="C10" s="6">
        <v>18840</v>
      </c>
      <c r="D10" s="6">
        <v>23559</v>
      </c>
      <c r="E10" s="6">
        <v>24242</v>
      </c>
      <c r="F10" s="6">
        <v>24395</v>
      </c>
      <c r="G10" s="6">
        <v>26398</v>
      </c>
      <c r="H10" s="6">
        <v>28812</v>
      </c>
      <c r="I10" s="6">
        <v>28089</v>
      </c>
      <c r="J10" s="6">
        <v>28236</v>
      </c>
      <c r="K10" s="6">
        <v>29925</v>
      </c>
      <c r="L10" s="6">
        <v>29842</v>
      </c>
      <c r="M10" s="6">
        <v>31503</v>
      </c>
      <c r="N10" s="6">
        <v>35190</v>
      </c>
      <c r="O10" s="6">
        <v>35517</v>
      </c>
      <c r="P10" s="6">
        <v>32542</v>
      </c>
      <c r="Q10" s="6">
        <v>32767</v>
      </c>
      <c r="R10" s="6">
        <v>33401</v>
      </c>
      <c r="S10" s="6">
        <v>29396</v>
      </c>
      <c r="T10" s="124">
        <v>30661</v>
      </c>
      <c r="U10" s="124">
        <v>32196</v>
      </c>
      <c r="V10" s="6">
        <v>33756</v>
      </c>
      <c r="W10" s="6">
        <v>35876</v>
      </c>
      <c r="X10" s="6">
        <v>39062</v>
      </c>
      <c r="Y10" s="6">
        <v>39405</v>
      </c>
      <c r="Z10" s="124">
        <v>40620</v>
      </c>
      <c r="AA10" s="6">
        <v>40733</v>
      </c>
      <c r="AB10" s="6">
        <v>42504</v>
      </c>
      <c r="AC10" s="6">
        <v>45055</v>
      </c>
      <c r="AD10" s="6">
        <v>48209</v>
      </c>
      <c r="AE10" s="6">
        <v>46067</v>
      </c>
      <c r="AF10" s="6">
        <v>44548</v>
      </c>
      <c r="AG10" s="6">
        <v>50049</v>
      </c>
      <c r="AH10" s="6">
        <v>48952</v>
      </c>
      <c r="AI10" s="6">
        <v>55617</v>
      </c>
      <c r="AJ10" s="6">
        <v>57926</v>
      </c>
      <c r="AK10" s="6">
        <v>60441</v>
      </c>
      <c r="AL10" s="6">
        <v>63489</v>
      </c>
      <c r="AM10" s="6">
        <v>63080</v>
      </c>
      <c r="AN10" s="6">
        <v>65948</v>
      </c>
      <c r="AO10" s="6">
        <v>70883</v>
      </c>
      <c r="AP10" s="6">
        <v>79610</v>
      </c>
      <c r="AQ10" s="6">
        <v>86055</v>
      </c>
      <c r="AR10" s="6">
        <v>102190</v>
      </c>
      <c r="AS10" s="6">
        <v>100480</v>
      </c>
      <c r="AU10" s="6">
        <v>94375</v>
      </c>
      <c r="AV10" s="6">
        <v>93065</v>
      </c>
      <c r="AW10" s="6">
        <v>92518</v>
      </c>
    </row>
    <row r="11" spans="1:49" s="6" customFormat="1">
      <c r="A11" s="39" t="s">
        <v>17</v>
      </c>
      <c r="B11" s="94">
        <v>3052</v>
      </c>
      <c r="C11" s="6">
        <v>3673</v>
      </c>
      <c r="D11" s="6">
        <v>4054</v>
      </c>
      <c r="E11" s="6">
        <v>4835</v>
      </c>
      <c r="F11" s="6">
        <v>4963</v>
      </c>
      <c r="G11" s="6">
        <v>5133</v>
      </c>
      <c r="H11" s="6">
        <v>5962</v>
      </c>
      <c r="I11" s="6">
        <v>5913</v>
      </c>
      <c r="J11" s="6">
        <v>6280</v>
      </c>
      <c r="K11" s="6">
        <v>5930</v>
      </c>
      <c r="L11" s="6">
        <v>5663</v>
      </c>
      <c r="M11" s="6">
        <v>5978</v>
      </c>
      <c r="N11" s="6">
        <v>6633</v>
      </c>
      <c r="O11" s="6">
        <v>6496</v>
      </c>
      <c r="P11" s="6">
        <v>6618</v>
      </c>
      <c r="Q11" s="6">
        <v>6400</v>
      </c>
      <c r="R11" s="6">
        <v>6521</v>
      </c>
      <c r="S11" s="6">
        <v>6732</v>
      </c>
      <c r="T11" s="124">
        <v>6653</v>
      </c>
      <c r="U11" s="124">
        <v>7126</v>
      </c>
      <c r="V11" s="6">
        <v>7389</v>
      </c>
      <c r="W11" s="6">
        <v>7938</v>
      </c>
      <c r="X11" s="6">
        <v>8480</v>
      </c>
      <c r="Y11" s="6">
        <v>8316</v>
      </c>
      <c r="Z11" s="124">
        <v>9419</v>
      </c>
      <c r="AA11" s="6">
        <v>9143</v>
      </c>
      <c r="AB11" s="6">
        <v>9462</v>
      </c>
      <c r="AC11" s="6">
        <v>9176</v>
      </c>
      <c r="AD11" s="6">
        <v>9267</v>
      </c>
      <c r="AE11" s="6">
        <v>8279</v>
      </c>
      <c r="AF11" s="6">
        <v>7803</v>
      </c>
      <c r="AG11" s="6">
        <v>8173</v>
      </c>
      <c r="AH11" s="6">
        <v>9061</v>
      </c>
      <c r="AI11" s="6">
        <v>10689</v>
      </c>
      <c r="AJ11" s="6">
        <v>12927</v>
      </c>
      <c r="AK11" s="6">
        <v>12705</v>
      </c>
      <c r="AL11" s="6">
        <v>12990</v>
      </c>
      <c r="AM11" s="6">
        <v>13098</v>
      </c>
      <c r="AN11" s="6">
        <v>13684</v>
      </c>
      <c r="AO11" s="6">
        <v>14358</v>
      </c>
      <c r="AP11" s="6">
        <v>15503</v>
      </c>
      <c r="AQ11" s="6">
        <v>17745</v>
      </c>
      <c r="AR11" s="6">
        <v>18413</v>
      </c>
      <c r="AS11" s="6">
        <v>18373</v>
      </c>
      <c r="AU11" s="6">
        <v>18819</v>
      </c>
      <c r="AV11" s="6">
        <v>19341</v>
      </c>
      <c r="AW11" s="6">
        <v>19058</v>
      </c>
    </row>
    <row r="12" spans="1:49" s="6" customFormat="1">
      <c r="A12" s="39" t="s">
        <v>18</v>
      </c>
      <c r="B12" s="94">
        <v>1440</v>
      </c>
      <c r="C12" s="6">
        <v>1602</v>
      </c>
      <c r="D12" s="6">
        <v>1705</v>
      </c>
      <c r="E12" s="6">
        <v>2273</v>
      </c>
      <c r="F12" s="6">
        <v>2427</v>
      </c>
      <c r="G12" s="6">
        <v>3013</v>
      </c>
      <c r="H12" s="6">
        <v>3290</v>
      </c>
      <c r="I12" s="6">
        <v>3937</v>
      </c>
      <c r="J12" s="6">
        <v>5056</v>
      </c>
      <c r="K12" s="6">
        <v>4539</v>
      </c>
      <c r="L12" s="6">
        <v>4756</v>
      </c>
      <c r="M12" s="6">
        <v>4818</v>
      </c>
      <c r="N12" s="6">
        <v>5283</v>
      </c>
      <c r="O12" s="6">
        <v>5338</v>
      </c>
      <c r="P12" s="6">
        <v>5720</v>
      </c>
      <c r="Q12" s="6">
        <v>6122</v>
      </c>
      <c r="R12" s="6">
        <v>5713</v>
      </c>
      <c r="S12" s="6">
        <v>5150</v>
      </c>
      <c r="T12" s="124">
        <v>4915</v>
      </c>
      <c r="U12" s="124">
        <v>4938</v>
      </c>
      <c r="V12" s="6">
        <v>5387</v>
      </c>
      <c r="W12" s="6">
        <v>5759</v>
      </c>
      <c r="X12" s="6">
        <v>5930</v>
      </c>
      <c r="Y12" s="6">
        <v>6546</v>
      </c>
      <c r="Z12" s="124">
        <v>6416</v>
      </c>
      <c r="AA12" s="6">
        <v>6446</v>
      </c>
      <c r="AB12" s="6">
        <v>6540</v>
      </c>
      <c r="AC12" s="6">
        <v>6765</v>
      </c>
      <c r="AD12" s="6">
        <v>6386</v>
      </c>
      <c r="AE12" s="6">
        <v>6538</v>
      </c>
      <c r="AF12" s="6">
        <v>6492</v>
      </c>
      <c r="AG12" s="6">
        <v>6560</v>
      </c>
      <c r="AH12" s="6">
        <v>7305</v>
      </c>
      <c r="AI12" s="6">
        <v>7860</v>
      </c>
      <c r="AJ12" s="6">
        <v>8660</v>
      </c>
      <c r="AK12" s="6">
        <v>9009</v>
      </c>
      <c r="AL12" s="6">
        <v>9578</v>
      </c>
      <c r="AM12" s="6">
        <v>9976</v>
      </c>
      <c r="AN12" s="6">
        <v>10148</v>
      </c>
      <c r="AO12" s="6">
        <v>10813</v>
      </c>
      <c r="AP12" s="6">
        <v>11691</v>
      </c>
      <c r="AQ12" s="6">
        <v>13015</v>
      </c>
      <c r="AR12" s="6">
        <v>14653</v>
      </c>
      <c r="AS12" s="6">
        <v>13799</v>
      </c>
      <c r="AU12" s="6">
        <v>13055</v>
      </c>
      <c r="AV12" s="6">
        <v>12276</v>
      </c>
      <c r="AW12" s="6">
        <v>12350</v>
      </c>
    </row>
    <row r="13" spans="1:49" s="6" customFormat="1">
      <c r="A13" s="39" t="s">
        <v>19</v>
      </c>
      <c r="B13" s="94">
        <v>310</v>
      </c>
      <c r="C13" s="6">
        <v>364</v>
      </c>
      <c r="D13" s="6">
        <v>433</v>
      </c>
      <c r="E13" s="6">
        <v>665</v>
      </c>
      <c r="F13" s="6">
        <v>983</v>
      </c>
      <c r="G13" s="6">
        <v>1066</v>
      </c>
      <c r="H13" s="6">
        <v>1661</v>
      </c>
      <c r="I13" s="6">
        <v>1696</v>
      </c>
      <c r="J13" s="6">
        <v>1784</v>
      </c>
      <c r="K13" s="6">
        <v>1851</v>
      </c>
      <c r="L13" s="6">
        <v>1944</v>
      </c>
      <c r="M13" s="6">
        <v>2066</v>
      </c>
      <c r="N13" s="6">
        <v>2215</v>
      </c>
      <c r="O13" s="6">
        <v>2258</v>
      </c>
      <c r="P13" s="6">
        <v>2328</v>
      </c>
      <c r="Q13" s="6">
        <v>2645</v>
      </c>
      <c r="R13" s="6">
        <v>2650</v>
      </c>
      <c r="S13" s="6">
        <v>2603</v>
      </c>
      <c r="T13" s="124">
        <v>2532</v>
      </c>
      <c r="U13" s="124">
        <v>2542</v>
      </c>
      <c r="V13" s="6">
        <v>2642</v>
      </c>
      <c r="W13" s="6">
        <v>2866</v>
      </c>
      <c r="X13" s="6">
        <v>2660</v>
      </c>
      <c r="Y13" s="6">
        <v>2865</v>
      </c>
      <c r="Z13" s="124">
        <v>3303</v>
      </c>
      <c r="AA13" s="6">
        <v>3369</v>
      </c>
      <c r="AB13" s="6">
        <v>4258</v>
      </c>
      <c r="AC13" s="6">
        <v>5650</v>
      </c>
      <c r="AD13" s="6">
        <v>4785</v>
      </c>
      <c r="AE13" s="6">
        <v>5700</v>
      </c>
      <c r="AF13" s="6">
        <v>5573</v>
      </c>
      <c r="AG13" s="6">
        <v>6817</v>
      </c>
      <c r="AH13" s="6">
        <v>5370</v>
      </c>
      <c r="AI13" s="6">
        <v>5604</v>
      </c>
      <c r="AJ13" s="6">
        <v>6013</v>
      </c>
      <c r="AK13" s="6">
        <v>5734</v>
      </c>
      <c r="AL13" s="6">
        <v>4429</v>
      </c>
      <c r="AM13" s="6">
        <v>4974</v>
      </c>
      <c r="AN13" s="6">
        <v>4997</v>
      </c>
      <c r="AO13" s="6">
        <v>5419</v>
      </c>
      <c r="AP13" s="6">
        <v>5801</v>
      </c>
      <c r="AQ13" s="6">
        <v>7236</v>
      </c>
      <c r="AR13" s="6">
        <v>7706</v>
      </c>
      <c r="AS13" s="6">
        <v>7150</v>
      </c>
      <c r="AU13" s="6">
        <v>7146</v>
      </c>
      <c r="AV13" s="6">
        <v>7396</v>
      </c>
      <c r="AW13" s="6">
        <v>6931</v>
      </c>
    </row>
    <row r="14" spans="1:49" s="6" customFormat="1">
      <c r="A14" s="39" t="s">
        <v>20</v>
      </c>
      <c r="B14" s="94">
        <v>2494</v>
      </c>
      <c r="C14" s="6">
        <v>3427</v>
      </c>
      <c r="D14" s="6">
        <v>4295</v>
      </c>
      <c r="E14" s="6">
        <v>5130</v>
      </c>
      <c r="F14" s="6">
        <v>6626</v>
      </c>
      <c r="G14" s="6">
        <v>4610</v>
      </c>
      <c r="H14" s="6">
        <v>7781</v>
      </c>
      <c r="I14" s="6">
        <v>8028</v>
      </c>
      <c r="J14" s="6">
        <v>8156</v>
      </c>
      <c r="K14" s="6">
        <v>7223</v>
      </c>
      <c r="L14" s="6">
        <v>6952</v>
      </c>
      <c r="M14" s="6">
        <v>6778</v>
      </c>
      <c r="N14" s="6">
        <v>7157</v>
      </c>
      <c r="O14" s="6">
        <v>7020</v>
      </c>
      <c r="P14" s="6">
        <v>7345</v>
      </c>
      <c r="Q14" s="6">
        <v>7314</v>
      </c>
      <c r="R14" s="6">
        <v>7038</v>
      </c>
      <c r="S14" s="6">
        <v>7129</v>
      </c>
      <c r="T14" s="124">
        <v>7061</v>
      </c>
      <c r="U14" s="124">
        <v>6938</v>
      </c>
      <c r="V14" s="6">
        <v>7429</v>
      </c>
      <c r="W14" s="6">
        <v>7656</v>
      </c>
      <c r="X14" s="6">
        <v>8166</v>
      </c>
      <c r="Y14" s="6">
        <v>8425</v>
      </c>
      <c r="Z14" s="124">
        <v>8292</v>
      </c>
      <c r="AA14" s="6">
        <v>8632</v>
      </c>
      <c r="AB14" s="6">
        <v>8589</v>
      </c>
      <c r="AC14" s="6">
        <v>8068</v>
      </c>
      <c r="AD14" s="6">
        <v>7867</v>
      </c>
      <c r="AE14" s="6">
        <v>7718</v>
      </c>
      <c r="AF14" s="6">
        <v>7438</v>
      </c>
      <c r="AG14" s="6">
        <v>7431</v>
      </c>
      <c r="AH14" s="6">
        <v>7750</v>
      </c>
      <c r="AI14" s="6">
        <v>8432</v>
      </c>
      <c r="AJ14" s="6">
        <v>9023</v>
      </c>
      <c r="AK14" s="6">
        <v>9834</v>
      </c>
      <c r="AL14" s="6">
        <v>10131</v>
      </c>
      <c r="AM14" s="6">
        <v>10421</v>
      </c>
      <c r="AN14" s="6">
        <v>10964</v>
      </c>
      <c r="AO14" s="6">
        <v>11305</v>
      </c>
      <c r="AP14" s="6">
        <v>12251</v>
      </c>
      <c r="AQ14" s="6">
        <v>13921</v>
      </c>
      <c r="AR14" s="6">
        <v>15156</v>
      </c>
      <c r="AS14" s="6">
        <v>15387</v>
      </c>
      <c r="AU14" s="6">
        <v>16919</v>
      </c>
      <c r="AV14" s="6">
        <v>16999</v>
      </c>
      <c r="AW14" s="6">
        <v>16877</v>
      </c>
    </row>
    <row r="15" spans="1:49" s="6" customFormat="1">
      <c r="A15" s="39" t="s">
        <v>21</v>
      </c>
      <c r="B15" s="94">
        <v>3258</v>
      </c>
      <c r="C15" s="6">
        <v>3119</v>
      </c>
      <c r="D15" s="6">
        <v>3534</v>
      </c>
      <c r="E15" s="6">
        <v>3720</v>
      </c>
      <c r="F15" s="6">
        <v>3745</v>
      </c>
      <c r="G15" s="6">
        <v>3666</v>
      </c>
      <c r="H15" s="6">
        <v>3919</v>
      </c>
      <c r="I15" s="6">
        <v>4054</v>
      </c>
      <c r="J15" s="6">
        <v>3941</v>
      </c>
      <c r="K15" s="6">
        <v>4039</v>
      </c>
      <c r="L15" s="6">
        <v>4327</v>
      </c>
      <c r="M15" s="6">
        <v>4190</v>
      </c>
      <c r="N15" s="6">
        <v>4448</v>
      </c>
      <c r="O15" s="6">
        <v>4764</v>
      </c>
      <c r="P15" s="6">
        <v>4624</v>
      </c>
      <c r="Q15" s="6">
        <v>4472</v>
      </c>
      <c r="R15" s="6">
        <v>4316</v>
      </c>
      <c r="S15" s="6">
        <v>4332</v>
      </c>
      <c r="T15" s="124">
        <v>4504</v>
      </c>
      <c r="U15" s="124">
        <v>4810</v>
      </c>
      <c r="V15" s="6">
        <v>4995</v>
      </c>
      <c r="W15" s="6">
        <v>5119</v>
      </c>
      <c r="X15" s="6">
        <v>5431</v>
      </c>
      <c r="Y15" s="6">
        <v>5575</v>
      </c>
      <c r="Z15" s="124">
        <v>5538</v>
      </c>
      <c r="AA15" s="6">
        <v>5519</v>
      </c>
      <c r="AB15" s="6">
        <v>5909</v>
      </c>
      <c r="AC15" s="6">
        <v>5762</v>
      </c>
      <c r="AD15" s="6">
        <v>5742</v>
      </c>
      <c r="AE15" s="6">
        <v>6566</v>
      </c>
      <c r="AF15" s="6">
        <v>6764</v>
      </c>
      <c r="AG15" s="6">
        <v>7158</v>
      </c>
      <c r="AH15" s="6">
        <v>7602</v>
      </c>
      <c r="AI15" s="6">
        <v>7515</v>
      </c>
      <c r="AJ15" s="6">
        <v>8224</v>
      </c>
      <c r="AK15" s="6">
        <v>8630</v>
      </c>
      <c r="AL15" s="6">
        <v>8480</v>
      </c>
      <c r="AM15" s="6">
        <v>8623</v>
      </c>
      <c r="AN15" s="6">
        <v>8822</v>
      </c>
      <c r="AO15" s="6">
        <v>9045</v>
      </c>
      <c r="AP15" s="6">
        <v>9824</v>
      </c>
      <c r="AQ15" s="6">
        <v>11440</v>
      </c>
      <c r="AR15" s="6">
        <v>12996</v>
      </c>
      <c r="AS15" s="6">
        <v>11997</v>
      </c>
      <c r="AU15" s="6">
        <v>13320</v>
      </c>
      <c r="AV15" s="6">
        <v>13759</v>
      </c>
      <c r="AW15" s="6">
        <v>13497</v>
      </c>
    </row>
    <row r="16" spans="1:49" s="6" customFormat="1">
      <c r="A16" s="39" t="s">
        <v>22</v>
      </c>
      <c r="B16" s="94">
        <v>3210</v>
      </c>
      <c r="C16" s="6">
        <v>5852</v>
      </c>
      <c r="D16" s="6">
        <v>6716</v>
      </c>
      <c r="E16" s="6">
        <v>7490</v>
      </c>
      <c r="F16" s="6">
        <v>7876</v>
      </c>
      <c r="G16" s="6">
        <v>8232</v>
      </c>
      <c r="H16" s="6">
        <v>9926</v>
      </c>
      <c r="I16" s="6">
        <v>11022</v>
      </c>
      <c r="J16" s="6">
        <v>11392</v>
      </c>
      <c r="K16" s="6">
        <v>11088</v>
      </c>
      <c r="L16" s="6">
        <v>10909</v>
      </c>
      <c r="M16" s="6">
        <v>10608</v>
      </c>
      <c r="N16" s="6">
        <v>10934</v>
      </c>
      <c r="O16" s="6">
        <v>10960</v>
      </c>
      <c r="P16" s="6">
        <v>11308</v>
      </c>
      <c r="Q16" s="6">
        <v>11053</v>
      </c>
      <c r="R16" s="6">
        <v>10854</v>
      </c>
      <c r="S16" s="6">
        <v>10655</v>
      </c>
      <c r="T16" s="124">
        <v>10333</v>
      </c>
      <c r="U16" s="124">
        <v>9894</v>
      </c>
      <c r="V16" s="6">
        <v>10647</v>
      </c>
      <c r="W16" s="6">
        <v>11469</v>
      </c>
      <c r="X16" s="6">
        <v>11865</v>
      </c>
      <c r="Y16" s="6">
        <v>12164</v>
      </c>
      <c r="Z16" s="124">
        <v>13621</v>
      </c>
      <c r="AA16" s="6">
        <v>14107</v>
      </c>
      <c r="AB16" s="6">
        <v>13908</v>
      </c>
      <c r="AC16" s="6">
        <v>15667</v>
      </c>
      <c r="AD16" s="6">
        <v>14085</v>
      </c>
      <c r="AE16" s="6">
        <v>12951</v>
      </c>
      <c r="AF16" s="6">
        <v>13505</v>
      </c>
      <c r="AG16" s="6">
        <v>14264</v>
      </c>
      <c r="AH16" s="6">
        <v>14739</v>
      </c>
      <c r="AI16" s="6">
        <v>16050</v>
      </c>
      <c r="AJ16" s="6">
        <v>17514</v>
      </c>
      <c r="AK16" s="6">
        <v>18460</v>
      </c>
      <c r="AL16" s="6">
        <v>19420</v>
      </c>
      <c r="AM16" s="6">
        <v>19690</v>
      </c>
      <c r="AN16" s="6">
        <v>19622</v>
      </c>
      <c r="AO16" s="6">
        <v>20599</v>
      </c>
      <c r="AP16" s="6">
        <v>22695</v>
      </c>
      <c r="AQ16" s="6">
        <v>25154</v>
      </c>
      <c r="AR16" s="6">
        <v>27672</v>
      </c>
      <c r="AS16" s="6">
        <v>28575</v>
      </c>
      <c r="AU16" s="6">
        <v>31876</v>
      </c>
      <c r="AV16" s="6">
        <v>32108</v>
      </c>
      <c r="AW16" s="6">
        <v>33887</v>
      </c>
    </row>
    <row r="17" spans="1:49" s="6" customFormat="1">
      <c r="A17" s="39" t="s">
        <v>23</v>
      </c>
      <c r="B17" s="94">
        <v>1864</v>
      </c>
      <c r="C17" s="6">
        <v>2352</v>
      </c>
      <c r="D17" s="6">
        <v>2836</v>
      </c>
      <c r="E17" s="6">
        <v>3074</v>
      </c>
      <c r="F17" s="6">
        <v>3193</v>
      </c>
      <c r="G17" s="6">
        <v>3400</v>
      </c>
      <c r="H17" s="6">
        <v>3673</v>
      </c>
      <c r="I17" s="6">
        <v>4174</v>
      </c>
      <c r="J17" s="6">
        <v>3947</v>
      </c>
      <c r="K17" s="6">
        <v>3795</v>
      </c>
      <c r="L17" s="6">
        <v>3850</v>
      </c>
      <c r="M17" s="6">
        <v>3947</v>
      </c>
      <c r="N17" s="6">
        <v>4096</v>
      </c>
      <c r="O17" s="6">
        <v>4184</v>
      </c>
      <c r="P17" s="6">
        <v>4277</v>
      </c>
      <c r="Q17" s="6">
        <v>4442</v>
      </c>
      <c r="R17" s="6">
        <v>5607</v>
      </c>
      <c r="S17" s="6">
        <v>5338</v>
      </c>
      <c r="T17" s="124">
        <v>5341</v>
      </c>
      <c r="U17" s="124">
        <v>6172</v>
      </c>
      <c r="V17" s="6">
        <v>6204</v>
      </c>
      <c r="W17" s="6">
        <v>6375</v>
      </c>
      <c r="X17" s="6">
        <v>6175</v>
      </c>
      <c r="Y17" s="6">
        <v>6304</v>
      </c>
      <c r="Z17" s="124">
        <v>6689</v>
      </c>
      <c r="AA17" s="6">
        <v>7011</v>
      </c>
      <c r="AB17" s="6">
        <v>6109</v>
      </c>
      <c r="AC17" s="6">
        <v>6560</v>
      </c>
      <c r="AD17" s="6">
        <v>6750</v>
      </c>
      <c r="AE17" s="6">
        <v>6446</v>
      </c>
      <c r="AF17" s="6">
        <v>6408</v>
      </c>
      <c r="AG17" s="6">
        <v>7002</v>
      </c>
      <c r="AH17" s="6">
        <v>7250</v>
      </c>
      <c r="AI17" s="6">
        <v>8046</v>
      </c>
      <c r="AJ17" s="6">
        <v>8701</v>
      </c>
      <c r="AK17" s="6">
        <v>9243</v>
      </c>
      <c r="AL17" s="6">
        <v>9204</v>
      </c>
      <c r="AM17" s="6">
        <v>9801</v>
      </c>
      <c r="AN17" s="6">
        <v>9457</v>
      </c>
      <c r="AO17" s="6">
        <v>9512</v>
      </c>
      <c r="AP17" s="6">
        <v>9723</v>
      </c>
      <c r="AQ17" s="6">
        <v>10710</v>
      </c>
      <c r="AR17" s="6">
        <v>11513</v>
      </c>
      <c r="AS17" s="6">
        <v>12405</v>
      </c>
      <c r="AU17" s="6">
        <v>13047</v>
      </c>
      <c r="AV17" s="6">
        <v>12027</v>
      </c>
      <c r="AW17" s="6">
        <v>11561</v>
      </c>
    </row>
    <row r="18" spans="1:49" s="6" customFormat="1">
      <c r="A18" s="39" t="s">
        <v>24</v>
      </c>
      <c r="B18" s="94">
        <v>1056</v>
      </c>
      <c r="C18" s="6">
        <v>1781</v>
      </c>
      <c r="D18" s="6">
        <v>2467</v>
      </c>
      <c r="E18" s="6">
        <v>3316</v>
      </c>
      <c r="F18" s="6">
        <v>3380</v>
      </c>
      <c r="G18" s="6">
        <v>3966</v>
      </c>
      <c r="H18" s="6">
        <v>4630</v>
      </c>
      <c r="I18" s="6">
        <v>5541</v>
      </c>
      <c r="J18" s="6">
        <v>4893</v>
      </c>
      <c r="K18" s="6">
        <v>5473</v>
      </c>
      <c r="L18" s="6">
        <v>6194</v>
      </c>
      <c r="M18" s="6">
        <v>5501</v>
      </c>
      <c r="N18" s="6">
        <v>5385</v>
      </c>
      <c r="O18" s="6">
        <v>5880</v>
      </c>
      <c r="P18" s="6">
        <v>5831</v>
      </c>
      <c r="Q18" s="6">
        <v>5245</v>
      </c>
      <c r="R18" s="6">
        <v>5114</v>
      </c>
      <c r="S18" s="6">
        <v>4766</v>
      </c>
      <c r="T18" s="124">
        <v>4776</v>
      </c>
      <c r="U18" s="124">
        <v>4949</v>
      </c>
      <c r="V18" s="6">
        <v>5202</v>
      </c>
      <c r="W18" s="6">
        <v>5097</v>
      </c>
      <c r="X18" s="6">
        <v>6191</v>
      </c>
      <c r="Y18" s="6">
        <v>5953</v>
      </c>
      <c r="Z18" s="124">
        <v>6218</v>
      </c>
      <c r="AA18" s="6">
        <v>6165</v>
      </c>
      <c r="AB18" s="6">
        <v>6375</v>
      </c>
      <c r="AC18" s="6">
        <v>6434</v>
      </c>
      <c r="AD18" s="6">
        <v>6398</v>
      </c>
      <c r="AE18" s="6">
        <v>6538</v>
      </c>
      <c r="AF18" s="6">
        <v>6796</v>
      </c>
      <c r="AG18" s="6">
        <v>6938</v>
      </c>
      <c r="AH18" s="6">
        <v>7132</v>
      </c>
      <c r="AI18" s="6">
        <v>7526</v>
      </c>
      <c r="AJ18" s="6">
        <v>8039</v>
      </c>
      <c r="AK18" s="6">
        <v>8123</v>
      </c>
      <c r="AL18" s="6">
        <v>7885</v>
      </c>
      <c r="AM18" s="6">
        <v>7791</v>
      </c>
      <c r="AN18" s="6">
        <v>7943</v>
      </c>
      <c r="AO18" s="6">
        <v>8431</v>
      </c>
      <c r="AP18" s="6">
        <v>8641</v>
      </c>
      <c r="AQ18" s="6">
        <v>9771</v>
      </c>
      <c r="AR18" s="6">
        <v>10790</v>
      </c>
      <c r="AS18" s="6">
        <v>11628</v>
      </c>
      <c r="AU18" s="6">
        <v>11767</v>
      </c>
      <c r="AV18" s="6">
        <v>11517</v>
      </c>
      <c r="AW18" s="6">
        <v>11259</v>
      </c>
    </row>
    <row r="19" spans="1:49" s="6" customFormat="1">
      <c r="A19" s="39" t="s">
        <v>25</v>
      </c>
      <c r="B19" s="94">
        <v>1020</v>
      </c>
      <c r="C19" s="6">
        <v>1721</v>
      </c>
      <c r="D19" s="6">
        <v>2180</v>
      </c>
      <c r="E19" s="6">
        <v>2732</v>
      </c>
      <c r="F19" s="6">
        <v>3125</v>
      </c>
      <c r="G19" s="6">
        <v>3327</v>
      </c>
      <c r="H19" s="6">
        <v>3986</v>
      </c>
      <c r="I19" s="6">
        <v>4254</v>
      </c>
      <c r="J19" s="6">
        <v>4849</v>
      </c>
      <c r="K19" s="6">
        <v>5627</v>
      </c>
      <c r="L19" s="6">
        <v>5379</v>
      </c>
      <c r="M19" s="6">
        <v>5659</v>
      </c>
      <c r="N19" s="6">
        <v>6273</v>
      </c>
      <c r="O19" s="6">
        <v>6816</v>
      </c>
      <c r="P19" s="6">
        <v>6470</v>
      </c>
      <c r="Q19" s="6">
        <v>6503</v>
      </c>
      <c r="R19" s="6">
        <v>5937</v>
      </c>
      <c r="S19" s="6">
        <v>5568</v>
      </c>
      <c r="T19" s="124">
        <v>5908</v>
      </c>
      <c r="U19" s="124">
        <v>5605</v>
      </c>
      <c r="V19" s="6">
        <v>5642</v>
      </c>
      <c r="W19" s="6">
        <v>6717</v>
      </c>
      <c r="X19" s="6">
        <v>6661</v>
      </c>
      <c r="Y19" s="6">
        <v>6801</v>
      </c>
      <c r="Z19" s="124">
        <v>6894</v>
      </c>
      <c r="AA19" s="6">
        <v>6721</v>
      </c>
      <c r="AB19" s="6">
        <v>7060</v>
      </c>
      <c r="AC19" s="6">
        <v>7270</v>
      </c>
      <c r="AD19" s="6">
        <v>7080</v>
      </c>
      <c r="AE19" s="6">
        <v>7500</v>
      </c>
      <c r="AF19" s="6">
        <v>7708</v>
      </c>
      <c r="AG19" s="6">
        <v>7584</v>
      </c>
      <c r="AH19" s="6">
        <v>8085</v>
      </c>
      <c r="AI19" s="6">
        <v>8826</v>
      </c>
      <c r="AJ19" s="6">
        <v>8733</v>
      </c>
      <c r="AK19" s="6">
        <v>9707</v>
      </c>
      <c r="AL19" s="6">
        <v>10176</v>
      </c>
      <c r="AM19" s="6">
        <v>10592</v>
      </c>
      <c r="AN19" s="6">
        <v>9712</v>
      </c>
      <c r="AO19" s="6">
        <v>9756</v>
      </c>
      <c r="AP19" s="6">
        <v>10600</v>
      </c>
      <c r="AQ19" s="6">
        <v>12478</v>
      </c>
      <c r="AR19" s="6">
        <v>13548</v>
      </c>
      <c r="AS19" s="6">
        <v>13230</v>
      </c>
      <c r="AU19" s="6">
        <v>12822</v>
      </c>
      <c r="AV19" s="6">
        <v>13222</v>
      </c>
      <c r="AW19" s="6">
        <v>13535</v>
      </c>
    </row>
    <row r="20" spans="1:49" s="6" customFormat="1">
      <c r="A20" s="39" t="s">
        <v>26</v>
      </c>
      <c r="B20" s="94">
        <v>6195</v>
      </c>
      <c r="C20" s="6">
        <v>7913</v>
      </c>
      <c r="D20" s="6">
        <v>9573</v>
      </c>
      <c r="E20" s="6">
        <v>11092</v>
      </c>
      <c r="F20" s="6">
        <v>13440</v>
      </c>
      <c r="G20" s="6">
        <v>14860</v>
      </c>
      <c r="H20" s="6">
        <v>16565</v>
      </c>
      <c r="I20" s="6">
        <v>17620</v>
      </c>
      <c r="J20" s="6">
        <v>18308</v>
      </c>
      <c r="K20" s="6">
        <v>17364</v>
      </c>
      <c r="L20" s="6">
        <v>18043</v>
      </c>
      <c r="M20" s="6">
        <v>17626</v>
      </c>
      <c r="N20" s="6">
        <v>17751</v>
      </c>
      <c r="O20" s="6">
        <v>19231</v>
      </c>
      <c r="P20" s="6">
        <v>20248</v>
      </c>
      <c r="Q20" s="6">
        <v>21521</v>
      </c>
      <c r="R20" s="6">
        <v>20865</v>
      </c>
      <c r="S20" s="6">
        <v>20816</v>
      </c>
      <c r="T20" s="124">
        <v>22346</v>
      </c>
      <c r="U20" s="124">
        <v>22595</v>
      </c>
      <c r="V20" s="6">
        <v>22834</v>
      </c>
      <c r="W20" s="6">
        <v>21521</v>
      </c>
      <c r="X20" s="6">
        <v>23056</v>
      </c>
      <c r="Y20" s="6">
        <v>24804</v>
      </c>
      <c r="Z20" s="124">
        <v>25787</v>
      </c>
      <c r="AA20" s="6">
        <v>25800</v>
      </c>
      <c r="AB20" s="6">
        <v>25912</v>
      </c>
      <c r="AC20" s="6">
        <v>26884</v>
      </c>
      <c r="AD20" s="6">
        <v>28163</v>
      </c>
      <c r="AE20" s="6">
        <v>28661</v>
      </c>
      <c r="AF20" s="6">
        <v>30816</v>
      </c>
      <c r="AG20" s="6">
        <v>31560</v>
      </c>
      <c r="AH20" s="6">
        <v>31831</v>
      </c>
      <c r="AI20" s="6">
        <v>35532</v>
      </c>
      <c r="AJ20" s="6">
        <v>39302</v>
      </c>
      <c r="AK20" s="6">
        <v>41778</v>
      </c>
      <c r="AL20" s="6">
        <v>43785</v>
      </c>
      <c r="AM20" s="6">
        <v>44701</v>
      </c>
      <c r="AN20" s="6">
        <v>45867</v>
      </c>
      <c r="AO20" s="6">
        <v>47936</v>
      </c>
      <c r="AP20" s="6">
        <v>55048</v>
      </c>
      <c r="AQ20" s="6">
        <v>58609</v>
      </c>
      <c r="AR20" s="6">
        <v>67352</v>
      </c>
      <c r="AS20" s="6">
        <v>68928</v>
      </c>
      <c r="AU20" s="6">
        <v>79329</v>
      </c>
      <c r="AV20" s="6">
        <v>86793</v>
      </c>
      <c r="AW20" s="6">
        <v>91545</v>
      </c>
    </row>
    <row r="21" spans="1:49" s="6" customFormat="1">
      <c r="A21" s="39" t="s">
        <v>27</v>
      </c>
      <c r="B21" s="94">
        <v>1891</v>
      </c>
      <c r="C21" s="6">
        <v>2983</v>
      </c>
      <c r="D21" s="6">
        <v>3754</v>
      </c>
      <c r="E21" s="6">
        <v>4443</v>
      </c>
      <c r="F21" s="6">
        <v>5651</v>
      </c>
      <c r="G21" s="6">
        <v>6382</v>
      </c>
      <c r="H21" s="6">
        <v>6474</v>
      </c>
      <c r="I21" s="6">
        <v>6812</v>
      </c>
      <c r="J21" s="6">
        <v>6715</v>
      </c>
      <c r="K21" s="6">
        <v>6675</v>
      </c>
      <c r="L21" s="6">
        <v>6460</v>
      </c>
      <c r="M21" s="6">
        <v>6755</v>
      </c>
      <c r="N21" s="6">
        <v>6856</v>
      </c>
      <c r="O21" s="6">
        <v>7604</v>
      </c>
      <c r="P21" s="6">
        <v>7451</v>
      </c>
      <c r="Q21" s="6">
        <v>7381</v>
      </c>
      <c r="R21" s="6">
        <v>6801</v>
      </c>
      <c r="S21" s="6">
        <v>7037</v>
      </c>
      <c r="T21" s="124">
        <v>8192</v>
      </c>
      <c r="U21" s="124">
        <v>7438</v>
      </c>
      <c r="V21" s="6">
        <v>8378</v>
      </c>
      <c r="W21" s="6">
        <v>8883</v>
      </c>
      <c r="X21" s="6">
        <v>9735</v>
      </c>
      <c r="Y21" s="6">
        <v>10232</v>
      </c>
      <c r="Z21" s="124">
        <v>11339</v>
      </c>
      <c r="AA21" s="6">
        <v>10882</v>
      </c>
      <c r="AB21" s="6">
        <v>11091</v>
      </c>
      <c r="AC21" s="6">
        <v>11644</v>
      </c>
      <c r="AD21" s="6">
        <v>11378</v>
      </c>
      <c r="AE21" s="6">
        <v>11970</v>
      </c>
      <c r="AF21" s="6">
        <v>11499</v>
      </c>
      <c r="AG21" s="6">
        <v>11502</v>
      </c>
      <c r="AH21" s="6">
        <v>12255</v>
      </c>
      <c r="AI21" s="6">
        <v>13486</v>
      </c>
      <c r="AJ21" s="6">
        <v>14004</v>
      </c>
      <c r="AK21" s="6">
        <v>14924</v>
      </c>
      <c r="AL21" s="6">
        <v>15987</v>
      </c>
      <c r="AM21" s="6">
        <v>16946</v>
      </c>
      <c r="AN21" s="6">
        <v>17675</v>
      </c>
      <c r="AO21" s="6">
        <v>18769</v>
      </c>
      <c r="AP21" s="6">
        <v>20671</v>
      </c>
      <c r="AQ21" s="6">
        <v>24193</v>
      </c>
      <c r="AR21" s="6">
        <v>26199</v>
      </c>
      <c r="AS21" s="6">
        <v>25789</v>
      </c>
      <c r="AU21" s="6">
        <v>25554</v>
      </c>
      <c r="AV21" s="6">
        <v>25123</v>
      </c>
      <c r="AW21" s="6">
        <v>24187</v>
      </c>
    </row>
    <row r="22" spans="1:49" s="6" customFormat="1">
      <c r="A22" s="40" t="s">
        <v>28</v>
      </c>
      <c r="B22" s="95">
        <v>825</v>
      </c>
      <c r="C22" s="7">
        <v>985</v>
      </c>
      <c r="D22" s="7">
        <v>1122</v>
      </c>
      <c r="E22" s="7">
        <v>1389</v>
      </c>
      <c r="F22" s="7">
        <v>1503</v>
      </c>
      <c r="G22" s="7">
        <v>1690</v>
      </c>
      <c r="H22" s="7">
        <v>1953</v>
      </c>
      <c r="I22" s="7">
        <v>1957</v>
      </c>
      <c r="J22" s="7">
        <v>2041</v>
      </c>
      <c r="K22" s="7">
        <v>2104</v>
      </c>
      <c r="L22" s="7">
        <v>2179</v>
      </c>
      <c r="M22" s="7">
        <v>2386</v>
      </c>
      <c r="N22" s="7">
        <v>2377</v>
      </c>
      <c r="O22" s="7">
        <v>2534</v>
      </c>
      <c r="P22" s="7">
        <v>2527</v>
      </c>
      <c r="Q22" s="7">
        <v>2881</v>
      </c>
      <c r="R22" s="7">
        <v>2791</v>
      </c>
      <c r="S22" s="7">
        <v>2563</v>
      </c>
      <c r="T22" s="125">
        <v>2419</v>
      </c>
      <c r="U22" s="125">
        <v>2640</v>
      </c>
      <c r="V22" s="7">
        <v>2841</v>
      </c>
      <c r="W22" s="7">
        <v>2632</v>
      </c>
      <c r="X22" s="7">
        <v>2803</v>
      </c>
      <c r="Y22" s="7">
        <v>2919</v>
      </c>
      <c r="Z22" s="125">
        <v>3012</v>
      </c>
      <c r="AA22" s="7">
        <v>2840</v>
      </c>
      <c r="AB22" s="7">
        <v>2812</v>
      </c>
      <c r="AC22" s="7">
        <v>3752</v>
      </c>
      <c r="AD22" s="7">
        <v>2918</v>
      </c>
      <c r="AE22" s="7">
        <v>2975</v>
      </c>
      <c r="AF22" s="7">
        <v>3049</v>
      </c>
      <c r="AG22" s="7">
        <v>2959</v>
      </c>
      <c r="AH22" s="7">
        <v>2926</v>
      </c>
      <c r="AI22" s="7">
        <v>3216</v>
      </c>
      <c r="AJ22" s="7">
        <v>2787</v>
      </c>
      <c r="AK22" s="7">
        <v>3738</v>
      </c>
      <c r="AL22" s="7">
        <v>3297</v>
      </c>
      <c r="AM22" s="7">
        <v>3742</v>
      </c>
      <c r="AN22" s="7">
        <v>3844</v>
      </c>
      <c r="AO22" s="7">
        <v>3828</v>
      </c>
      <c r="AP22" s="7">
        <v>3989</v>
      </c>
      <c r="AQ22" s="7">
        <v>4007</v>
      </c>
      <c r="AR22" s="6">
        <v>3927</v>
      </c>
      <c r="AS22" s="6">
        <v>4070</v>
      </c>
      <c r="AU22" s="6">
        <v>4446</v>
      </c>
      <c r="AV22" s="6">
        <v>4359</v>
      </c>
      <c r="AW22" s="6">
        <v>4305</v>
      </c>
    </row>
    <row r="23" spans="1:49">
      <c r="A23" s="46" t="s">
        <v>185</v>
      </c>
      <c r="B23" s="93">
        <f>SUM(B25:B37)</f>
        <v>66049</v>
      </c>
      <c r="C23" s="52">
        <f t="shared" ref="C23:AN23" si="14">SUM(C25:C37)</f>
        <v>80769</v>
      </c>
      <c r="D23" s="52">
        <f t="shared" si="14"/>
        <v>89357</v>
      </c>
      <c r="E23" s="52">
        <f t="shared" si="14"/>
        <v>90408</v>
      </c>
      <c r="F23" s="52">
        <f t="shared" si="14"/>
        <v>94293</v>
      </c>
      <c r="G23" s="52">
        <f t="shared" si="14"/>
        <v>96637</v>
      </c>
      <c r="H23" s="52">
        <f t="shared" si="14"/>
        <v>101801</v>
      </c>
      <c r="I23" s="52">
        <f t="shared" si="14"/>
        <v>102455</v>
      </c>
      <c r="J23" s="52">
        <f t="shared" si="14"/>
        <v>101049</v>
      </c>
      <c r="K23" s="52">
        <f t="shared" si="14"/>
        <v>94360</v>
      </c>
      <c r="L23" s="52">
        <f t="shared" si="14"/>
        <v>92730</v>
      </c>
      <c r="M23" s="52">
        <f t="shared" si="14"/>
        <v>94976</v>
      </c>
      <c r="N23" s="52">
        <f t="shared" si="14"/>
        <v>96988</v>
      </c>
      <c r="O23" s="52">
        <f t="shared" si="14"/>
        <v>97453</v>
      </c>
      <c r="P23" s="52">
        <f t="shared" si="14"/>
        <v>95118</v>
      </c>
      <c r="Q23" s="52">
        <f t="shared" si="14"/>
        <v>94588</v>
      </c>
      <c r="R23" s="52">
        <f t="shared" si="14"/>
        <v>89151</v>
      </c>
      <c r="S23" s="52">
        <f t="shared" si="14"/>
        <v>87704</v>
      </c>
      <c r="T23" s="52">
        <f t="shared" si="14"/>
        <v>89120</v>
      </c>
      <c r="U23" s="52">
        <f t="shared" si="14"/>
        <v>90528</v>
      </c>
      <c r="V23" s="52">
        <f t="shared" si="14"/>
        <v>95340</v>
      </c>
      <c r="W23" s="52">
        <f t="shared" si="14"/>
        <v>105446</v>
      </c>
      <c r="X23" s="52">
        <f t="shared" si="14"/>
        <v>105187</v>
      </c>
      <c r="Y23" s="52">
        <f t="shared" si="14"/>
        <v>109012</v>
      </c>
      <c r="Z23" s="52">
        <f t="shared" si="14"/>
        <v>114342</v>
      </c>
      <c r="AA23" s="52">
        <f t="shared" si="14"/>
        <v>120231</v>
      </c>
      <c r="AB23" s="52">
        <f t="shared" si="14"/>
        <v>129403</v>
      </c>
      <c r="AC23" s="52">
        <f t="shared" si="14"/>
        <v>137527</v>
      </c>
      <c r="AD23" s="52">
        <f t="shared" si="14"/>
        <v>140478</v>
      </c>
      <c r="AE23" s="52">
        <f t="shared" si="14"/>
        <v>146739</v>
      </c>
      <c r="AF23" s="52">
        <f t="shared" si="14"/>
        <v>148851</v>
      </c>
      <c r="AG23" s="52">
        <f t="shared" si="14"/>
        <v>154320</v>
      </c>
      <c r="AH23" s="52">
        <f t="shared" si="14"/>
        <v>159904</v>
      </c>
      <c r="AI23" s="52">
        <f t="shared" si="14"/>
        <v>168665</v>
      </c>
      <c r="AJ23" s="52">
        <f>SUM(AJ25:AJ37)</f>
        <v>174223</v>
      </c>
      <c r="AK23" s="52">
        <f t="shared" si="14"/>
        <v>179050</v>
      </c>
      <c r="AL23" s="52">
        <f t="shared" si="14"/>
        <v>178834</v>
      </c>
      <c r="AM23" s="52">
        <f t="shared" si="14"/>
        <v>189645</v>
      </c>
      <c r="AN23" s="52">
        <f t="shared" si="14"/>
        <v>200530</v>
      </c>
      <c r="AO23" s="52">
        <f t="shared" ref="AO23:AP23" si="15">SUM(AO25:AO37)</f>
        <v>216008</v>
      </c>
      <c r="AP23" s="52">
        <f t="shared" si="15"/>
        <v>230922</v>
      </c>
      <c r="AQ23" s="52">
        <f t="shared" ref="AQ23:AR23" si="16">SUM(AQ25:AQ37)</f>
        <v>215456</v>
      </c>
      <c r="AR23" s="196">
        <f t="shared" si="16"/>
        <v>273882</v>
      </c>
      <c r="AS23" s="196">
        <f t="shared" ref="AS23:AU23" si="17">SUM(AS25:AS37)</f>
        <v>270461</v>
      </c>
      <c r="AT23" s="196">
        <f t="shared" si="17"/>
        <v>0</v>
      </c>
      <c r="AU23" s="196">
        <f t="shared" si="17"/>
        <v>272786</v>
      </c>
      <c r="AV23" s="196">
        <f t="shared" ref="AV23:AW23" si="18">SUM(AV25:AV37)</f>
        <v>279290</v>
      </c>
      <c r="AW23" s="196">
        <f t="shared" si="18"/>
        <v>283667</v>
      </c>
    </row>
    <row r="24" spans="1:49">
      <c r="A24" s="47" t="s">
        <v>189</v>
      </c>
      <c r="B24" s="105">
        <f>(B23/B$4)*100</f>
        <v>32.05904195162676</v>
      </c>
      <c r="C24" s="53">
        <f t="shared" ref="C24:AN24" si="19">(C23/C$4)*100</f>
        <v>32.011683993167161</v>
      </c>
      <c r="D24" s="53">
        <f t="shared" si="19"/>
        <v>30.600245193723591</v>
      </c>
      <c r="E24" s="53">
        <f t="shared" si="19"/>
        <v>28.594381574702538</v>
      </c>
      <c r="F24" s="53">
        <f t="shared" si="19"/>
        <v>27.416813016829302</v>
      </c>
      <c r="G24" s="53">
        <f t="shared" si="19"/>
        <v>26.830866449547575</v>
      </c>
      <c r="H24" s="53">
        <f t="shared" si="19"/>
        <v>26.005865312399411</v>
      </c>
      <c r="I24" s="53">
        <f t="shared" si="19"/>
        <v>25.232300694254604</v>
      </c>
      <c r="J24" s="53">
        <f t="shared" si="19"/>
        <v>24.646338013053786</v>
      </c>
      <c r="K24" s="53">
        <f t="shared" si="19"/>
        <v>23.627272021614097</v>
      </c>
      <c r="L24" s="53">
        <f t="shared" si="19"/>
        <v>23.346450448273</v>
      </c>
      <c r="M24" s="53">
        <f t="shared" si="19"/>
        <v>23.032413582372598</v>
      </c>
      <c r="N24" s="53">
        <f t="shared" si="19"/>
        <v>22.546592369940047</v>
      </c>
      <c r="O24" s="53">
        <f t="shared" si="19"/>
        <v>21.919253261358524</v>
      </c>
      <c r="P24" s="53">
        <f t="shared" si="19"/>
        <v>21.268726801126959</v>
      </c>
      <c r="Q24" s="53">
        <f t="shared" si="19"/>
        <v>21.103594759575913</v>
      </c>
      <c r="R24" s="53">
        <f t="shared" si="19"/>
        <v>20.409980746381077</v>
      </c>
      <c r="S24" s="53">
        <f t="shared" si="19"/>
        <v>20.533807829181494</v>
      </c>
      <c r="T24" s="53">
        <f t="shared" si="19"/>
        <v>20.879604899397417</v>
      </c>
      <c r="U24" s="53">
        <f t="shared" si="19"/>
        <v>21.112629610108538</v>
      </c>
      <c r="V24" s="53">
        <f t="shared" si="19"/>
        <v>21.375052126071107</v>
      </c>
      <c r="W24" s="53">
        <f t="shared" si="19"/>
        <v>22.333724461915796</v>
      </c>
      <c r="X24" s="53">
        <f t="shared" si="19"/>
        <v>21.292699466604589</v>
      </c>
      <c r="Y24" s="53">
        <f t="shared" si="19"/>
        <v>21.606643807107606</v>
      </c>
      <c r="Z24" s="53">
        <f t="shared" si="19"/>
        <v>22.004841981286397</v>
      </c>
      <c r="AA24" s="53">
        <f t="shared" si="19"/>
        <v>22.783363715952202</v>
      </c>
      <c r="AB24" s="53">
        <f t="shared" si="19"/>
        <v>23.805170054011096</v>
      </c>
      <c r="AC24" s="53">
        <f t="shared" si="19"/>
        <v>24.564577866927209</v>
      </c>
      <c r="AD24" s="53">
        <f t="shared" si="19"/>
        <v>25.150253779842629</v>
      </c>
      <c r="AE24" s="53">
        <f t="shared" si="19"/>
        <v>26.205545455519562</v>
      </c>
      <c r="AF24" s="53">
        <f t="shared" si="19"/>
        <v>26.348434239104463</v>
      </c>
      <c r="AG24" s="53">
        <f t="shared" si="19"/>
        <v>26.659065585240082</v>
      </c>
      <c r="AH24" s="53">
        <f t="shared" si="19"/>
        <v>26.868615922827331</v>
      </c>
      <c r="AI24" s="53">
        <f t="shared" si="19"/>
        <v>26.602640942815327</v>
      </c>
      <c r="AJ24" s="53">
        <f>(AJ23/AJ$4)*100</f>
        <v>26.211875932790914</v>
      </c>
      <c r="AK24" s="53">
        <f t="shared" si="19"/>
        <v>25.701202882324232</v>
      </c>
      <c r="AL24" s="53">
        <f t="shared" si="19"/>
        <v>25.316143900861121</v>
      </c>
      <c r="AM24" s="53">
        <f t="shared" si="19"/>
        <v>26.046058721573818</v>
      </c>
      <c r="AN24" s="53">
        <f t="shared" si="19"/>
        <v>26.731488047946851</v>
      </c>
      <c r="AO24" s="53">
        <f t="shared" ref="AO24:AP24" si="20">(AO23/AO$4)*100</f>
        <v>27.435684120280694</v>
      </c>
      <c r="AP24" s="53">
        <f t="shared" si="20"/>
        <v>27.261458402198652</v>
      </c>
      <c r="AQ24" s="53">
        <f t="shared" ref="AQ24:AR24" si="21">(AQ23/AQ$4)*100</f>
        <v>24.250664637673982</v>
      </c>
      <c r="AR24" s="53">
        <f t="shared" si="21"/>
        <v>27.281583571402955</v>
      </c>
      <c r="AS24" s="53">
        <f t="shared" ref="AS24:AU24" si="22">(AS23/AS$4)*100</f>
        <v>27.132979801323838</v>
      </c>
      <c r="AT24" s="53" t="e">
        <f t="shared" si="22"/>
        <v>#DIV/0!</v>
      </c>
      <c r="AU24" s="53">
        <f t="shared" si="22"/>
        <v>27.233854776602044</v>
      </c>
      <c r="AV24" s="53">
        <f t="shared" ref="AV24:AW24" si="23">(AV23/AV$4)*100</f>
        <v>27.988587703220158</v>
      </c>
      <c r="AW24" s="53">
        <f t="shared" si="23"/>
        <v>28.4880877418681</v>
      </c>
    </row>
    <row r="25" spans="1:49" s="6" customFormat="1">
      <c r="A25" s="39" t="s">
        <v>112</v>
      </c>
      <c r="B25" s="94">
        <v>79</v>
      </c>
      <c r="C25" s="6">
        <v>93</v>
      </c>
      <c r="D25" s="6">
        <v>143</v>
      </c>
      <c r="E25" s="6">
        <v>239</v>
      </c>
      <c r="F25" s="6">
        <v>319</v>
      </c>
      <c r="G25" s="6">
        <v>325</v>
      </c>
      <c r="H25" s="6">
        <v>370</v>
      </c>
      <c r="I25" s="6">
        <v>401</v>
      </c>
      <c r="J25" s="6">
        <v>387</v>
      </c>
      <c r="K25" s="6">
        <v>388</v>
      </c>
      <c r="L25" s="6">
        <v>453</v>
      </c>
      <c r="M25" s="6">
        <v>512</v>
      </c>
      <c r="N25" s="6">
        <v>586</v>
      </c>
      <c r="O25" s="6">
        <v>676</v>
      </c>
      <c r="P25" s="6">
        <v>582</v>
      </c>
      <c r="Q25" s="6">
        <v>611</v>
      </c>
      <c r="R25" s="6">
        <v>686</v>
      </c>
      <c r="S25" s="6">
        <v>742</v>
      </c>
      <c r="T25" s="124">
        <v>661</v>
      </c>
      <c r="U25" s="124">
        <v>606</v>
      </c>
      <c r="V25" s="6">
        <v>603</v>
      </c>
      <c r="W25" s="6">
        <v>636</v>
      </c>
      <c r="X25" s="6">
        <v>753</v>
      </c>
      <c r="Y25" s="6">
        <v>940</v>
      </c>
      <c r="Z25" s="124">
        <v>1002</v>
      </c>
      <c r="AA25" s="6">
        <v>960</v>
      </c>
      <c r="AB25" s="6">
        <v>961</v>
      </c>
      <c r="AC25" s="6">
        <v>959</v>
      </c>
      <c r="AD25" s="6">
        <v>952</v>
      </c>
      <c r="AE25" s="6">
        <v>992</v>
      </c>
      <c r="AF25" s="6">
        <v>895</v>
      </c>
      <c r="AG25" s="6">
        <v>961</v>
      </c>
      <c r="AH25" s="6">
        <v>906</v>
      </c>
      <c r="AI25" s="6">
        <v>952</v>
      </c>
      <c r="AJ25" s="6">
        <v>986</v>
      </c>
      <c r="AK25" s="6">
        <v>879</v>
      </c>
      <c r="AL25" s="6">
        <v>1045</v>
      </c>
      <c r="AM25" s="6">
        <v>1039</v>
      </c>
      <c r="AN25" s="6">
        <v>1031</v>
      </c>
      <c r="AO25" s="6">
        <v>999</v>
      </c>
      <c r="AP25" s="6">
        <v>1182</v>
      </c>
      <c r="AQ25" s="6">
        <v>1523</v>
      </c>
      <c r="AR25" s="6">
        <v>1706</v>
      </c>
      <c r="AS25" s="6">
        <v>1758</v>
      </c>
      <c r="AU25" s="6">
        <v>1715</v>
      </c>
      <c r="AV25" s="6">
        <v>1372</v>
      </c>
      <c r="AW25" s="6">
        <v>1353</v>
      </c>
    </row>
    <row r="26" spans="1:49" s="6" customFormat="1">
      <c r="A26" s="39" t="s">
        <v>113</v>
      </c>
      <c r="B26" s="94">
        <v>2289</v>
      </c>
      <c r="C26" s="6">
        <v>2696</v>
      </c>
      <c r="D26" s="6">
        <v>3146</v>
      </c>
      <c r="E26" s="6">
        <v>3199</v>
      </c>
      <c r="F26" s="6">
        <v>3802</v>
      </c>
      <c r="G26" s="6">
        <v>4179</v>
      </c>
      <c r="H26" s="6">
        <v>5149</v>
      </c>
      <c r="I26" s="6">
        <v>5304</v>
      </c>
      <c r="J26" s="6">
        <v>5238</v>
      </c>
      <c r="K26" s="6">
        <v>5357</v>
      </c>
      <c r="L26" s="6">
        <v>4834</v>
      </c>
      <c r="M26" s="6">
        <v>5180</v>
      </c>
      <c r="N26" s="6">
        <v>5450</v>
      </c>
      <c r="O26" s="6">
        <v>6156</v>
      </c>
      <c r="P26" s="6">
        <v>5702</v>
      </c>
      <c r="Q26" s="6">
        <v>5797</v>
      </c>
      <c r="R26" s="6">
        <v>6657</v>
      </c>
      <c r="S26" s="6">
        <v>5040</v>
      </c>
      <c r="T26" s="124">
        <v>5466</v>
      </c>
      <c r="U26" s="124">
        <v>6167</v>
      </c>
      <c r="V26" s="6">
        <v>6361</v>
      </c>
      <c r="W26" s="6">
        <v>6066</v>
      </c>
      <c r="X26" s="6">
        <v>6776</v>
      </c>
      <c r="Y26" s="6">
        <v>6928</v>
      </c>
      <c r="Z26" s="124">
        <v>6796</v>
      </c>
      <c r="AA26" s="6">
        <v>6809</v>
      </c>
      <c r="AB26" s="6">
        <v>8146</v>
      </c>
      <c r="AC26" s="6">
        <v>9208</v>
      </c>
      <c r="AD26" s="6">
        <v>9246</v>
      </c>
      <c r="AE26" s="6">
        <v>10688</v>
      </c>
      <c r="AF26" s="6">
        <v>10658</v>
      </c>
      <c r="AG26" s="6">
        <v>13334</v>
      </c>
      <c r="AH26" s="6">
        <v>13008</v>
      </c>
      <c r="AI26" s="6">
        <v>12042</v>
      </c>
      <c r="AJ26" s="6">
        <v>14008</v>
      </c>
      <c r="AK26" s="6">
        <v>15918</v>
      </c>
      <c r="AL26" s="6">
        <v>15832</v>
      </c>
      <c r="AM26" s="6">
        <v>25780</v>
      </c>
      <c r="AN26" s="6">
        <v>33325</v>
      </c>
      <c r="AO26" s="6">
        <v>41970</v>
      </c>
      <c r="AP26" s="6">
        <v>50029</v>
      </c>
      <c r="AQ26" s="6">
        <v>20016</v>
      </c>
      <c r="AR26" s="6">
        <v>62930</v>
      </c>
      <c r="AS26" s="6">
        <v>48717</v>
      </c>
      <c r="AU26" s="6">
        <v>37181</v>
      </c>
      <c r="AV26" s="6">
        <v>32778</v>
      </c>
      <c r="AW26" s="6">
        <v>29229</v>
      </c>
    </row>
    <row r="27" spans="1:49" s="6" customFormat="1">
      <c r="A27" s="39" t="s">
        <v>114</v>
      </c>
      <c r="B27" s="94">
        <v>51302</v>
      </c>
      <c r="C27" s="6">
        <v>61124</v>
      </c>
      <c r="D27" s="6">
        <v>66707</v>
      </c>
      <c r="E27" s="6">
        <v>66223</v>
      </c>
      <c r="F27" s="6">
        <v>67703</v>
      </c>
      <c r="G27" s="6">
        <v>68835</v>
      </c>
      <c r="H27" s="6">
        <v>70355</v>
      </c>
      <c r="I27" s="6">
        <v>70176</v>
      </c>
      <c r="J27" s="6">
        <v>66762</v>
      </c>
      <c r="K27" s="6">
        <v>60057</v>
      </c>
      <c r="L27" s="6">
        <v>58892</v>
      </c>
      <c r="M27" s="6">
        <v>59490</v>
      </c>
      <c r="N27" s="6">
        <v>59246</v>
      </c>
      <c r="O27" s="6">
        <v>57194</v>
      </c>
      <c r="P27" s="6">
        <v>54647</v>
      </c>
      <c r="Q27" s="6">
        <v>55181</v>
      </c>
      <c r="R27" s="6">
        <v>47467</v>
      </c>
      <c r="S27" s="6">
        <v>46724</v>
      </c>
      <c r="T27" s="124">
        <v>47503</v>
      </c>
      <c r="U27" s="124">
        <v>48018</v>
      </c>
      <c r="V27" s="6">
        <v>48353</v>
      </c>
      <c r="W27" s="6">
        <v>56943</v>
      </c>
      <c r="X27" s="6">
        <v>53008</v>
      </c>
      <c r="Y27" s="6">
        <v>54688</v>
      </c>
      <c r="Z27" s="124">
        <v>56417</v>
      </c>
      <c r="AA27" s="6">
        <v>60503</v>
      </c>
      <c r="AB27" s="6">
        <v>64982</v>
      </c>
      <c r="AC27" s="6">
        <v>71273</v>
      </c>
      <c r="AD27" s="6">
        <v>72030</v>
      </c>
      <c r="AE27" s="6">
        <v>77426</v>
      </c>
      <c r="AF27" s="6">
        <v>78360</v>
      </c>
      <c r="AG27" s="6">
        <v>79468</v>
      </c>
      <c r="AH27" s="6">
        <v>84209</v>
      </c>
      <c r="AI27" s="6">
        <v>90029</v>
      </c>
      <c r="AJ27" s="6">
        <v>89404</v>
      </c>
      <c r="AK27" s="6">
        <v>92687</v>
      </c>
      <c r="AL27" s="6">
        <v>92727</v>
      </c>
      <c r="AM27" s="6">
        <v>95797</v>
      </c>
      <c r="AN27" s="6">
        <v>97010</v>
      </c>
      <c r="AO27" s="6">
        <v>98511</v>
      </c>
      <c r="AP27" s="6">
        <v>101591</v>
      </c>
      <c r="AQ27" s="6">
        <v>107582</v>
      </c>
      <c r="AR27" s="6">
        <v>114550</v>
      </c>
      <c r="AS27" s="6">
        <v>120364</v>
      </c>
      <c r="AU27" s="6">
        <v>133259</v>
      </c>
      <c r="AV27" s="6">
        <v>143448</v>
      </c>
      <c r="AW27" s="6">
        <v>151189</v>
      </c>
    </row>
    <row r="28" spans="1:49" s="6" customFormat="1">
      <c r="A28" s="39" t="s">
        <v>115</v>
      </c>
      <c r="B28" s="94">
        <v>1895</v>
      </c>
      <c r="C28" s="6">
        <v>2631</v>
      </c>
      <c r="D28" s="6">
        <v>3025</v>
      </c>
      <c r="E28" s="6">
        <v>3144</v>
      </c>
      <c r="F28" s="6">
        <v>3519</v>
      </c>
      <c r="G28" s="6">
        <v>3514</v>
      </c>
      <c r="H28" s="6">
        <v>3908</v>
      </c>
      <c r="I28" s="6">
        <v>4338</v>
      </c>
      <c r="J28" s="6">
        <v>4820</v>
      </c>
      <c r="K28" s="6">
        <v>4652</v>
      </c>
      <c r="L28" s="6">
        <v>4450</v>
      </c>
      <c r="M28" s="6">
        <v>4483</v>
      </c>
      <c r="N28" s="6">
        <v>4616</v>
      </c>
      <c r="O28" s="6">
        <v>5301</v>
      </c>
      <c r="P28" s="6">
        <v>5271</v>
      </c>
      <c r="Q28" s="6">
        <v>5235</v>
      </c>
      <c r="R28" s="6">
        <v>5282</v>
      </c>
      <c r="S28" s="6">
        <v>5756</v>
      </c>
      <c r="T28" s="124">
        <v>5825</v>
      </c>
      <c r="U28" s="124">
        <v>5943</v>
      </c>
      <c r="V28" s="6">
        <v>6144</v>
      </c>
      <c r="W28" s="6">
        <v>6163</v>
      </c>
      <c r="X28" s="6">
        <v>6301</v>
      </c>
      <c r="Y28" s="6">
        <v>6294</v>
      </c>
      <c r="Z28" s="124">
        <v>6746</v>
      </c>
      <c r="AA28" s="6">
        <v>6984</v>
      </c>
      <c r="AB28" s="6">
        <v>8637</v>
      </c>
      <c r="AC28" s="6">
        <v>8056</v>
      </c>
      <c r="AD28" s="6">
        <v>7823</v>
      </c>
      <c r="AE28" s="6">
        <v>7937</v>
      </c>
      <c r="AF28" s="6">
        <v>7720</v>
      </c>
      <c r="AG28" s="6">
        <v>7982</v>
      </c>
      <c r="AH28" s="6">
        <v>8076</v>
      </c>
      <c r="AI28" s="6">
        <v>8860</v>
      </c>
      <c r="AJ28" s="6">
        <v>9794</v>
      </c>
      <c r="AK28" s="6">
        <v>9788</v>
      </c>
      <c r="AL28" s="6">
        <v>9645</v>
      </c>
      <c r="AM28" s="6">
        <v>8999</v>
      </c>
      <c r="AN28" s="6">
        <v>11219</v>
      </c>
      <c r="AO28" s="6">
        <v>14548</v>
      </c>
      <c r="AP28" s="6">
        <v>14552</v>
      </c>
      <c r="AQ28" s="6">
        <v>11439</v>
      </c>
      <c r="AR28" s="6">
        <v>12329</v>
      </c>
      <c r="AS28" s="6">
        <v>13205</v>
      </c>
      <c r="AU28" s="6">
        <v>12389</v>
      </c>
      <c r="AV28" s="6">
        <v>14019</v>
      </c>
      <c r="AW28" s="6">
        <v>13515</v>
      </c>
    </row>
    <row r="29" spans="1:49" s="6" customFormat="1">
      <c r="A29" s="39" t="s">
        <v>117</v>
      </c>
      <c r="B29" s="94">
        <v>733</v>
      </c>
      <c r="C29" s="6">
        <v>967</v>
      </c>
      <c r="D29" s="6">
        <v>1170</v>
      </c>
      <c r="E29" s="6">
        <v>1248</v>
      </c>
      <c r="F29" s="6">
        <v>1427</v>
      </c>
      <c r="G29" s="6">
        <v>1653</v>
      </c>
      <c r="H29" s="6">
        <v>1867</v>
      </c>
      <c r="I29" s="6">
        <v>1976</v>
      </c>
      <c r="J29" s="6">
        <v>2233</v>
      </c>
      <c r="K29" s="6">
        <v>2331</v>
      </c>
      <c r="L29" s="6">
        <v>2159</v>
      </c>
      <c r="M29" s="6">
        <v>2140</v>
      </c>
      <c r="N29" s="6">
        <v>2319</v>
      </c>
      <c r="O29" s="6">
        <v>2444</v>
      </c>
      <c r="P29" s="6">
        <v>2504</v>
      </c>
      <c r="Q29" s="6">
        <v>2314</v>
      </c>
      <c r="R29" s="6">
        <v>2423</v>
      </c>
      <c r="S29" s="6">
        <v>2350</v>
      </c>
      <c r="T29" s="124">
        <v>2309</v>
      </c>
      <c r="U29" s="124">
        <v>2120</v>
      </c>
      <c r="V29" s="6">
        <v>2247</v>
      </c>
      <c r="W29" s="6">
        <v>2317</v>
      </c>
      <c r="X29" s="6">
        <v>2466</v>
      </c>
      <c r="Y29" s="6">
        <v>2515</v>
      </c>
      <c r="Z29" s="124">
        <v>2391</v>
      </c>
      <c r="AA29" s="6">
        <v>2387</v>
      </c>
      <c r="AB29" s="6">
        <v>2688</v>
      </c>
      <c r="AC29" s="6">
        <v>3072</v>
      </c>
      <c r="AD29" s="6">
        <v>3459</v>
      </c>
      <c r="AE29" s="6">
        <v>3458</v>
      </c>
      <c r="AF29" s="6">
        <v>3266</v>
      </c>
      <c r="AG29" s="6">
        <v>3315</v>
      </c>
      <c r="AH29" s="6">
        <v>3309</v>
      </c>
      <c r="AI29" s="6">
        <v>3745</v>
      </c>
      <c r="AJ29" s="6">
        <v>3654</v>
      </c>
      <c r="AK29" s="6">
        <v>3423</v>
      </c>
      <c r="AL29" s="6">
        <v>3204</v>
      </c>
      <c r="AM29" s="6">
        <v>3254</v>
      </c>
      <c r="AN29" s="6">
        <v>3128</v>
      </c>
      <c r="AO29" s="6">
        <v>3221</v>
      </c>
      <c r="AP29" s="6">
        <v>3234</v>
      </c>
      <c r="AQ29" s="6">
        <v>3766</v>
      </c>
      <c r="AR29" s="6">
        <v>4199</v>
      </c>
      <c r="AS29" s="6">
        <v>4402</v>
      </c>
      <c r="AU29" s="6">
        <v>4429</v>
      </c>
      <c r="AV29" s="6">
        <v>4571</v>
      </c>
      <c r="AW29" s="6">
        <v>4452</v>
      </c>
    </row>
    <row r="30" spans="1:49" s="6" customFormat="1">
      <c r="A30" s="39" t="s">
        <v>119</v>
      </c>
      <c r="B30" s="94">
        <v>1243</v>
      </c>
      <c r="C30" s="6">
        <v>2118</v>
      </c>
      <c r="D30" s="6">
        <v>1598</v>
      </c>
      <c r="E30" s="6">
        <v>1224</v>
      </c>
      <c r="F30" s="6">
        <v>1355</v>
      </c>
      <c r="G30" s="6">
        <v>1518</v>
      </c>
      <c r="H30" s="6">
        <v>1534</v>
      </c>
      <c r="I30" s="6">
        <v>1616</v>
      </c>
      <c r="J30" s="6">
        <v>1483</v>
      </c>
      <c r="K30" s="6">
        <v>1818</v>
      </c>
      <c r="L30" s="6">
        <v>1911</v>
      </c>
      <c r="M30" s="6">
        <v>2015</v>
      </c>
      <c r="N30" s="6">
        <v>2002</v>
      </c>
      <c r="O30" s="6">
        <v>2491</v>
      </c>
      <c r="P30" s="6">
        <v>2579</v>
      </c>
      <c r="Q30" s="6">
        <v>2423</v>
      </c>
      <c r="R30" s="6">
        <v>2291</v>
      </c>
      <c r="S30" s="6">
        <v>2297</v>
      </c>
      <c r="T30" s="124">
        <v>2600</v>
      </c>
      <c r="U30" s="124">
        <v>2589</v>
      </c>
      <c r="V30" s="6">
        <v>2979</v>
      </c>
      <c r="W30" s="6">
        <v>3117</v>
      </c>
      <c r="X30" s="6">
        <v>3243</v>
      </c>
      <c r="Y30" s="6">
        <v>3544</v>
      </c>
      <c r="Z30" s="124">
        <v>4068</v>
      </c>
      <c r="AA30" s="6">
        <v>4181</v>
      </c>
      <c r="AB30" s="6">
        <v>4268</v>
      </c>
      <c r="AC30" s="6">
        <v>4288</v>
      </c>
      <c r="AD30" s="6">
        <v>5093</v>
      </c>
      <c r="AE30" s="6">
        <v>5394</v>
      </c>
      <c r="AF30" s="6">
        <v>5040</v>
      </c>
      <c r="AG30" s="6">
        <v>5016</v>
      </c>
      <c r="AH30" s="6">
        <v>4583</v>
      </c>
      <c r="AI30" s="6">
        <v>3779</v>
      </c>
      <c r="AJ30" s="6">
        <v>3273</v>
      </c>
      <c r="AK30" s="6">
        <v>3189</v>
      </c>
      <c r="AL30" s="6">
        <v>3065</v>
      </c>
      <c r="AM30" s="6">
        <v>2945</v>
      </c>
      <c r="AN30" s="6">
        <v>2924</v>
      </c>
      <c r="AO30" s="6">
        <v>3359</v>
      </c>
      <c r="AP30" s="6">
        <v>3490</v>
      </c>
      <c r="AQ30" s="6">
        <v>3919</v>
      </c>
      <c r="AR30" s="6">
        <v>4940</v>
      </c>
      <c r="AS30" s="6">
        <v>5762</v>
      </c>
      <c r="AU30" s="6">
        <v>5152</v>
      </c>
      <c r="AV30" s="6">
        <v>5588</v>
      </c>
      <c r="AW30" s="6">
        <v>5310</v>
      </c>
    </row>
    <row r="31" spans="1:49" s="6" customFormat="1">
      <c r="A31" s="39" t="s">
        <v>128</v>
      </c>
      <c r="B31" s="94">
        <v>125</v>
      </c>
      <c r="C31" s="6">
        <v>242</v>
      </c>
      <c r="D31" s="6">
        <v>236</v>
      </c>
      <c r="E31" s="6">
        <v>368</v>
      </c>
      <c r="F31" s="6">
        <v>404</v>
      </c>
      <c r="G31" s="6">
        <v>369</v>
      </c>
      <c r="H31" s="6">
        <v>513</v>
      </c>
      <c r="I31" s="6">
        <v>451</v>
      </c>
      <c r="J31" s="6">
        <v>488</v>
      </c>
      <c r="K31" s="6">
        <v>464</v>
      </c>
      <c r="L31" s="6">
        <v>425</v>
      </c>
      <c r="M31" s="6">
        <v>534</v>
      </c>
      <c r="N31" s="6">
        <v>697</v>
      </c>
      <c r="O31" s="6">
        <v>715</v>
      </c>
      <c r="P31" s="6">
        <v>697</v>
      </c>
      <c r="Q31" s="6">
        <v>719</v>
      </c>
      <c r="R31" s="6">
        <v>663</v>
      </c>
      <c r="S31" s="6">
        <v>734</v>
      </c>
      <c r="T31" s="124">
        <v>714</v>
      </c>
      <c r="U31" s="124">
        <v>683</v>
      </c>
      <c r="V31" s="6">
        <v>782</v>
      </c>
      <c r="W31" s="6">
        <v>890</v>
      </c>
      <c r="X31" s="6">
        <v>883</v>
      </c>
      <c r="Y31" s="6">
        <v>801</v>
      </c>
      <c r="Z31" s="124">
        <v>1031</v>
      </c>
      <c r="AA31" s="6">
        <v>1329</v>
      </c>
      <c r="AB31" s="6">
        <v>1332</v>
      </c>
      <c r="AC31" s="6">
        <v>1397</v>
      </c>
      <c r="AD31" s="6">
        <v>1648</v>
      </c>
      <c r="AE31" s="6">
        <v>1488</v>
      </c>
      <c r="AF31" s="6">
        <v>1562</v>
      </c>
      <c r="AG31" s="6">
        <v>1471</v>
      </c>
      <c r="AH31" s="6">
        <v>1528</v>
      </c>
      <c r="AI31" s="6">
        <v>1666</v>
      </c>
      <c r="AJ31" s="6">
        <v>1811</v>
      </c>
      <c r="AK31" s="6">
        <v>1782</v>
      </c>
      <c r="AL31" s="6">
        <v>1776</v>
      </c>
      <c r="AM31" s="6">
        <v>1598</v>
      </c>
      <c r="AN31" s="6">
        <v>1601</v>
      </c>
      <c r="AO31" s="6">
        <v>1630</v>
      </c>
      <c r="AP31" s="6">
        <v>1745</v>
      </c>
      <c r="AQ31" s="6">
        <v>2058</v>
      </c>
      <c r="AR31" s="6">
        <v>2364</v>
      </c>
      <c r="AS31" s="6">
        <v>2296</v>
      </c>
      <c r="AU31" s="6">
        <v>2477</v>
      </c>
      <c r="AV31" s="6">
        <v>2339</v>
      </c>
      <c r="AW31" s="6">
        <v>2244</v>
      </c>
    </row>
    <row r="32" spans="1:49" s="6" customFormat="1">
      <c r="A32" s="39" t="s">
        <v>135</v>
      </c>
      <c r="B32" s="94">
        <v>152</v>
      </c>
      <c r="C32" s="6">
        <v>144</v>
      </c>
      <c r="D32" s="6">
        <v>191</v>
      </c>
      <c r="E32" s="6">
        <v>237</v>
      </c>
      <c r="F32" s="6">
        <v>357</v>
      </c>
      <c r="G32" s="6">
        <v>424</v>
      </c>
      <c r="H32" s="6">
        <v>551</v>
      </c>
      <c r="I32" s="6">
        <v>539</v>
      </c>
      <c r="J32" s="6">
        <v>634</v>
      </c>
      <c r="K32" s="6">
        <v>716</v>
      </c>
      <c r="L32" s="6">
        <v>582</v>
      </c>
      <c r="M32" s="6">
        <v>641</v>
      </c>
      <c r="N32" s="6">
        <v>778</v>
      </c>
      <c r="O32" s="6">
        <v>911</v>
      </c>
      <c r="P32" s="6">
        <v>1074</v>
      </c>
      <c r="Q32" s="6">
        <v>927</v>
      </c>
      <c r="R32" s="6">
        <v>936</v>
      </c>
      <c r="S32" s="6">
        <v>884</v>
      </c>
      <c r="T32" s="124">
        <v>857</v>
      </c>
      <c r="U32" s="124">
        <v>885</v>
      </c>
      <c r="V32" s="6">
        <v>949</v>
      </c>
      <c r="W32" s="6">
        <v>1013</v>
      </c>
      <c r="X32" s="6">
        <v>1171</v>
      </c>
      <c r="Y32" s="6">
        <v>1311</v>
      </c>
      <c r="Z32" s="124">
        <v>1295</v>
      </c>
      <c r="AA32" s="6">
        <v>1411</v>
      </c>
      <c r="AB32" s="6">
        <v>1425</v>
      </c>
      <c r="AC32" s="6">
        <v>1766</v>
      </c>
      <c r="AD32" s="6">
        <v>1605</v>
      </c>
      <c r="AE32" s="6">
        <v>1853</v>
      </c>
      <c r="AF32" s="6">
        <v>1988</v>
      </c>
      <c r="AG32" s="6">
        <v>2164</v>
      </c>
      <c r="AH32" s="6">
        <v>2392</v>
      </c>
      <c r="AI32" s="6">
        <v>2489</v>
      </c>
      <c r="AJ32" s="6">
        <v>2872</v>
      </c>
      <c r="AK32" s="6">
        <v>3236</v>
      </c>
      <c r="AL32" s="6">
        <v>3702</v>
      </c>
      <c r="AM32" s="6">
        <v>3695</v>
      </c>
      <c r="AN32" s="6">
        <v>3415</v>
      </c>
      <c r="AO32" s="6">
        <v>3670</v>
      </c>
      <c r="AP32" s="6">
        <v>3936</v>
      </c>
      <c r="AQ32" s="6">
        <v>4997</v>
      </c>
      <c r="AR32" s="6">
        <v>5350</v>
      </c>
      <c r="AS32" s="6">
        <v>5373</v>
      </c>
      <c r="AU32" s="6">
        <v>6059</v>
      </c>
      <c r="AV32" s="6">
        <v>6097</v>
      </c>
      <c r="AW32" s="6">
        <v>6169</v>
      </c>
    </row>
    <row r="33" spans="1:49" s="6" customFormat="1">
      <c r="A33" s="39" t="s">
        <v>134</v>
      </c>
      <c r="B33" s="94">
        <v>397</v>
      </c>
      <c r="C33" s="6">
        <v>448</v>
      </c>
      <c r="D33" s="6">
        <v>482</v>
      </c>
      <c r="E33" s="6">
        <v>740</v>
      </c>
      <c r="F33" s="6">
        <v>852</v>
      </c>
      <c r="G33" s="6">
        <v>881</v>
      </c>
      <c r="H33" s="6">
        <v>950</v>
      </c>
      <c r="I33" s="6">
        <v>1049</v>
      </c>
      <c r="J33" s="6">
        <v>1255</v>
      </c>
      <c r="K33" s="6">
        <v>1259</v>
      </c>
      <c r="L33" s="6">
        <v>1386</v>
      </c>
      <c r="M33" s="6">
        <v>1347</v>
      </c>
      <c r="N33" s="6">
        <v>1478</v>
      </c>
      <c r="O33" s="6">
        <v>1672</v>
      </c>
      <c r="P33" s="6">
        <v>1882</v>
      </c>
      <c r="Q33" s="6">
        <v>1743</v>
      </c>
      <c r="R33" s="6">
        <v>1779</v>
      </c>
      <c r="S33" s="6">
        <v>1766</v>
      </c>
      <c r="T33" s="124">
        <v>1760</v>
      </c>
      <c r="U33" s="124">
        <v>1698</v>
      </c>
      <c r="V33" s="6">
        <v>2455</v>
      </c>
      <c r="W33" s="6">
        <v>2479</v>
      </c>
      <c r="X33" s="6">
        <v>2874</v>
      </c>
      <c r="Y33" s="6">
        <v>3007</v>
      </c>
      <c r="Z33" s="124">
        <v>3065</v>
      </c>
      <c r="AA33" s="6">
        <v>3277</v>
      </c>
      <c r="AB33" s="6">
        <v>3476</v>
      </c>
      <c r="AC33" s="6">
        <v>3643</v>
      </c>
      <c r="AD33" s="6">
        <v>3493</v>
      </c>
      <c r="AE33" s="6">
        <v>3587</v>
      </c>
      <c r="AF33" s="6">
        <v>3783</v>
      </c>
      <c r="AG33" s="6">
        <v>4806</v>
      </c>
      <c r="AH33" s="6">
        <v>3757</v>
      </c>
      <c r="AI33" s="6">
        <v>3871</v>
      </c>
      <c r="AJ33" s="6">
        <v>4271</v>
      </c>
      <c r="AK33" s="6">
        <v>4590</v>
      </c>
      <c r="AL33" s="6">
        <v>4911</v>
      </c>
      <c r="AM33" s="6">
        <v>4845</v>
      </c>
      <c r="AN33" s="6">
        <v>5053</v>
      </c>
      <c r="AO33" s="6">
        <v>5058</v>
      </c>
      <c r="AP33" s="6">
        <v>5119</v>
      </c>
      <c r="AQ33" s="6">
        <v>6552</v>
      </c>
      <c r="AR33" s="6">
        <v>7709</v>
      </c>
      <c r="AS33" s="6">
        <v>8941</v>
      </c>
      <c r="AU33" s="6">
        <v>10533</v>
      </c>
      <c r="AV33" s="6">
        <v>9435</v>
      </c>
      <c r="AW33" s="6">
        <v>10457</v>
      </c>
    </row>
    <row r="34" spans="1:49" s="6" customFormat="1">
      <c r="A34" s="39" t="s">
        <v>138</v>
      </c>
      <c r="B34" s="94">
        <v>1819</v>
      </c>
      <c r="C34" s="6">
        <v>2320</v>
      </c>
      <c r="D34" s="6">
        <v>2966</v>
      </c>
      <c r="E34" s="6">
        <v>3161</v>
      </c>
      <c r="F34" s="6">
        <v>3269</v>
      </c>
      <c r="G34" s="6">
        <v>3253</v>
      </c>
      <c r="H34" s="6">
        <v>3807</v>
      </c>
      <c r="I34" s="6">
        <v>4008</v>
      </c>
      <c r="J34" s="6">
        <v>4330</v>
      </c>
      <c r="K34" s="6">
        <v>4180</v>
      </c>
      <c r="L34" s="6">
        <v>4076</v>
      </c>
      <c r="M34" s="6">
        <v>4309</v>
      </c>
      <c r="N34" s="6">
        <v>4784</v>
      </c>
      <c r="O34" s="6">
        <v>5229</v>
      </c>
      <c r="P34" s="6">
        <v>5184</v>
      </c>
      <c r="Q34" s="6">
        <v>5157</v>
      </c>
      <c r="R34" s="6">
        <v>4872</v>
      </c>
      <c r="S34" s="6">
        <v>4673</v>
      </c>
      <c r="T34" s="124">
        <v>4823</v>
      </c>
      <c r="U34" s="124">
        <v>4456</v>
      </c>
      <c r="V34" s="6">
        <v>4769</v>
      </c>
      <c r="W34" s="6">
        <v>4844</v>
      </c>
      <c r="X34" s="6">
        <v>4829</v>
      </c>
      <c r="Y34" s="6">
        <v>5676</v>
      </c>
      <c r="Z34" s="124">
        <v>5986</v>
      </c>
      <c r="AA34" s="6">
        <v>5813</v>
      </c>
      <c r="AB34" s="6">
        <v>5714</v>
      </c>
      <c r="AC34" s="6">
        <v>5658</v>
      </c>
      <c r="AD34" s="6">
        <v>5850</v>
      </c>
      <c r="AE34" s="6">
        <v>5686</v>
      </c>
      <c r="AF34" s="6">
        <v>6450</v>
      </c>
      <c r="AG34" s="6">
        <v>6312</v>
      </c>
      <c r="AH34" s="6">
        <v>6518</v>
      </c>
      <c r="AI34" s="6">
        <v>7365</v>
      </c>
      <c r="AJ34" s="6">
        <v>8301</v>
      </c>
      <c r="AK34" s="6">
        <v>8506</v>
      </c>
      <c r="AL34" s="6">
        <v>8322</v>
      </c>
      <c r="AM34" s="6">
        <v>8130</v>
      </c>
      <c r="AN34" s="6">
        <v>8023</v>
      </c>
      <c r="AO34" s="6">
        <v>8164</v>
      </c>
      <c r="AP34" s="6">
        <v>9129</v>
      </c>
      <c r="AQ34" s="6">
        <v>10945</v>
      </c>
      <c r="AR34" s="6">
        <v>12629</v>
      </c>
      <c r="AS34" s="6">
        <v>14253</v>
      </c>
      <c r="AU34" s="6">
        <v>13663</v>
      </c>
      <c r="AV34" s="6">
        <v>12926</v>
      </c>
      <c r="AW34" s="6">
        <v>13071</v>
      </c>
    </row>
    <row r="35" spans="1:49" s="6" customFormat="1">
      <c r="A35" s="39" t="s">
        <v>142</v>
      </c>
      <c r="B35" s="94">
        <v>1332</v>
      </c>
      <c r="C35" s="6">
        <v>1478</v>
      </c>
      <c r="D35" s="6">
        <v>1603</v>
      </c>
      <c r="E35" s="6">
        <v>1624</v>
      </c>
      <c r="F35" s="6">
        <v>1720</v>
      </c>
      <c r="G35" s="6">
        <v>2081</v>
      </c>
      <c r="H35" s="6">
        <v>1975</v>
      </c>
      <c r="I35" s="6">
        <v>2003</v>
      </c>
      <c r="J35" s="6">
        <v>2175</v>
      </c>
      <c r="K35" s="6">
        <v>2184</v>
      </c>
      <c r="L35" s="6">
        <v>2182</v>
      </c>
      <c r="M35" s="6">
        <v>2390</v>
      </c>
      <c r="N35" s="6">
        <v>2481</v>
      </c>
      <c r="O35" s="6">
        <v>3156</v>
      </c>
      <c r="P35" s="6">
        <v>2955</v>
      </c>
      <c r="Q35" s="6">
        <v>2897</v>
      </c>
      <c r="R35" s="6">
        <v>2941</v>
      </c>
      <c r="S35" s="6">
        <v>3151</v>
      </c>
      <c r="T35" s="124">
        <v>3552</v>
      </c>
      <c r="U35" s="124">
        <v>3572</v>
      </c>
      <c r="V35" s="6">
        <v>3750</v>
      </c>
      <c r="W35" s="6">
        <v>4099</v>
      </c>
      <c r="X35" s="6">
        <v>4556</v>
      </c>
      <c r="Y35" s="6">
        <v>4839</v>
      </c>
      <c r="Z35" s="124">
        <v>5318</v>
      </c>
      <c r="AA35" s="6">
        <v>5812</v>
      </c>
      <c r="AB35" s="6">
        <v>6437</v>
      </c>
      <c r="AC35" s="6">
        <v>6652</v>
      </c>
      <c r="AD35" s="6">
        <v>8087</v>
      </c>
      <c r="AE35" s="6">
        <v>7443</v>
      </c>
      <c r="AF35" s="6">
        <v>7867</v>
      </c>
      <c r="AG35" s="6">
        <v>8534</v>
      </c>
      <c r="AH35" s="6">
        <v>9160</v>
      </c>
      <c r="AI35" s="6">
        <v>9374</v>
      </c>
      <c r="AJ35" s="6">
        <v>9408</v>
      </c>
      <c r="AK35" s="6">
        <v>9915</v>
      </c>
      <c r="AL35" s="6">
        <v>9797</v>
      </c>
      <c r="AM35" s="6">
        <v>9835</v>
      </c>
      <c r="AN35" s="6">
        <v>9904</v>
      </c>
      <c r="AO35" s="6">
        <v>10235</v>
      </c>
      <c r="AP35" s="6">
        <v>11054</v>
      </c>
      <c r="AQ35" s="6">
        <v>12398</v>
      </c>
      <c r="AR35" s="6">
        <v>13275</v>
      </c>
      <c r="AS35" s="6">
        <v>12984</v>
      </c>
      <c r="AU35" s="6">
        <v>12959</v>
      </c>
      <c r="AV35" s="6">
        <v>13356</v>
      </c>
      <c r="AW35" s="6">
        <v>13696</v>
      </c>
    </row>
    <row r="36" spans="1:49" s="6" customFormat="1">
      <c r="A36" s="39" t="s">
        <v>66</v>
      </c>
      <c r="B36" s="94">
        <v>4098</v>
      </c>
      <c r="C36" s="6">
        <v>5860</v>
      </c>
      <c r="D36" s="6">
        <v>7453</v>
      </c>
      <c r="E36" s="6">
        <v>8317</v>
      </c>
      <c r="F36" s="6">
        <v>8907</v>
      </c>
      <c r="G36" s="6">
        <v>8879</v>
      </c>
      <c r="H36" s="6">
        <v>10083</v>
      </c>
      <c r="I36" s="6">
        <v>9836</v>
      </c>
      <c r="J36" s="6">
        <v>10343</v>
      </c>
      <c r="K36" s="6">
        <v>10095</v>
      </c>
      <c r="L36" s="6">
        <v>10586</v>
      </c>
      <c r="M36" s="6">
        <v>11097</v>
      </c>
      <c r="N36" s="6">
        <v>11600</v>
      </c>
      <c r="O36" s="6">
        <v>10469</v>
      </c>
      <c r="P36" s="6">
        <v>10853</v>
      </c>
      <c r="Q36" s="6">
        <v>10421</v>
      </c>
      <c r="R36" s="6">
        <v>11841</v>
      </c>
      <c r="S36" s="6">
        <v>12278</v>
      </c>
      <c r="T36" s="124">
        <v>11664</v>
      </c>
      <c r="U36" s="124">
        <v>12284</v>
      </c>
      <c r="V36" s="6">
        <v>14319</v>
      </c>
      <c r="W36" s="6">
        <v>15246</v>
      </c>
      <c r="X36" s="6">
        <v>16436</v>
      </c>
      <c r="Y36" s="6">
        <v>16619</v>
      </c>
      <c r="Z36" s="124">
        <v>18365</v>
      </c>
      <c r="AA36" s="6">
        <v>19102</v>
      </c>
      <c r="AB36" s="6">
        <v>19349</v>
      </c>
      <c r="AC36" s="6">
        <v>19565</v>
      </c>
      <c r="AD36" s="6">
        <v>19164</v>
      </c>
      <c r="AE36" s="6">
        <v>18751</v>
      </c>
      <c r="AF36" s="6">
        <v>19268</v>
      </c>
      <c r="AG36" s="6">
        <v>18710</v>
      </c>
      <c r="AH36" s="6">
        <v>20035</v>
      </c>
      <c r="AI36" s="6">
        <v>21773</v>
      </c>
      <c r="AJ36" s="6">
        <v>23632</v>
      </c>
      <c r="AK36" s="6">
        <v>22338</v>
      </c>
      <c r="AL36" s="6">
        <v>21735</v>
      </c>
      <c r="AM36" s="6">
        <v>20923</v>
      </c>
      <c r="AN36" s="6">
        <v>21194</v>
      </c>
      <c r="AO36" s="6">
        <v>21858</v>
      </c>
      <c r="AP36" s="6">
        <v>22999</v>
      </c>
      <c r="AQ36" s="6">
        <v>27045</v>
      </c>
      <c r="AR36" s="6">
        <v>28977</v>
      </c>
      <c r="AS36" s="6">
        <v>29281</v>
      </c>
      <c r="AU36" s="6">
        <v>29998</v>
      </c>
      <c r="AV36" s="6">
        <v>30591</v>
      </c>
      <c r="AW36" s="6">
        <v>30217</v>
      </c>
    </row>
    <row r="37" spans="1:49" s="6" customFormat="1">
      <c r="A37" s="40" t="s">
        <v>145</v>
      </c>
      <c r="B37" s="95">
        <v>585</v>
      </c>
      <c r="C37" s="7">
        <v>648</v>
      </c>
      <c r="D37" s="7">
        <v>637</v>
      </c>
      <c r="E37" s="7">
        <v>684</v>
      </c>
      <c r="F37" s="7">
        <v>659</v>
      </c>
      <c r="G37" s="7">
        <v>726</v>
      </c>
      <c r="H37" s="7">
        <v>739</v>
      </c>
      <c r="I37" s="7">
        <v>758</v>
      </c>
      <c r="J37" s="7">
        <v>901</v>
      </c>
      <c r="K37" s="7">
        <v>859</v>
      </c>
      <c r="L37" s="7">
        <v>794</v>
      </c>
      <c r="M37" s="7">
        <v>838</v>
      </c>
      <c r="N37" s="7">
        <v>951</v>
      </c>
      <c r="O37" s="7">
        <v>1039</v>
      </c>
      <c r="P37" s="7">
        <v>1188</v>
      </c>
      <c r="Q37" s="7">
        <v>1163</v>
      </c>
      <c r="R37" s="7">
        <v>1313</v>
      </c>
      <c r="S37" s="7">
        <v>1309</v>
      </c>
      <c r="T37" s="125">
        <v>1386</v>
      </c>
      <c r="U37" s="125">
        <v>1507</v>
      </c>
      <c r="V37" s="7">
        <v>1629</v>
      </c>
      <c r="W37" s="7">
        <v>1633</v>
      </c>
      <c r="X37" s="7">
        <v>1891</v>
      </c>
      <c r="Y37" s="7">
        <v>1850</v>
      </c>
      <c r="Z37" s="125">
        <v>1862</v>
      </c>
      <c r="AA37" s="7">
        <v>1663</v>
      </c>
      <c r="AB37" s="7">
        <v>1988</v>
      </c>
      <c r="AC37" s="7">
        <v>1990</v>
      </c>
      <c r="AD37" s="7">
        <v>2028</v>
      </c>
      <c r="AE37" s="7">
        <v>2036</v>
      </c>
      <c r="AF37" s="7">
        <v>1994</v>
      </c>
      <c r="AG37" s="7">
        <v>2247</v>
      </c>
      <c r="AH37" s="7">
        <v>2423</v>
      </c>
      <c r="AI37" s="7">
        <v>2720</v>
      </c>
      <c r="AJ37" s="7">
        <v>2809</v>
      </c>
      <c r="AK37" s="7">
        <v>2799</v>
      </c>
      <c r="AL37" s="7">
        <v>3073</v>
      </c>
      <c r="AM37" s="7">
        <v>2805</v>
      </c>
      <c r="AN37" s="7">
        <v>2703</v>
      </c>
      <c r="AO37" s="7">
        <v>2785</v>
      </c>
      <c r="AP37" s="7">
        <v>2862</v>
      </c>
      <c r="AQ37" s="7">
        <v>3216</v>
      </c>
      <c r="AR37" s="6">
        <v>2924</v>
      </c>
      <c r="AS37" s="6">
        <v>3125</v>
      </c>
      <c r="AU37" s="6">
        <v>2972</v>
      </c>
      <c r="AV37" s="6">
        <v>2770</v>
      </c>
      <c r="AW37" s="6">
        <v>2765</v>
      </c>
    </row>
    <row r="38" spans="1:49">
      <c r="A38" s="46" t="s">
        <v>186</v>
      </c>
      <c r="B38" s="93">
        <f t="shared" ref="B38:AN38" si="24">SUM(B40:B51)</f>
        <v>39509</v>
      </c>
      <c r="C38" s="52">
        <f t="shared" si="24"/>
        <v>49468</v>
      </c>
      <c r="D38" s="52">
        <f t="shared" si="24"/>
        <v>60197</v>
      </c>
      <c r="E38" s="52">
        <f t="shared" si="24"/>
        <v>69260</v>
      </c>
      <c r="F38" s="52">
        <f t="shared" si="24"/>
        <v>75608</v>
      </c>
      <c r="G38" s="52">
        <f t="shared" si="24"/>
        <v>79959</v>
      </c>
      <c r="H38" s="52">
        <f t="shared" si="24"/>
        <v>84990</v>
      </c>
      <c r="I38" s="52">
        <f t="shared" si="24"/>
        <v>89736</v>
      </c>
      <c r="J38" s="52">
        <f t="shared" si="24"/>
        <v>92005</v>
      </c>
      <c r="K38" s="52">
        <f t="shared" si="24"/>
        <v>92088</v>
      </c>
      <c r="L38" s="52">
        <f t="shared" si="24"/>
        <v>91449</v>
      </c>
      <c r="M38" s="52">
        <f t="shared" si="24"/>
        <v>98159</v>
      </c>
      <c r="N38" s="52">
        <f t="shared" si="24"/>
        <v>104712</v>
      </c>
      <c r="O38" s="52">
        <f t="shared" si="24"/>
        <v>111221</v>
      </c>
      <c r="P38" s="52">
        <f t="shared" si="24"/>
        <v>115209</v>
      </c>
      <c r="Q38" s="52">
        <f t="shared" si="24"/>
        <v>115603</v>
      </c>
      <c r="R38" s="52">
        <f t="shared" si="24"/>
        <v>113118</v>
      </c>
      <c r="S38" s="52">
        <f t="shared" si="24"/>
        <v>113405</v>
      </c>
      <c r="T38" s="52">
        <f t="shared" si="24"/>
        <v>110525</v>
      </c>
      <c r="U38" s="52">
        <f t="shared" si="24"/>
        <v>112235</v>
      </c>
      <c r="V38" s="52">
        <f t="shared" si="24"/>
        <v>112875</v>
      </c>
      <c r="W38" s="52">
        <f t="shared" si="24"/>
        <v>118358</v>
      </c>
      <c r="X38" s="52">
        <f t="shared" si="24"/>
        <v>125739</v>
      </c>
      <c r="Y38" s="52">
        <f t="shared" si="24"/>
        <v>127932</v>
      </c>
      <c r="Z38" s="52">
        <f t="shared" si="24"/>
        <v>129279</v>
      </c>
      <c r="AA38" s="52">
        <f t="shared" si="24"/>
        <v>131563</v>
      </c>
      <c r="AB38" s="52">
        <f t="shared" si="24"/>
        <v>133435</v>
      </c>
      <c r="AC38" s="52">
        <f t="shared" si="24"/>
        <v>132511</v>
      </c>
      <c r="AD38" s="52">
        <f t="shared" si="24"/>
        <v>132704</v>
      </c>
      <c r="AE38" s="52">
        <f t="shared" si="24"/>
        <v>130896</v>
      </c>
      <c r="AF38" s="52">
        <f t="shared" si="24"/>
        <v>131425</v>
      </c>
      <c r="AG38" s="52">
        <f t="shared" si="24"/>
        <v>131097</v>
      </c>
      <c r="AH38" s="52">
        <f t="shared" si="24"/>
        <v>134805</v>
      </c>
      <c r="AI38" s="52">
        <f t="shared" si="24"/>
        <v>145126</v>
      </c>
      <c r="AJ38" s="52">
        <f>SUM(AJ40:AJ51)</f>
        <v>151822</v>
      </c>
      <c r="AK38" s="52">
        <f t="shared" si="24"/>
        <v>164580</v>
      </c>
      <c r="AL38" s="52">
        <f t="shared" si="24"/>
        <v>165843</v>
      </c>
      <c r="AM38" s="52">
        <f t="shared" si="24"/>
        <v>171963</v>
      </c>
      <c r="AN38" s="52">
        <f t="shared" si="24"/>
        <v>175609</v>
      </c>
      <c r="AO38" s="52">
        <f t="shared" ref="AO38:AP38" si="25">SUM(AO40:AO51)</f>
        <v>180805</v>
      </c>
      <c r="AP38" s="52">
        <f t="shared" si="25"/>
        <v>193979</v>
      </c>
      <c r="AQ38" s="52">
        <f t="shared" ref="AQ38:AR38" si="26">SUM(AQ40:AQ51)</f>
        <v>211049</v>
      </c>
      <c r="AR38" s="196">
        <f t="shared" si="26"/>
        <v>224267</v>
      </c>
      <c r="AS38" s="196">
        <f t="shared" ref="AS38:AU38" si="27">SUM(AS40:AS51)</f>
        <v>222335</v>
      </c>
      <c r="AT38" s="196">
        <f t="shared" si="27"/>
        <v>0</v>
      </c>
      <c r="AU38" s="196">
        <f t="shared" si="27"/>
        <v>214518</v>
      </c>
      <c r="AV38" s="196">
        <f t="shared" ref="AV38:AW38" si="28">SUM(AV40:AV51)</f>
        <v>202687</v>
      </c>
      <c r="AW38" s="196">
        <f t="shared" si="28"/>
        <v>196251</v>
      </c>
    </row>
    <row r="39" spans="1:49">
      <c r="A39" s="47" t="s">
        <v>189</v>
      </c>
      <c r="B39" s="105">
        <f t="shared" ref="B39:AN39" si="29">(B38/B$4)*100</f>
        <v>19.176985093897283</v>
      </c>
      <c r="C39" s="53">
        <f t="shared" si="29"/>
        <v>19.605962482808913</v>
      </c>
      <c r="D39" s="53">
        <f t="shared" si="29"/>
        <v>20.614422596176894</v>
      </c>
      <c r="E39" s="53">
        <f t="shared" si="29"/>
        <v>21.905659541897816</v>
      </c>
      <c r="F39" s="53">
        <f t="shared" si="29"/>
        <v>21.983926681476142</v>
      </c>
      <c r="G39" s="53">
        <f t="shared" si="29"/>
        <v>22.200288196440024</v>
      </c>
      <c r="H39" s="53">
        <f t="shared" si="29"/>
        <v>21.711363276400292</v>
      </c>
      <c r="I39" s="53">
        <f t="shared" si="29"/>
        <v>22.099904690836283</v>
      </c>
      <c r="J39" s="53">
        <f t="shared" si="29"/>
        <v>22.440462833783744</v>
      </c>
      <c r="K39" s="53">
        <f t="shared" si="29"/>
        <v>23.058374585909274</v>
      </c>
      <c r="L39" s="53">
        <f t="shared" si="29"/>
        <v>23.023935587664372</v>
      </c>
      <c r="M39" s="53">
        <f t="shared" si="29"/>
        <v>23.804315667454009</v>
      </c>
      <c r="N39" s="53">
        <f t="shared" si="29"/>
        <v>24.342174085878277</v>
      </c>
      <c r="O39" s="53">
        <f t="shared" si="29"/>
        <v>25.015969410706251</v>
      </c>
      <c r="P39" s="53">
        <f t="shared" si="29"/>
        <v>25.761146639237957</v>
      </c>
      <c r="Q39" s="53">
        <f t="shared" si="29"/>
        <v>25.792266090743581</v>
      </c>
      <c r="R39" s="53">
        <f t="shared" si="29"/>
        <v>25.896918734160408</v>
      </c>
      <c r="S39" s="53">
        <f t="shared" si="29"/>
        <v>26.551086345757636</v>
      </c>
      <c r="T39" s="53">
        <f t="shared" si="29"/>
        <v>25.8945055151021</v>
      </c>
      <c r="U39" s="53">
        <f t="shared" si="29"/>
        <v>26.175061685782651</v>
      </c>
      <c r="V39" s="53">
        <f t="shared" si="29"/>
        <v>25.306366779214141</v>
      </c>
      <c r="W39" s="53">
        <f t="shared" si="29"/>
        <v>25.068518102758091</v>
      </c>
      <c r="X39" s="53">
        <f t="shared" si="29"/>
        <v>25.452981245129099</v>
      </c>
      <c r="Y39" s="53">
        <f t="shared" si="29"/>
        <v>25.356668582641266</v>
      </c>
      <c r="Z39" s="53">
        <f t="shared" si="29"/>
        <v>24.879431586807332</v>
      </c>
      <c r="AA39" s="53">
        <f t="shared" si="29"/>
        <v>24.930738998775855</v>
      </c>
      <c r="AB39" s="53">
        <f t="shared" si="29"/>
        <v>24.546902824176957</v>
      </c>
      <c r="AC39" s="53">
        <f t="shared" si="29"/>
        <v>23.668637996352654</v>
      </c>
      <c r="AD39" s="53">
        <f t="shared" si="29"/>
        <v>23.758448138500238</v>
      </c>
      <c r="AE39" s="53">
        <f t="shared" si="29"/>
        <v>23.376205902627717</v>
      </c>
      <c r="AF39" s="53">
        <f t="shared" si="29"/>
        <v>23.263820665459445</v>
      </c>
      <c r="AG39" s="53">
        <f t="shared" si="29"/>
        <v>22.647249358658755</v>
      </c>
      <c r="AH39" s="53">
        <f t="shared" si="29"/>
        <v>22.651239302811305</v>
      </c>
      <c r="AI39" s="53">
        <f t="shared" si="29"/>
        <v>22.889958613031848</v>
      </c>
      <c r="AJ39" s="53">
        <f>(AJ38/AJ$4)*100</f>
        <v>22.841642193442784</v>
      </c>
      <c r="AK39" s="53">
        <f t="shared" si="29"/>
        <v>23.624149513392474</v>
      </c>
      <c r="AL39" s="53">
        <f t="shared" si="29"/>
        <v>23.477108675925781</v>
      </c>
      <c r="AM39" s="53">
        <f t="shared" si="29"/>
        <v>23.617592849471375</v>
      </c>
      <c r="AN39" s="53">
        <f t="shared" si="29"/>
        <v>23.409414474701531</v>
      </c>
      <c r="AO39" s="53">
        <f t="shared" ref="AO39:AP39" si="30">(AO38/AO$4)*100</f>
        <v>22.964468294541643</v>
      </c>
      <c r="AP39" s="53">
        <f t="shared" si="30"/>
        <v>22.900158665697042</v>
      </c>
      <c r="AQ39" s="53">
        <f t="shared" ref="AQ39:AR39" si="31">(AQ38/AQ$4)*100</f>
        <v>23.754634454907062</v>
      </c>
      <c r="AR39" s="53">
        <f t="shared" si="31"/>
        <v>22.339397634046147</v>
      </c>
      <c r="AS39" s="53">
        <f t="shared" ref="AS39:AU39" si="32">(AS38/AS$4)*100</f>
        <v>22.304920354976634</v>
      </c>
      <c r="AT39" s="53" t="e">
        <f t="shared" si="32"/>
        <v>#DIV/0!</v>
      </c>
      <c r="AU39" s="53">
        <f t="shared" si="32"/>
        <v>21.416612505653212</v>
      </c>
      <c r="AV39" s="53">
        <f t="shared" ref="AV39:AW39" si="33">(AV38/AV$4)*100</f>
        <v>20.311944129050747</v>
      </c>
      <c r="AW39" s="53">
        <f t="shared" si="33"/>
        <v>19.709080391548387</v>
      </c>
    </row>
    <row r="40" spans="1:49" s="6" customFormat="1">
      <c r="A40" s="39" t="s">
        <v>120</v>
      </c>
      <c r="B40" s="94">
        <v>8382</v>
      </c>
      <c r="C40" s="6">
        <v>11340</v>
      </c>
      <c r="D40" s="6">
        <v>14043</v>
      </c>
      <c r="E40" s="6">
        <v>17405</v>
      </c>
      <c r="F40" s="6">
        <v>18846</v>
      </c>
      <c r="G40" s="6">
        <v>19513</v>
      </c>
      <c r="H40" s="6">
        <v>19880</v>
      </c>
      <c r="I40" s="6">
        <v>20930</v>
      </c>
      <c r="J40" s="6">
        <v>20889</v>
      </c>
      <c r="K40" s="6">
        <v>20119</v>
      </c>
      <c r="L40" s="6">
        <v>19965</v>
      </c>
      <c r="M40" s="6">
        <v>21213</v>
      </c>
      <c r="N40" s="6">
        <v>21333</v>
      </c>
      <c r="O40" s="6">
        <v>22013</v>
      </c>
      <c r="P40" s="6">
        <v>22771</v>
      </c>
      <c r="Q40" s="6">
        <v>23492</v>
      </c>
      <c r="R40" s="6">
        <v>24590</v>
      </c>
      <c r="S40" s="6">
        <v>23961</v>
      </c>
      <c r="T40" s="124">
        <v>24720</v>
      </c>
      <c r="U40" s="124">
        <v>23205</v>
      </c>
      <c r="V40" s="6">
        <v>23327</v>
      </c>
      <c r="W40" s="6">
        <v>24464</v>
      </c>
      <c r="X40" s="6">
        <v>26276</v>
      </c>
      <c r="Y40" s="6">
        <v>27620</v>
      </c>
      <c r="Z40" s="124">
        <v>27022</v>
      </c>
      <c r="AA40" s="6">
        <v>27126</v>
      </c>
      <c r="AB40" s="6">
        <v>26839</v>
      </c>
      <c r="AC40" s="6">
        <v>26436</v>
      </c>
      <c r="AD40" s="6">
        <v>26898</v>
      </c>
      <c r="AE40" s="6">
        <v>26108</v>
      </c>
      <c r="AF40" s="6">
        <v>26561</v>
      </c>
      <c r="AG40" s="6">
        <v>25931</v>
      </c>
      <c r="AH40" s="6">
        <v>25924</v>
      </c>
      <c r="AI40" s="6">
        <v>27827</v>
      </c>
      <c r="AJ40" s="6">
        <v>28738</v>
      </c>
      <c r="AK40" s="6">
        <v>34715</v>
      </c>
      <c r="AL40" s="6">
        <v>30613</v>
      </c>
      <c r="AM40" s="6">
        <v>35180</v>
      </c>
      <c r="AN40" s="6">
        <v>34013</v>
      </c>
      <c r="AO40" s="6">
        <v>36163</v>
      </c>
      <c r="AP40" s="6">
        <v>38244</v>
      </c>
      <c r="AQ40" s="6">
        <v>35271</v>
      </c>
      <c r="AR40" s="6">
        <v>38214</v>
      </c>
      <c r="AS40" s="6">
        <v>39064</v>
      </c>
      <c r="AU40" s="6">
        <v>39520</v>
      </c>
      <c r="AV40" s="6">
        <v>39572</v>
      </c>
      <c r="AW40" s="6">
        <v>39193</v>
      </c>
    </row>
    <row r="41" spans="1:49" s="6" customFormat="1">
      <c r="A41" s="39" t="s">
        <v>121</v>
      </c>
      <c r="B41" s="94">
        <v>1957</v>
      </c>
      <c r="C41" s="6">
        <v>2337</v>
      </c>
      <c r="D41" s="6">
        <v>2991</v>
      </c>
      <c r="E41" s="6">
        <v>3322</v>
      </c>
      <c r="F41" s="6">
        <v>3684</v>
      </c>
      <c r="G41" s="6">
        <v>4094</v>
      </c>
      <c r="H41" s="6">
        <v>4532</v>
      </c>
      <c r="I41" s="6">
        <v>5085</v>
      </c>
      <c r="J41" s="6">
        <v>5590</v>
      </c>
      <c r="K41" s="6">
        <v>5318</v>
      </c>
      <c r="L41" s="6">
        <v>5578</v>
      </c>
      <c r="M41" s="6">
        <v>6932</v>
      </c>
      <c r="N41" s="6">
        <v>7710</v>
      </c>
      <c r="O41" s="6">
        <v>9017</v>
      </c>
      <c r="P41" s="6">
        <v>9223</v>
      </c>
      <c r="Q41" s="6">
        <v>9266</v>
      </c>
      <c r="R41" s="6">
        <v>8723</v>
      </c>
      <c r="S41" s="6">
        <v>8681</v>
      </c>
      <c r="T41" s="124">
        <v>8949</v>
      </c>
      <c r="U41" s="124">
        <v>8902</v>
      </c>
      <c r="V41" s="6">
        <v>8947</v>
      </c>
      <c r="W41" s="6">
        <v>8851</v>
      </c>
      <c r="X41" s="6">
        <v>8770</v>
      </c>
      <c r="Y41" s="6">
        <v>9236</v>
      </c>
      <c r="Z41" s="124">
        <v>9589</v>
      </c>
      <c r="AA41" s="6">
        <v>10063</v>
      </c>
      <c r="AB41" s="6">
        <v>10688</v>
      </c>
      <c r="AC41" s="6">
        <v>10039</v>
      </c>
      <c r="AD41" s="6">
        <v>10747</v>
      </c>
      <c r="AE41" s="6">
        <v>10512</v>
      </c>
      <c r="AF41" s="6">
        <v>11174</v>
      </c>
      <c r="AG41" s="6">
        <v>10849</v>
      </c>
      <c r="AH41" s="6">
        <v>11891</v>
      </c>
      <c r="AI41" s="6">
        <v>12776</v>
      </c>
      <c r="AJ41" s="6">
        <v>13253</v>
      </c>
      <c r="AK41" s="6">
        <v>13836</v>
      </c>
      <c r="AL41" s="6">
        <v>14836</v>
      </c>
      <c r="AM41" s="6">
        <v>14110</v>
      </c>
      <c r="AN41" s="6">
        <v>14598</v>
      </c>
      <c r="AO41" s="6">
        <v>15005</v>
      </c>
      <c r="AP41" s="6">
        <v>16716</v>
      </c>
      <c r="AQ41" s="6">
        <v>18603</v>
      </c>
      <c r="AR41" s="6">
        <v>19430</v>
      </c>
      <c r="AS41" s="6">
        <v>18838</v>
      </c>
      <c r="AU41" s="6">
        <v>17243</v>
      </c>
      <c r="AV41" s="6">
        <v>14703</v>
      </c>
      <c r="AW41" s="6">
        <v>14436</v>
      </c>
    </row>
    <row r="42" spans="1:49" s="6" customFormat="1">
      <c r="A42" s="39" t="s">
        <v>118</v>
      </c>
      <c r="B42" s="94">
        <v>2760</v>
      </c>
      <c r="C42" s="6">
        <v>3366</v>
      </c>
      <c r="D42" s="6">
        <v>4492</v>
      </c>
      <c r="E42" s="6">
        <v>4044</v>
      </c>
      <c r="F42" s="6">
        <v>4109</v>
      </c>
      <c r="G42" s="6">
        <v>4210</v>
      </c>
      <c r="H42" s="6">
        <v>4550</v>
      </c>
      <c r="I42" s="6">
        <v>4647</v>
      </c>
      <c r="J42" s="6">
        <v>4711</v>
      </c>
      <c r="K42" s="6">
        <v>4740</v>
      </c>
      <c r="L42" s="6">
        <v>5127</v>
      </c>
      <c r="M42" s="6">
        <v>5603</v>
      </c>
      <c r="N42" s="6">
        <v>6200</v>
      </c>
      <c r="O42" s="6">
        <v>6852</v>
      </c>
      <c r="P42" s="6">
        <v>6831</v>
      </c>
      <c r="Q42" s="6">
        <v>6780</v>
      </c>
      <c r="R42" s="6">
        <v>7076</v>
      </c>
      <c r="S42" s="6">
        <v>7236</v>
      </c>
      <c r="T42" s="124">
        <v>7013</v>
      </c>
      <c r="U42" s="124">
        <v>8145</v>
      </c>
      <c r="V42" s="6">
        <v>7888</v>
      </c>
      <c r="W42" s="6">
        <v>8079</v>
      </c>
      <c r="X42" s="6">
        <v>8859</v>
      </c>
      <c r="Y42" s="6">
        <v>8344</v>
      </c>
      <c r="Z42" s="124">
        <v>8314</v>
      </c>
      <c r="AA42" s="6">
        <v>8191</v>
      </c>
      <c r="AB42" s="6">
        <v>8387</v>
      </c>
      <c r="AC42" s="6">
        <v>8777</v>
      </c>
      <c r="AD42" s="6">
        <v>8905</v>
      </c>
      <c r="AE42" s="6">
        <v>9303</v>
      </c>
      <c r="AF42" s="6">
        <v>9367</v>
      </c>
      <c r="AG42" s="6">
        <v>9387</v>
      </c>
      <c r="AH42" s="6">
        <v>9939</v>
      </c>
      <c r="AI42" s="6">
        <v>10518</v>
      </c>
      <c r="AJ42" s="6">
        <v>11076</v>
      </c>
      <c r="AK42" s="6">
        <v>12199</v>
      </c>
      <c r="AL42" s="6">
        <v>13837</v>
      </c>
      <c r="AM42" s="6">
        <v>14368</v>
      </c>
      <c r="AN42" s="6">
        <v>13537</v>
      </c>
      <c r="AO42" s="6">
        <v>13639</v>
      </c>
      <c r="AP42" s="6">
        <v>15834</v>
      </c>
      <c r="AQ42" s="6">
        <v>19290</v>
      </c>
      <c r="AR42" s="6">
        <v>20515</v>
      </c>
      <c r="AS42" s="6">
        <v>18767</v>
      </c>
      <c r="AU42" s="6">
        <v>16772</v>
      </c>
      <c r="AV42" s="6">
        <v>15639</v>
      </c>
      <c r="AW42" s="6">
        <v>15189</v>
      </c>
    </row>
    <row r="43" spans="1:49" s="6" customFormat="1">
      <c r="A43" s="39" t="s">
        <v>122</v>
      </c>
      <c r="B43" s="94">
        <v>2448</v>
      </c>
      <c r="C43" s="6">
        <v>3473</v>
      </c>
      <c r="D43" s="6">
        <v>3691</v>
      </c>
      <c r="E43" s="6">
        <v>3901</v>
      </c>
      <c r="F43" s="6">
        <v>4016</v>
      </c>
      <c r="G43" s="6">
        <v>4135</v>
      </c>
      <c r="H43" s="6">
        <v>4047</v>
      </c>
      <c r="I43" s="6">
        <v>4271</v>
      </c>
      <c r="J43" s="6">
        <v>4270</v>
      </c>
      <c r="K43" s="6">
        <v>4480</v>
      </c>
      <c r="L43" s="6">
        <v>4453</v>
      </c>
      <c r="M43" s="6">
        <v>4564</v>
      </c>
      <c r="N43" s="6">
        <v>5024</v>
      </c>
      <c r="O43" s="6">
        <v>4826</v>
      </c>
      <c r="P43" s="6">
        <v>5331</v>
      </c>
      <c r="Q43" s="6">
        <v>5263</v>
      </c>
      <c r="R43" s="6">
        <v>5012</v>
      </c>
      <c r="S43" s="6">
        <v>5410</v>
      </c>
      <c r="T43" s="124">
        <v>4759</v>
      </c>
      <c r="U43" s="124">
        <v>5171</v>
      </c>
      <c r="V43" s="6">
        <v>5547</v>
      </c>
      <c r="W43" s="6">
        <v>5821</v>
      </c>
      <c r="X43" s="6">
        <v>6371</v>
      </c>
      <c r="Y43" s="6">
        <v>6312</v>
      </c>
      <c r="Z43" s="124">
        <v>6716</v>
      </c>
      <c r="AA43" s="6">
        <v>6961</v>
      </c>
      <c r="AB43" s="6">
        <v>7281</v>
      </c>
      <c r="AC43" s="6">
        <v>7024</v>
      </c>
      <c r="AD43" s="6">
        <v>7163</v>
      </c>
      <c r="AE43" s="6">
        <v>6646</v>
      </c>
      <c r="AF43" s="6">
        <v>7288</v>
      </c>
      <c r="AG43" s="6">
        <v>7294</v>
      </c>
      <c r="AH43" s="6">
        <v>7209</v>
      </c>
      <c r="AI43" s="6">
        <v>7266</v>
      </c>
      <c r="AJ43" s="6">
        <v>7732</v>
      </c>
      <c r="AK43" s="6">
        <v>7954</v>
      </c>
      <c r="AL43" s="6">
        <v>7850</v>
      </c>
      <c r="AM43" s="6">
        <v>7845</v>
      </c>
      <c r="AN43" s="6">
        <v>8175</v>
      </c>
      <c r="AO43" s="6">
        <v>7842</v>
      </c>
      <c r="AP43" s="6">
        <v>8424</v>
      </c>
      <c r="AQ43" s="6">
        <v>9501</v>
      </c>
      <c r="AR43" s="6">
        <v>10218</v>
      </c>
      <c r="AS43" s="6">
        <v>10647</v>
      </c>
      <c r="AU43" s="6">
        <v>11124</v>
      </c>
      <c r="AV43" s="6">
        <v>10206</v>
      </c>
      <c r="AW43" s="6">
        <v>9936</v>
      </c>
    </row>
    <row r="44" spans="1:49" s="6" customFormat="1">
      <c r="A44" s="39" t="s">
        <v>125</v>
      </c>
      <c r="B44" s="94">
        <v>7980</v>
      </c>
      <c r="C44" s="6">
        <v>9869</v>
      </c>
      <c r="D44" s="6">
        <v>12200</v>
      </c>
      <c r="E44" s="6">
        <v>13730</v>
      </c>
      <c r="F44" s="6">
        <v>15273</v>
      </c>
      <c r="G44" s="6">
        <v>16223</v>
      </c>
      <c r="H44" s="6">
        <v>16482</v>
      </c>
      <c r="I44" s="6">
        <v>17624</v>
      </c>
      <c r="J44" s="6">
        <v>17890</v>
      </c>
      <c r="K44" s="6">
        <v>18547</v>
      </c>
      <c r="L44" s="6">
        <v>18312</v>
      </c>
      <c r="M44" s="6">
        <v>18938</v>
      </c>
      <c r="N44" s="6">
        <v>20351</v>
      </c>
      <c r="O44" s="6">
        <v>21918</v>
      </c>
      <c r="P44" s="6">
        <v>22702</v>
      </c>
      <c r="Q44" s="6">
        <v>22859</v>
      </c>
      <c r="R44" s="6">
        <v>21384</v>
      </c>
      <c r="S44" s="6">
        <v>21834</v>
      </c>
      <c r="T44" s="124">
        <v>19298</v>
      </c>
      <c r="U44" s="124">
        <v>20168</v>
      </c>
      <c r="V44" s="6">
        <v>21156</v>
      </c>
      <c r="W44" s="6">
        <v>22422</v>
      </c>
      <c r="X44" s="6">
        <v>23108</v>
      </c>
      <c r="Y44" s="6">
        <v>24231</v>
      </c>
      <c r="Z44" s="124">
        <v>24215</v>
      </c>
      <c r="AA44" s="6">
        <v>22696</v>
      </c>
      <c r="AB44" s="6">
        <v>21656</v>
      </c>
      <c r="AC44" s="6">
        <v>21934</v>
      </c>
      <c r="AD44" s="6">
        <v>20993</v>
      </c>
      <c r="AE44" s="6">
        <v>21731</v>
      </c>
      <c r="AF44" s="6">
        <v>18851</v>
      </c>
      <c r="AG44" s="6">
        <v>19534</v>
      </c>
      <c r="AH44" s="6">
        <v>18768</v>
      </c>
      <c r="AI44" s="6">
        <v>21179</v>
      </c>
      <c r="AJ44" s="6">
        <v>21836</v>
      </c>
      <c r="AK44" s="6">
        <v>23509</v>
      </c>
      <c r="AL44" s="6">
        <v>24373</v>
      </c>
      <c r="AM44" s="6">
        <v>25191</v>
      </c>
      <c r="AN44" s="6">
        <v>26443</v>
      </c>
      <c r="AO44" s="6">
        <v>27142</v>
      </c>
      <c r="AP44" s="6">
        <v>29291</v>
      </c>
      <c r="AQ44" s="6">
        <v>30859</v>
      </c>
      <c r="AR44" s="6">
        <v>33322</v>
      </c>
      <c r="AS44" s="6">
        <v>34192</v>
      </c>
      <c r="AU44" s="6">
        <v>32572</v>
      </c>
      <c r="AV44" s="6">
        <v>29787</v>
      </c>
      <c r="AW44" s="6">
        <v>28282</v>
      </c>
    </row>
    <row r="45" spans="1:49" s="6" customFormat="1">
      <c r="A45" s="39" t="s">
        <v>126</v>
      </c>
      <c r="B45" s="94">
        <v>4016</v>
      </c>
      <c r="C45" s="6">
        <v>4232</v>
      </c>
      <c r="D45" s="6">
        <v>4880</v>
      </c>
      <c r="E45" s="6">
        <v>5310</v>
      </c>
      <c r="F45" s="6">
        <v>5590</v>
      </c>
      <c r="G45" s="6">
        <v>5432</v>
      </c>
      <c r="H45" s="6">
        <v>5559</v>
      </c>
      <c r="I45" s="6">
        <v>5699</v>
      </c>
      <c r="J45" s="6">
        <v>5995</v>
      </c>
      <c r="K45" s="6">
        <v>5740</v>
      </c>
      <c r="L45" s="6">
        <v>6257</v>
      </c>
      <c r="M45" s="6">
        <v>6590</v>
      </c>
      <c r="N45" s="6">
        <v>7043</v>
      </c>
      <c r="O45" s="6">
        <v>6774</v>
      </c>
      <c r="P45" s="6">
        <v>6921</v>
      </c>
      <c r="Q45" s="6">
        <v>6942</v>
      </c>
      <c r="R45" s="6">
        <v>6443</v>
      </c>
      <c r="S45" s="6">
        <v>7527</v>
      </c>
      <c r="T45" s="124">
        <v>7591</v>
      </c>
      <c r="U45" s="124">
        <v>6947</v>
      </c>
      <c r="V45" s="6">
        <v>7674</v>
      </c>
      <c r="W45" s="6">
        <v>8008</v>
      </c>
      <c r="X45" s="6">
        <v>9183</v>
      </c>
      <c r="Y45" s="6">
        <v>9766</v>
      </c>
      <c r="Z45" s="124">
        <v>9708</v>
      </c>
      <c r="AA45" s="6">
        <v>12216</v>
      </c>
      <c r="AB45" s="6">
        <v>11513</v>
      </c>
      <c r="AC45" s="6">
        <v>10644</v>
      </c>
      <c r="AD45" s="6">
        <v>11052</v>
      </c>
      <c r="AE45" s="6">
        <v>10477</v>
      </c>
      <c r="AF45" s="6">
        <v>11030</v>
      </c>
      <c r="AG45" s="6">
        <v>10898</v>
      </c>
      <c r="AH45" s="6">
        <v>11842</v>
      </c>
      <c r="AI45" s="6">
        <v>13302</v>
      </c>
      <c r="AJ45" s="6">
        <v>14188</v>
      </c>
      <c r="AK45" s="6">
        <v>15469</v>
      </c>
      <c r="AL45" s="6">
        <v>15125</v>
      </c>
      <c r="AM45" s="6">
        <v>15817</v>
      </c>
      <c r="AN45" s="6">
        <v>16592</v>
      </c>
      <c r="AO45" s="6">
        <v>17085</v>
      </c>
      <c r="AP45" s="6">
        <v>18453</v>
      </c>
      <c r="AQ45" s="6">
        <v>20480</v>
      </c>
      <c r="AR45" s="6">
        <v>20480</v>
      </c>
      <c r="AS45" s="6">
        <v>21664</v>
      </c>
      <c r="AU45" s="6">
        <v>20141</v>
      </c>
      <c r="AV45" s="6">
        <v>19526</v>
      </c>
      <c r="AW45" s="6">
        <v>17927</v>
      </c>
    </row>
    <row r="46" spans="1:49" s="6" customFormat="1">
      <c r="A46" s="39" t="s">
        <v>127</v>
      </c>
      <c r="B46" s="94">
        <v>3239</v>
      </c>
      <c r="C46" s="6">
        <v>4201</v>
      </c>
      <c r="D46" s="6">
        <v>4568</v>
      </c>
      <c r="E46" s="6">
        <v>5150</v>
      </c>
      <c r="F46" s="6">
        <v>5090</v>
      </c>
      <c r="G46" s="6">
        <v>5106</v>
      </c>
      <c r="H46" s="6">
        <v>7564</v>
      </c>
      <c r="I46" s="6">
        <v>7101</v>
      </c>
      <c r="J46" s="6">
        <v>6719</v>
      </c>
      <c r="K46" s="6">
        <v>6658</v>
      </c>
      <c r="L46" s="6">
        <v>5983</v>
      </c>
      <c r="M46" s="6">
        <v>6344</v>
      </c>
      <c r="N46" s="6">
        <v>6644</v>
      </c>
      <c r="O46" s="6">
        <v>6993</v>
      </c>
      <c r="P46" s="6">
        <v>7106</v>
      </c>
      <c r="Q46" s="6">
        <v>7207</v>
      </c>
      <c r="R46" s="6">
        <v>6791</v>
      </c>
      <c r="S46" s="6">
        <v>6492</v>
      </c>
      <c r="T46" s="124">
        <v>6711</v>
      </c>
      <c r="U46" s="124">
        <v>6898</v>
      </c>
      <c r="V46" s="6">
        <v>6903</v>
      </c>
      <c r="W46" s="6">
        <v>7563</v>
      </c>
      <c r="X46" s="6">
        <v>7818</v>
      </c>
      <c r="Y46" s="6">
        <v>8023</v>
      </c>
      <c r="Z46" s="124">
        <v>8424</v>
      </c>
      <c r="AA46" s="6">
        <v>8928</v>
      </c>
      <c r="AB46" s="6">
        <v>10084</v>
      </c>
      <c r="AC46" s="6">
        <v>9664</v>
      </c>
      <c r="AD46" s="6">
        <v>10207</v>
      </c>
      <c r="AE46" s="6">
        <v>10356</v>
      </c>
      <c r="AF46" s="6">
        <v>10603</v>
      </c>
      <c r="AG46" s="6">
        <v>10671</v>
      </c>
      <c r="AH46" s="6">
        <v>10948</v>
      </c>
      <c r="AI46" s="6">
        <v>12004</v>
      </c>
      <c r="AJ46" s="6">
        <v>12388</v>
      </c>
      <c r="AK46" s="6">
        <v>13451</v>
      </c>
      <c r="AL46" s="6">
        <v>13947</v>
      </c>
      <c r="AM46" s="6">
        <v>13994</v>
      </c>
      <c r="AN46" s="6">
        <v>14445</v>
      </c>
      <c r="AO46" s="6">
        <v>14703</v>
      </c>
      <c r="AP46" s="6">
        <v>15712</v>
      </c>
      <c r="AQ46" s="6">
        <v>18050</v>
      </c>
      <c r="AR46" s="6">
        <v>19215</v>
      </c>
      <c r="AS46" s="6">
        <v>19109</v>
      </c>
      <c r="AU46" s="6">
        <v>18750</v>
      </c>
      <c r="AV46" s="6">
        <v>18228</v>
      </c>
      <c r="AW46" s="6">
        <v>17258</v>
      </c>
    </row>
    <row r="47" spans="1:49" s="6" customFormat="1">
      <c r="A47" s="39" t="s">
        <v>131</v>
      </c>
      <c r="B47" s="94">
        <v>558</v>
      </c>
      <c r="C47" s="6">
        <v>723</v>
      </c>
      <c r="D47" s="6">
        <v>1038</v>
      </c>
      <c r="E47" s="6">
        <v>1190</v>
      </c>
      <c r="F47" s="6">
        <v>1212</v>
      </c>
      <c r="G47" s="6">
        <v>1598</v>
      </c>
      <c r="H47" s="6">
        <v>1805</v>
      </c>
      <c r="I47" s="6">
        <v>1952</v>
      </c>
      <c r="J47" s="6">
        <v>2123</v>
      </c>
      <c r="K47" s="6">
        <v>2148</v>
      </c>
      <c r="L47" s="6">
        <v>2244</v>
      </c>
      <c r="M47" s="6">
        <v>2331</v>
      </c>
      <c r="N47" s="6">
        <v>2531</v>
      </c>
      <c r="O47" s="6">
        <v>2813</v>
      </c>
      <c r="P47" s="6">
        <v>2986</v>
      </c>
      <c r="Q47" s="6">
        <v>2883</v>
      </c>
      <c r="R47" s="6">
        <v>2805</v>
      </c>
      <c r="S47" s="6">
        <v>2918</v>
      </c>
      <c r="T47" s="124">
        <v>2546</v>
      </c>
      <c r="U47" s="124">
        <v>2734</v>
      </c>
      <c r="V47" s="6">
        <v>2678</v>
      </c>
      <c r="W47" s="6">
        <v>2965</v>
      </c>
      <c r="X47" s="6">
        <v>3730</v>
      </c>
      <c r="Y47" s="6">
        <v>2494</v>
      </c>
      <c r="Z47" s="124">
        <v>3189</v>
      </c>
      <c r="AA47" s="6">
        <v>3365</v>
      </c>
      <c r="AB47" s="6">
        <v>3196</v>
      </c>
      <c r="AC47" s="6">
        <v>3429</v>
      </c>
      <c r="AD47" s="6">
        <v>3745</v>
      </c>
      <c r="AE47" s="6">
        <v>3579</v>
      </c>
      <c r="AF47" s="6">
        <v>3893</v>
      </c>
      <c r="AG47" s="6">
        <v>3988</v>
      </c>
      <c r="AH47" s="6">
        <v>4206</v>
      </c>
      <c r="AI47" s="6">
        <v>4366</v>
      </c>
      <c r="AJ47" s="6">
        <v>4295</v>
      </c>
      <c r="AK47" s="6">
        <v>4630</v>
      </c>
      <c r="AL47" s="6">
        <v>4909</v>
      </c>
      <c r="AM47" s="6">
        <v>4918</v>
      </c>
      <c r="AN47" s="6">
        <v>4836</v>
      </c>
      <c r="AO47" s="6">
        <v>4763</v>
      </c>
      <c r="AP47" s="6">
        <v>4860</v>
      </c>
      <c r="AQ47" s="6">
        <v>5351</v>
      </c>
      <c r="AR47" s="6">
        <v>5761</v>
      </c>
      <c r="AS47" s="6">
        <v>5961</v>
      </c>
      <c r="AU47" s="6">
        <v>5712</v>
      </c>
      <c r="AV47" s="6">
        <v>5144</v>
      </c>
      <c r="AW47" s="6">
        <v>5067</v>
      </c>
    </row>
    <row r="48" spans="1:49" s="6" customFormat="1">
      <c r="A48" s="39" t="s">
        <v>130</v>
      </c>
      <c r="B48" s="94">
        <v>938</v>
      </c>
      <c r="C48" s="6">
        <v>1028</v>
      </c>
      <c r="D48" s="6">
        <v>1021</v>
      </c>
      <c r="E48" s="6">
        <v>1163</v>
      </c>
      <c r="F48" s="6">
        <v>1297</v>
      </c>
      <c r="G48" s="6">
        <v>1410</v>
      </c>
      <c r="H48" s="6">
        <v>1476</v>
      </c>
      <c r="I48" s="6">
        <v>1550</v>
      </c>
      <c r="J48" s="6">
        <v>1674</v>
      </c>
      <c r="K48" s="6">
        <v>1716</v>
      </c>
      <c r="L48" s="6">
        <v>1621</v>
      </c>
      <c r="M48" s="6">
        <v>1695</v>
      </c>
      <c r="N48" s="6">
        <v>1711</v>
      </c>
      <c r="O48" s="6">
        <v>1724</v>
      </c>
      <c r="P48" s="6">
        <v>1734</v>
      </c>
      <c r="Q48" s="6">
        <v>1755</v>
      </c>
      <c r="R48" s="6">
        <v>1941</v>
      </c>
      <c r="S48" s="6">
        <v>1980</v>
      </c>
      <c r="T48" s="124">
        <v>1886</v>
      </c>
      <c r="U48" s="124">
        <v>1797</v>
      </c>
      <c r="V48" s="6">
        <v>1875</v>
      </c>
      <c r="W48" s="6">
        <v>1784</v>
      </c>
      <c r="X48" s="6">
        <v>1615</v>
      </c>
      <c r="Y48" s="6">
        <v>1696</v>
      </c>
      <c r="Z48" s="124">
        <v>1718</v>
      </c>
      <c r="AA48" s="6">
        <v>1738</v>
      </c>
      <c r="AB48" s="6">
        <v>2027</v>
      </c>
      <c r="AC48" s="6">
        <v>1932</v>
      </c>
      <c r="AD48" s="6">
        <v>2030</v>
      </c>
      <c r="AE48" s="6">
        <v>1859</v>
      </c>
      <c r="AF48" s="6">
        <v>2051</v>
      </c>
      <c r="AG48" s="6">
        <v>2044</v>
      </c>
      <c r="AH48" s="6">
        <v>1884</v>
      </c>
      <c r="AI48" s="6">
        <v>1931</v>
      </c>
      <c r="AJ48" s="6">
        <v>2172</v>
      </c>
      <c r="AK48" s="6">
        <v>2213</v>
      </c>
      <c r="AL48" s="6">
        <v>2138</v>
      </c>
      <c r="AM48" s="6">
        <v>2310</v>
      </c>
      <c r="AN48" s="6">
        <v>2211</v>
      </c>
      <c r="AO48" s="6">
        <v>2326</v>
      </c>
      <c r="AP48" s="6">
        <v>2411</v>
      </c>
      <c r="AQ48" s="6">
        <v>2552</v>
      </c>
      <c r="AR48" s="6">
        <v>2251</v>
      </c>
      <c r="AS48" s="6">
        <v>2386</v>
      </c>
      <c r="AU48" s="6">
        <v>2309</v>
      </c>
      <c r="AV48" s="6">
        <v>2222</v>
      </c>
      <c r="AW48" s="6">
        <v>2349</v>
      </c>
    </row>
    <row r="49" spans="1:49" s="6" customFormat="1">
      <c r="A49" s="39" t="s">
        <v>137</v>
      </c>
      <c r="B49" s="94">
        <v>4633</v>
      </c>
      <c r="C49" s="6">
        <v>5684</v>
      </c>
      <c r="D49" s="6">
        <v>7263</v>
      </c>
      <c r="E49" s="6">
        <v>9506</v>
      </c>
      <c r="F49" s="6">
        <v>11489</v>
      </c>
      <c r="G49" s="6">
        <v>12385</v>
      </c>
      <c r="H49" s="6">
        <v>12493</v>
      </c>
      <c r="I49" s="6">
        <v>13548</v>
      </c>
      <c r="J49" s="6">
        <v>14319</v>
      </c>
      <c r="K49" s="6">
        <v>14311</v>
      </c>
      <c r="L49" s="6">
        <v>14214</v>
      </c>
      <c r="M49" s="6">
        <v>15455</v>
      </c>
      <c r="N49" s="6">
        <v>17112</v>
      </c>
      <c r="O49" s="6">
        <v>18225</v>
      </c>
      <c r="P49" s="6">
        <v>18880</v>
      </c>
      <c r="Q49" s="6">
        <v>18940</v>
      </c>
      <c r="R49" s="6">
        <v>18351</v>
      </c>
      <c r="S49" s="6">
        <v>17850</v>
      </c>
      <c r="T49" s="124">
        <v>17651</v>
      </c>
      <c r="U49" s="124">
        <v>18827</v>
      </c>
      <c r="V49" s="6">
        <v>17552</v>
      </c>
      <c r="W49" s="6">
        <v>18446</v>
      </c>
      <c r="X49" s="6">
        <v>19589</v>
      </c>
      <c r="Y49" s="6">
        <v>19881</v>
      </c>
      <c r="Z49" s="124">
        <v>20117</v>
      </c>
      <c r="AA49" s="6">
        <v>20183</v>
      </c>
      <c r="AB49" s="6">
        <v>20625</v>
      </c>
      <c r="AC49" s="6">
        <v>21542</v>
      </c>
      <c r="AD49" s="6">
        <v>19904</v>
      </c>
      <c r="AE49" s="6">
        <v>19397</v>
      </c>
      <c r="AF49" s="6">
        <v>19393</v>
      </c>
      <c r="AG49" s="6">
        <v>19289</v>
      </c>
      <c r="AH49" s="6">
        <v>19888</v>
      </c>
      <c r="AI49" s="6">
        <v>21063</v>
      </c>
      <c r="AJ49" s="6">
        <v>22296</v>
      </c>
      <c r="AK49" s="6">
        <v>22674</v>
      </c>
      <c r="AL49" s="6">
        <v>24205</v>
      </c>
      <c r="AM49" s="6">
        <v>24175</v>
      </c>
      <c r="AN49" s="6">
        <v>26830</v>
      </c>
      <c r="AO49" s="6">
        <v>27965</v>
      </c>
      <c r="AP49" s="6">
        <v>29331</v>
      </c>
      <c r="AQ49" s="6">
        <v>33479</v>
      </c>
      <c r="AR49" s="6">
        <v>35871</v>
      </c>
      <c r="AS49" s="6">
        <v>33569</v>
      </c>
      <c r="AU49" s="6">
        <v>33386</v>
      </c>
      <c r="AV49" s="6">
        <v>31495</v>
      </c>
      <c r="AW49" s="6">
        <v>31374</v>
      </c>
    </row>
    <row r="50" spans="1:49" s="6" customFormat="1">
      <c r="A50" s="39" t="s">
        <v>141</v>
      </c>
      <c r="B50" s="94">
        <v>311</v>
      </c>
      <c r="C50" s="6">
        <v>418</v>
      </c>
      <c r="D50" s="6">
        <v>406</v>
      </c>
      <c r="E50" s="6">
        <v>497</v>
      </c>
      <c r="F50" s="6">
        <v>551</v>
      </c>
      <c r="G50" s="6">
        <v>621</v>
      </c>
      <c r="H50" s="6">
        <v>743</v>
      </c>
      <c r="I50" s="6">
        <v>955</v>
      </c>
      <c r="J50" s="6">
        <v>1055</v>
      </c>
      <c r="K50" s="6">
        <v>1214</v>
      </c>
      <c r="L50" s="6">
        <v>1170</v>
      </c>
      <c r="M50" s="6">
        <v>1272</v>
      </c>
      <c r="N50" s="6">
        <v>1279</v>
      </c>
      <c r="O50" s="6">
        <v>1331</v>
      </c>
      <c r="P50" s="6">
        <v>1369</v>
      </c>
      <c r="Q50" s="6">
        <v>1045</v>
      </c>
      <c r="R50" s="6">
        <v>1081</v>
      </c>
      <c r="S50" s="6">
        <v>793</v>
      </c>
      <c r="T50" s="124">
        <v>831</v>
      </c>
      <c r="U50" s="124">
        <v>783</v>
      </c>
      <c r="V50" s="6">
        <v>791</v>
      </c>
      <c r="W50" s="6">
        <v>906</v>
      </c>
      <c r="X50" s="6">
        <v>798</v>
      </c>
      <c r="Y50" s="6">
        <v>848</v>
      </c>
      <c r="Z50" s="124">
        <v>873</v>
      </c>
      <c r="AA50" s="6">
        <v>834</v>
      </c>
      <c r="AB50" s="6">
        <v>1974</v>
      </c>
      <c r="AC50" s="6">
        <v>1622</v>
      </c>
      <c r="AD50" s="6">
        <v>1674</v>
      </c>
      <c r="AE50" s="6">
        <v>1695</v>
      </c>
      <c r="AF50" s="6">
        <v>1833</v>
      </c>
      <c r="AG50" s="6">
        <v>1754</v>
      </c>
      <c r="AH50" s="6">
        <v>1856</v>
      </c>
      <c r="AI50" s="6">
        <v>2200</v>
      </c>
      <c r="AJ50" s="6">
        <v>2508</v>
      </c>
      <c r="AK50" s="6">
        <v>2225</v>
      </c>
      <c r="AL50" s="6">
        <v>2315</v>
      </c>
      <c r="AM50" s="6">
        <v>2268</v>
      </c>
      <c r="AN50" s="6">
        <v>2045</v>
      </c>
      <c r="AO50" s="6">
        <v>1964</v>
      </c>
      <c r="AP50" s="6">
        <v>1952</v>
      </c>
      <c r="AQ50" s="6">
        <v>2601</v>
      </c>
      <c r="AR50" s="6">
        <v>2699</v>
      </c>
      <c r="AS50" s="6">
        <v>2610</v>
      </c>
      <c r="AU50" s="6">
        <v>2479</v>
      </c>
      <c r="AV50" s="6">
        <v>2236</v>
      </c>
      <c r="AW50" s="6">
        <v>2319</v>
      </c>
    </row>
    <row r="51" spans="1:49" s="6" customFormat="1">
      <c r="A51" s="40" t="s">
        <v>144</v>
      </c>
      <c r="B51" s="95">
        <v>2287</v>
      </c>
      <c r="C51" s="7">
        <v>2797</v>
      </c>
      <c r="D51" s="7">
        <v>3604</v>
      </c>
      <c r="E51" s="7">
        <v>4042</v>
      </c>
      <c r="F51" s="7">
        <v>4451</v>
      </c>
      <c r="G51" s="7">
        <v>5232</v>
      </c>
      <c r="H51" s="7">
        <v>5859</v>
      </c>
      <c r="I51" s="7">
        <v>6374</v>
      </c>
      <c r="J51" s="7">
        <v>6770</v>
      </c>
      <c r="K51" s="7">
        <v>7097</v>
      </c>
      <c r="L51" s="7">
        <v>6525</v>
      </c>
      <c r="M51" s="7">
        <v>7222</v>
      </c>
      <c r="N51" s="7">
        <v>7774</v>
      </c>
      <c r="O51" s="7">
        <v>8735</v>
      </c>
      <c r="P51" s="7">
        <v>9355</v>
      </c>
      <c r="Q51" s="7">
        <v>9171</v>
      </c>
      <c r="R51" s="7">
        <v>8921</v>
      </c>
      <c r="S51" s="7">
        <v>8723</v>
      </c>
      <c r="T51" s="125">
        <v>8570</v>
      </c>
      <c r="U51" s="125">
        <v>8658</v>
      </c>
      <c r="V51" s="7">
        <v>8537</v>
      </c>
      <c r="W51" s="7">
        <v>9049</v>
      </c>
      <c r="X51" s="7">
        <v>9622</v>
      </c>
      <c r="Y51" s="7">
        <v>9481</v>
      </c>
      <c r="Z51" s="125">
        <v>9394</v>
      </c>
      <c r="AA51" s="7">
        <v>9262</v>
      </c>
      <c r="AB51" s="7">
        <v>9165</v>
      </c>
      <c r="AC51" s="7">
        <v>9468</v>
      </c>
      <c r="AD51" s="7">
        <v>9386</v>
      </c>
      <c r="AE51" s="7">
        <v>9233</v>
      </c>
      <c r="AF51" s="7">
        <v>9381</v>
      </c>
      <c r="AG51" s="7">
        <v>9458</v>
      </c>
      <c r="AH51" s="7">
        <v>10450</v>
      </c>
      <c r="AI51" s="7">
        <v>10694</v>
      </c>
      <c r="AJ51" s="7">
        <v>11340</v>
      </c>
      <c r="AK51" s="7">
        <v>11705</v>
      </c>
      <c r="AL51" s="7">
        <v>11695</v>
      </c>
      <c r="AM51" s="7">
        <v>11787</v>
      </c>
      <c r="AN51" s="7">
        <v>11884</v>
      </c>
      <c r="AO51" s="7">
        <v>12208</v>
      </c>
      <c r="AP51" s="7">
        <v>12751</v>
      </c>
      <c r="AQ51" s="7">
        <v>15012</v>
      </c>
      <c r="AR51" s="6">
        <v>16291</v>
      </c>
      <c r="AS51" s="6">
        <v>15528</v>
      </c>
      <c r="AU51" s="6">
        <v>14510</v>
      </c>
      <c r="AV51" s="6">
        <v>13929</v>
      </c>
      <c r="AW51" s="6">
        <v>12921</v>
      </c>
    </row>
    <row r="52" spans="1:49">
      <c r="A52" s="46" t="s">
        <v>187</v>
      </c>
      <c r="B52" s="93">
        <f t="shared" ref="B52:AN52" si="34">SUM(B54:B62)</f>
        <v>52840</v>
      </c>
      <c r="C52" s="52">
        <f t="shared" si="34"/>
        <v>62760</v>
      </c>
      <c r="D52" s="52">
        <f t="shared" si="34"/>
        <v>71017</v>
      </c>
      <c r="E52" s="52">
        <f t="shared" si="34"/>
        <v>76066</v>
      </c>
      <c r="F52" s="52">
        <f t="shared" si="34"/>
        <v>86505</v>
      </c>
      <c r="G52" s="52">
        <f t="shared" si="34"/>
        <v>91104</v>
      </c>
      <c r="H52" s="52">
        <f t="shared" si="34"/>
        <v>97674</v>
      </c>
      <c r="I52" s="52">
        <f t="shared" si="34"/>
        <v>101452</v>
      </c>
      <c r="J52" s="52">
        <f t="shared" si="34"/>
        <v>101630</v>
      </c>
      <c r="K52" s="52">
        <f t="shared" si="34"/>
        <v>98689</v>
      </c>
      <c r="L52" s="52">
        <f t="shared" si="34"/>
        <v>97916</v>
      </c>
      <c r="M52" s="52">
        <f t="shared" si="34"/>
        <v>102950</v>
      </c>
      <c r="N52" s="52">
        <f t="shared" si="34"/>
        <v>104984</v>
      </c>
      <c r="O52" s="52">
        <f t="shared" si="34"/>
        <v>108346</v>
      </c>
      <c r="P52" s="52">
        <f t="shared" si="34"/>
        <v>110687</v>
      </c>
      <c r="Q52" s="52">
        <f t="shared" si="34"/>
        <v>109315</v>
      </c>
      <c r="R52" s="52">
        <f t="shared" si="34"/>
        <v>107191</v>
      </c>
      <c r="S52" s="52">
        <f t="shared" si="34"/>
        <v>103929</v>
      </c>
      <c r="T52" s="52">
        <f t="shared" si="34"/>
        <v>101631</v>
      </c>
      <c r="U52" s="52">
        <f t="shared" si="34"/>
        <v>98326</v>
      </c>
      <c r="V52" s="52">
        <f t="shared" si="34"/>
        <v>103912</v>
      </c>
      <c r="W52" s="52">
        <f t="shared" si="34"/>
        <v>109472</v>
      </c>
      <c r="X52" s="52">
        <f t="shared" si="34"/>
        <v>115464</v>
      </c>
      <c r="Y52" s="52">
        <f t="shared" si="34"/>
        <v>115427</v>
      </c>
      <c r="Z52" s="52">
        <f t="shared" si="34"/>
        <v>116768</v>
      </c>
      <c r="AA52" s="52">
        <f t="shared" si="34"/>
        <v>116879</v>
      </c>
      <c r="AB52" s="52">
        <f t="shared" si="34"/>
        <v>117420</v>
      </c>
      <c r="AC52" s="52">
        <f t="shared" si="34"/>
        <v>117738</v>
      </c>
      <c r="AD52" s="52">
        <f t="shared" si="34"/>
        <v>112572</v>
      </c>
      <c r="AE52" s="52">
        <f t="shared" si="34"/>
        <v>111596</v>
      </c>
      <c r="AF52" s="52">
        <f t="shared" si="34"/>
        <v>112082</v>
      </c>
      <c r="AG52" s="52">
        <f t="shared" si="34"/>
        <v>111541</v>
      </c>
      <c r="AH52" s="52">
        <f t="shared" si="34"/>
        <v>116251</v>
      </c>
      <c r="AI52" s="52">
        <f t="shared" si="34"/>
        <v>116557</v>
      </c>
      <c r="AJ52" s="52">
        <f>SUM(AJ54:AJ62)</f>
        <v>120998</v>
      </c>
      <c r="AK52" s="52">
        <f t="shared" si="34"/>
        <v>124555</v>
      </c>
      <c r="AL52" s="52">
        <f t="shared" si="34"/>
        <v>126085</v>
      </c>
      <c r="AM52" s="52">
        <f t="shared" si="34"/>
        <v>126606</v>
      </c>
      <c r="AN52" s="52">
        <f t="shared" si="34"/>
        <v>128082</v>
      </c>
      <c r="AO52" s="52">
        <f t="shared" ref="AO52:AP52" si="35">SUM(AO54:AO62)</f>
        <v>131279</v>
      </c>
      <c r="AP52" s="52">
        <f t="shared" si="35"/>
        <v>136714</v>
      </c>
      <c r="AQ52" s="52">
        <f t="shared" ref="AQ52:AR52" si="36">SUM(AQ54:AQ62)</f>
        <v>143967</v>
      </c>
      <c r="AR52" s="196">
        <f t="shared" si="36"/>
        <v>149437</v>
      </c>
      <c r="AS52" s="196">
        <f t="shared" ref="AS52:AU52" si="37">SUM(AS54:AS62)</f>
        <v>147177</v>
      </c>
      <c r="AT52" s="196">
        <f t="shared" si="37"/>
        <v>0</v>
      </c>
      <c r="AU52" s="196">
        <f t="shared" si="37"/>
        <v>148427</v>
      </c>
      <c r="AV52" s="196">
        <f t="shared" ref="AV52:AW52" si="38">SUM(AV54:AV62)</f>
        <v>145495</v>
      </c>
      <c r="AW52" s="196">
        <f t="shared" si="38"/>
        <v>141873</v>
      </c>
    </row>
    <row r="53" spans="1:49">
      <c r="A53" s="47" t="s">
        <v>189</v>
      </c>
      <c r="B53" s="105">
        <f t="shared" ref="B53:AN53" si="39">(B52/B$4)*100</f>
        <v>25.6476218674614</v>
      </c>
      <c r="C53" s="53">
        <f t="shared" si="39"/>
        <v>24.874064150988264</v>
      </c>
      <c r="D53" s="53">
        <f t="shared" si="39"/>
        <v>24.319724396775495</v>
      </c>
      <c r="E53" s="53">
        <f t="shared" si="39"/>
        <v>24.058271711146396</v>
      </c>
      <c r="F53" s="53">
        <f t="shared" si="39"/>
        <v>25.152359242158152</v>
      </c>
      <c r="G53" s="53">
        <f t="shared" si="39"/>
        <v>25.294651707105793</v>
      </c>
      <c r="H53" s="53">
        <f t="shared" si="39"/>
        <v>24.95159073607627</v>
      </c>
      <c r="I53" s="53">
        <f t="shared" si="39"/>
        <v>24.985284954697363</v>
      </c>
      <c r="J53" s="53">
        <f t="shared" si="39"/>
        <v>24.788046712650853</v>
      </c>
      <c r="K53" s="53">
        <f t="shared" si="39"/>
        <v>24.711231968430198</v>
      </c>
      <c r="L53" s="53">
        <f t="shared" si="39"/>
        <v>24.652119509253733</v>
      </c>
      <c r="M53" s="53">
        <f t="shared" si="39"/>
        <v>24.966170172519995</v>
      </c>
      <c r="N53" s="53">
        <f t="shared" si="39"/>
        <v>24.405405342576255</v>
      </c>
      <c r="O53" s="53">
        <f t="shared" si="39"/>
        <v>24.369320737741791</v>
      </c>
      <c r="P53" s="53">
        <f t="shared" si="39"/>
        <v>24.750011180179776</v>
      </c>
      <c r="Q53" s="53">
        <f t="shared" si="39"/>
        <v>24.389346017920253</v>
      </c>
      <c r="R53" s="53">
        <f t="shared" si="39"/>
        <v>24.540007921227286</v>
      </c>
      <c r="S53" s="53">
        <f t="shared" si="39"/>
        <v>24.332506087282262</v>
      </c>
      <c r="T53" s="53">
        <f t="shared" si="39"/>
        <v>23.81076218055048</v>
      </c>
      <c r="U53" s="53">
        <f t="shared" si="39"/>
        <v>22.931252419621909</v>
      </c>
      <c r="V53" s="53">
        <f t="shared" si="39"/>
        <v>23.296878713281945</v>
      </c>
      <c r="W53" s="53">
        <f t="shared" si="39"/>
        <v>23.186441252345713</v>
      </c>
      <c r="X53" s="53">
        <f t="shared" si="39"/>
        <v>23.373042782967783</v>
      </c>
      <c r="Y53" s="53">
        <f t="shared" si="39"/>
        <v>22.878124194795156</v>
      </c>
      <c r="Z53" s="53">
        <f t="shared" si="39"/>
        <v>22.471719827105087</v>
      </c>
      <c r="AA53" s="53">
        <f t="shared" si="39"/>
        <v>22.148171168473834</v>
      </c>
      <c r="AB53" s="53">
        <f t="shared" si="39"/>
        <v>21.600759393074217</v>
      </c>
      <c r="AC53" s="53">
        <f t="shared" si="39"/>
        <v>21.029937895077154</v>
      </c>
      <c r="AD53" s="53">
        <f t="shared" si="39"/>
        <v>20.154147756263932</v>
      </c>
      <c r="AE53" s="53">
        <f t="shared" si="39"/>
        <v>19.929494208452837</v>
      </c>
      <c r="AF53" s="53">
        <f t="shared" si="39"/>
        <v>19.839874817013701</v>
      </c>
      <c r="AG53" s="53">
        <f t="shared" si="39"/>
        <v>19.268914168243025</v>
      </c>
      <c r="AH53" s="53">
        <f t="shared" si="39"/>
        <v>19.53361685539199</v>
      </c>
      <c r="AI53" s="53">
        <f t="shared" si="39"/>
        <v>18.3839209105133</v>
      </c>
      <c r="AJ53" s="53">
        <f>(AJ52/AJ$4)*100</f>
        <v>18.204166867266864</v>
      </c>
      <c r="AK53" s="53">
        <f t="shared" si="39"/>
        <v>17.878879223724628</v>
      </c>
      <c r="AL53" s="53">
        <f t="shared" si="39"/>
        <v>17.848876632743632</v>
      </c>
      <c r="AM53" s="53">
        <f t="shared" si="39"/>
        <v>17.388211186709775</v>
      </c>
      <c r="AN53" s="53">
        <f t="shared" si="39"/>
        <v>17.073866514522155</v>
      </c>
      <c r="AO53" s="53">
        <f t="shared" ref="AO53:AP53" si="40">(AO52/AO$4)*100</f>
        <v>16.674054551805163</v>
      </c>
      <c r="AP53" s="53">
        <f t="shared" si="40"/>
        <v>16.139748590425281</v>
      </c>
      <c r="AQ53" s="53">
        <f t="shared" ref="AQ53:AR53" si="41">(AQ52/AQ$4)*100</f>
        <v>16.204215412390514</v>
      </c>
      <c r="AR53" s="53">
        <f t="shared" si="41"/>
        <v>14.885527359080713</v>
      </c>
      <c r="AS53" s="53">
        <f t="shared" ref="AS53:AU53" si="42">(AS52/AS$4)*100</f>
        <v>14.764977457819938</v>
      </c>
      <c r="AT53" s="53" t="e">
        <f t="shared" si="42"/>
        <v>#DIV/0!</v>
      </c>
      <c r="AU53" s="53">
        <f t="shared" si="42"/>
        <v>14.818353445289389</v>
      </c>
      <c r="AV53" s="53">
        <f t="shared" ref="AV53:AW53" si="43">(AV52/AV$4)*100</f>
        <v>14.580541973862355</v>
      </c>
      <c r="AW53" s="53">
        <f t="shared" si="43"/>
        <v>14.248010773907621</v>
      </c>
    </row>
    <row r="54" spans="1:49" s="6" customFormat="1">
      <c r="A54" s="39" t="s">
        <v>116</v>
      </c>
      <c r="B54" s="94">
        <v>2650</v>
      </c>
      <c r="C54" s="6">
        <v>3313</v>
      </c>
      <c r="D54" s="6">
        <v>3592</v>
      </c>
      <c r="E54" s="6">
        <v>4035</v>
      </c>
      <c r="F54" s="6">
        <v>4670</v>
      </c>
      <c r="G54" s="6">
        <v>4785</v>
      </c>
      <c r="H54" s="6">
        <v>4974</v>
      </c>
      <c r="I54" s="6">
        <v>5263</v>
      </c>
      <c r="J54" s="6">
        <v>5400</v>
      </c>
      <c r="K54" s="6">
        <v>5329</v>
      </c>
      <c r="L54" s="6">
        <v>5289</v>
      </c>
      <c r="M54" s="6">
        <v>5381</v>
      </c>
      <c r="N54" s="6">
        <v>5387</v>
      </c>
      <c r="O54" s="6">
        <v>5714</v>
      </c>
      <c r="P54" s="6">
        <v>5995</v>
      </c>
      <c r="Q54" s="6">
        <v>5763</v>
      </c>
      <c r="R54" s="6">
        <v>5268</v>
      </c>
      <c r="S54" s="6">
        <v>4842</v>
      </c>
      <c r="T54" s="124">
        <v>4781</v>
      </c>
      <c r="U54" s="124">
        <v>4703</v>
      </c>
      <c r="V54" s="6">
        <v>4721</v>
      </c>
      <c r="W54" s="6">
        <v>4758</v>
      </c>
      <c r="X54" s="6">
        <v>4994</v>
      </c>
      <c r="Y54" s="6">
        <v>5094</v>
      </c>
      <c r="Z54" s="124">
        <v>5081</v>
      </c>
      <c r="AA54" s="6">
        <v>4800</v>
      </c>
      <c r="AB54" s="6">
        <v>4650</v>
      </c>
      <c r="AC54" s="6">
        <v>4703</v>
      </c>
      <c r="AD54" s="6">
        <v>4350</v>
      </c>
      <c r="AE54" s="6">
        <v>4545</v>
      </c>
      <c r="AF54" s="6">
        <v>4298</v>
      </c>
      <c r="AG54" s="6">
        <v>4257</v>
      </c>
      <c r="AH54" s="6">
        <v>4413</v>
      </c>
      <c r="AI54" s="6">
        <v>4641</v>
      </c>
      <c r="AJ54" s="6">
        <v>4737</v>
      </c>
      <c r="AK54" s="6">
        <v>5022</v>
      </c>
      <c r="AL54" s="6">
        <v>4938</v>
      </c>
      <c r="AM54" s="6">
        <v>5069</v>
      </c>
      <c r="AN54" s="6">
        <v>5056</v>
      </c>
      <c r="AO54" s="6">
        <v>5538</v>
      </c>
      <c r="AP54" s="6">
        <v>5523</v>
      </c>
      <c r="AQ54" s="6">
        <v>6001</v>
      </c>
      <c r="AR54" s="6">
        <v>6511</v>
      </c>
      <c r="AS54" s="6">
        <v>6760</v>
      </c>
      <c r="AU54" s="6">
        <v>6945</v>
      </c>
      <c r="AV54" s="6">
        <v>7221</v>
      </c>
      <c r="AW54" s="6">
        <v>6835</v>
      </c>
    </row>
    <row r="55" spans="1:49" s="6" customFormat="1">
      <c r="A55" s="39" t="s">
        <v>124</v>
      </c>
      <c r="B55" s="94">
        <v>336</v>
      </c>
      <c r="C55" s="6">
        <v>612</v>
      </c>
      <c r="D55" s="6">
        <v>807</v>
      </c>
      <c r="E55" s="6">
        <v>1013</v>
      </c>
      <c r="F55" s="6">
        <v>1221</v>
      </c>
      <c r="G55" s="6">
        <v>1291</v>
      </c>
      <c r="H55" s="6">
        <v>1475</v>
      </c>
      <c r="I55" s="6">
        <v>1690</v>
      </c>
      <c r="J55" s="6">
        <v>1792</v>
      </c>
      <c r="K55" s="6">
        <v>1758</v>
      </c>
      <c r="L55" s="6">
        <v>1825</v>
      </c>
      <c r="M55" s="6">
        <v>1731</v>
      </c>
      <c r="N55" s="6">
        <v>1987</v>
      </c>
      <c r="O55" s="6">
        <v>2029</v>
      </c>
      <c r="P55" s="6">
        <v>2035</v>
      </c>
      <c r="Q55" s="6">
        <v>2223</v>
      </c>
      <c r="R55" s="6">
        <v>2084</v>
      </c>
      <c r="S55" s="6">
        <v>2030</v>
      </c>
      <c r="T55" s="124">
        <v>2069</v>
      </c>
      <c r="U55" s="124">
        <v>1884</v>
      </c>
      <c r="V55" s="6">
        <v>1859</v>
      </c>
      <c r="W55" s="6">
        <v>2118</v>
      </c>
      <c r="X55" s="6">
        <v>2471</v>
      </c>
      <c r="Y55" s="6">
        <v>2433</v>
      </c>
      <c r="Z55" s="124">
        <v>2463</v>
      </c>
      <c r="AA55" s="6">
        <v>2445</v>
      </c>
      <c r="AB55" s="6">
        <v>2296</v>
      </c>
      <c r="AC55" s="6">
        <v>2372</v>
      </c>
      <c r="AD55" s="6">
        <v>2336</v>
      </c>
      <c r="AE55" s="6">
        <v>2137</v>
      </c>
      <c r="AF55" s="6">
        <v>2208</v>
      </c>
      <c r="AG55" s="6">
        <v>2197</v>
      </c>
      <c r="AH55" s="6">
        <v>1975</v>
      </c>
      <c r="AI55" s="6">
        <v>2144</v>
      </c>
      <c r="AJ55" s="6">
        <v>2252</v>
      </c>
      <c r="AK55" s="6">
        <v>2374</v>
      </c>
      <c r="AL55" s="6">
        <v>2416</v>
      </c>
      <c r="AM55" s="6">
        <v>2463</v>
      </c>
      <c r="AN55" s="6">
        <v>2679</v>
      </c>
      <c r="AO55" s="6">
        <v>2636</v>
      </c>
      <c r="AP55" s="6">
        <v>2718</v>
      </c>
      <c r="AQ55" s="6">
        <v>3309</v>
      </c>
      <c r="AR55" s="6">
        <v>3321</v>
      </c>
      <c r="AS55" s="6">
        <v>3167</v>
      </c>
      <c r="AU55" s="6">
        <v>3211</v>
      </c>
      <c r="AV55" s="6">
        <v>3103</v>
      </c>
      <c r="AW55" s="6">
        <v>2864</v>
      </c>
    </row>
    <row r="56" spans="1:49" s="6" customFormat="1">
      <c r="A56" s="39" t="s">
        <v>123</v>
      </c>
      <c r="B56" s="94">
        <v>9133</v>
      </c>
      <c r="C56" s="6">
        <v>10028</v>
      </c>
      <c r="D56" s="6">
        <v>10777</v>
      </c>
      <c r="E56" s="6">
        <v>11261</v>
      </c>
      <c r="F56" s="6">
        <v>12425</v>
      </c>
      <c r="G56" s="6">
        <v>13448</v>
      </c>
      <c r="H56" s="6">
        <v>15554</v>
      </c>
      <c r="I56" s="6">
        <v>16362</v>
      </c>
      <c r="J56" s="6">
        <v>16351</v>
      </c>
      <c r="K56" s="6">
        <v>15160</v>
      </c>
      <c r="L56" s="6">
        <v>14638</v>
      </c>
      <c r="M56" s="6">
        <v>14632</v>
      </c>
      <c r="N56" s="6">
        <v>15155</v>
      </c>
      <c r="O56" s="6">
        <v>15042</v>
      </c>
      <c r="P56" s="6">
        <v>15072</v>
      </c>
      <c r="Q56" s="6">
        <v>14781</v>
      </c>
      <c r="R56" s="6">
        <v>14352</v>
      </c>
      <c r="S56" s="6">
        <v>13616</v>
      </c>
      <c r="T56" s="124">
        <v>13047</v>
      </c>
      <c r="U56" s="124">
        <v>12981</v>
      </c>
      <c r="V56" s="6">
        <v>13409</v>
      </c>
      <c r="W56" s="6">
        <v>13330</v>
      </c>
      <c r="X56" s="6">
        <v>13434</v>
      </c>
      <c r="Y56" s="6">
        <v>13354</v>
      </c>
      <c r="Z56" s="124">
        <v>13084</v>
      </c>
      <c r="AA56" s="6">
        <v>12808</v>
      </c>
      <c r="AB56" s="6">
        <v>12682</v>
      </c>
      <c r="AC56" s="6">
        <v>11929</v>
      </c>
      <c r="AD56" s="6">
        <v>11912</v>
      </c>
      <c r="AE56" s="6">
        <v>10868</v>
      </c>
      <c r="AF56" s="6">
        <v>10680</v>
      </c>
      <c r="AG56" s="6">
        <v>10372</v>
      </c>
      <c r="AH56" s="6">
        <v>14251</v>
      </c>
      <c r="AI56" s="6">
        <v>10842</v>
      </c>
      <c r="AJ56" s="6">
        <v>11373</v>
      </c>
      <c r="AK56" s="6">
        <v>11595</v>
      </c>
      <c r="AL56" s="6">
        <v>11139</v>
      </c>
      <c r="AM56" s="6">
        <v>10691</v>
      </c>
      <c r="AN56" s="6">
        <v>10926</v>
      </c>
      <c r="AO56" s="6">
        <v>11360</v>
      </c>
      <c r="AP56" s="6">
        <v>12396</v>
      </c>
      <c r="AQ56" s="6">
        <v>12846</v>
      </c>
      <c r="AR56" s="6">
        <v>13588</v>
      </c>
      <c r="AS56" s="6">
        <v>13649</v>
      </c>
      <c r="AU56" s="6">
        <v>14291</v>
      </c>
      <c r="AV56" s="6">
        <v>13709</v>
      </c>
      <c r="AW56" s="6">
        <v>13311</v>
      </c>
    </row>
    <row r="57" spans="1:49" s="6" customFormat="1">
      <c r="A57" s="39" t="s">
        <v>132</v>
      </c>
      <c r="B57" s="94">
        <v>461</v>
      </c>
      <c r="C57" s="6">
        <v>664</v>
      </c>
      <c r="D57" s="6">
        <v>806</v>
      </c>
      <c r="E57" s="6">
        <v>947</v>
      </c>
      <c r="F57" s="6">
        <v>1344</v>
      </c>
      <c r="G57" s="6">
        <v>1350</v>
      </c>
      <c r="H57" s="6">
        <v>1938</v>
      </c>
      <c r="I57" s="6">
        <v>1730</v>
      </c>
      <c r="J57" s="6">
        <v>1949</v>
      </c>
      <c r="K57" s="6">
        <v>1642</v>
      </c>
      <c r="L57" s="6">
        <v>1761</v>
      </c>
      <c r="M57" s="6">
        <v>1980</v>
      </c>
      <c r="N57" s="6">
        <v>2348</v>
      </c>
      <c r="O57" s="6">
        <v>2612</v>
      </c>
      <c r="P57" s="6">
        <v>2477</v>
      </c>
      <c r="Q57" s="6">
        <v>2685</v>
      </c>
      <c r="R57" s="6">
        <v>2491</v>
      </c>
      <c r="S57" s="6">
        <v>2372</v>
      </c>
      <c r="T57" s="124">
        <v>2369</v>
      </c>
      <c r="U57" s="124">
        <v>2334</v>
      </c>
      <c r="V57" s="6">
        <v>2512</v>
      </c>
      <c r="W57" s="6">
        <v>2657</v>
      </c>
      <c r="X57" s="6">
        <v>2943</v>
      </c>
      <c r="Y57" s="6">
        <v>3343</v>
      </c>
      <c r="Z57" s="124">
        <v>3350</v>
      </c>
      <c r="AA57" s="6">
        <v>3530</v>
      </c>
      <c r="AB57" s="6">
        <v>3227</v>
      </c>
      <c r="AC57" s="6">
        <v>3253</v>
      </c>
      <c r="AD57" s="6">
        <v>2898</v>
      </c>
      <c r="AE57" s="6">
        <v>2913</v>
      </c>
      <c r="AF57" s="6">
        <v>3038</v>
      </c>
      <c r="AG57" s="6">
        <v>2975</v>
      </c>
      <c r="AH57" s="6">
        <v>2923</v>
      </c>
      <c r="AI57" s="6">
        <v>3149</v>
      </c>
      <c r="AJ57" s="6">
        <v>3272</v>
      </c>
      <c r="AK57" s="6">
        <v>3498</v>
      </c>
      <c r="AL57" s="6">
        <v>3237</v>
      </c>
      <c r="AM57" s="6">
        <v>3346</v>
      </c>
      <c r="AN57" s="6">
        <v>3179</v>
      </c>
      <c r="AO57" s="6">
        <v>2912</v>
      </c>
      <c r="AP57" s="6">
        <v>2933</v>
      </c>
      <c r="AQ57" s="6">
        <v>3062</v>
      </c>
      <c r="AR57" s="6">
        <v>3119</v>
      </c>
      <c r="AS57" s="6">
        <v>2824</v>
      </c>
      <c r="AU57" s="6">
        <v>3034</v>
      </c>
      <c r="AV57" s="6">
        <v>3076</v>
      </c>
      <c r="AW57" s="6">
        <v>3699</v>
      </c>
    </row>
    <row r="58" spans="1:49" s="6" customFormat="1">
      <c r="A58" s="39" t="s">
        <v>133</v>
      </c>
      <c r="B58" s="94">
        <v>3461</v>
      </c>
      <c r="C58" s="6">
        <v>5897</v>
      </c>
      <c r="D58" s="6">
        <v>7241</v>
      </c>
      <c r="E58" s="6">
        <v>7419</v>
      </c>
      <c r="F58" s="6">
        <v>8652</v>
      </c>
      <c r="G58" s="6">
        <v>9136</v>
      </c>
      <c r="H58" s="6">
        <v>9755</v>
      </c>
      <c r="I58" s="6">
        <v>10421</v>
      </c>
      <c r="J58" s="6">
        <v>10647</v>
      </c>
      <c r="K58" s="6">
        <v>9619</v>
      </c>
      <c r="L58" s="6">
        <v>9889</v>
      </c>
      <c r="M58" s="6">
        <v>9834</v>
      </c>
      <c r="N58" s="6">
        <v>9927</v>
      </c>
      <c r="O58" s="6">
        <v>10231</v>
      </c>
      <c r="P58" s="6">
        <v>10374</v>
      </c>
      <c r="Q58" s="6">
        <v>10126</v>
      </c>
      <c r="R58" s="6">
        <v>9869</v>
      </c>
      <c r="S58" s="6">
        <v>9534</v>
      </c>
      <c r="T58" s="124">
        <v>9379</v>
      </c>
      <c r="U58" s="124">
        <v>9337</v>
      </c>
      <c r="V58" s="6">
        <v>9935</v>
      </c>
      <c r="W58" s="6">
        <v>10703</v>
      </c>
      <c r="X58" s="6">
        <v>12287</v>
      </c>
      <c r="Y58" s="6">
        <v>12299</v>
      </c>
      <c r="Z58" s="124">
        <v>12625</v>
      </c>
      <c r="AA58" s="6">
        <v>12855</v>
      </c>
      <c r="AB58" s="6">
        <v>13005</v>
      </c>
      <c r="AC58" s="6">
        <v>12980</v>
      </c>
      <c r="AD58" s="6">
        <v>13171</v>
      </c>
      <c r="AE58" s="6">
        <v>12219</v>
      </c>
      <c r="AF58" s="6">
        <v>12100</v>
      </c>
      <c r="AG58" s="6">
        <v>11774</v>
      </c>
      <c r="AH58" s="6">
        <v>12643</v>
      </c>
      <c r="AI58" s="6">
        <v>13066</v>
      </c>
      <c r="AJ58" s="6">
        <v>14206</v>
      </c>
      <c r="AK58" s="6">
        <v>14726</v>
      </c>
      <c r="AL58" s="6">
        <v>15338</v>
      </c>
      <c r="AM58" s="6">
        <v>15848</v>
      </c>
      <c r="AN58" s="6">
        <v>16904</v>
      </c>
      <c r="AO58" s="6">
        <v>17513</v>
      </c>
      <c r="AP58" s="6">
        <v>19268</v>
      </c>
      <c r="AQ58" s="6">
        <v>21124</v>
      </c>
      <c r="AR58" s="6">
        <v>21643</v>
      </c>
      <c r="AS58" s="6">
        <v>21647</v>
      </c>
      <c r="AU58" s="6">
        <v>23154</v>
      </c>
      <c r="AV58" s="6">
        <v>23847</v>
      </c>
      <c r="AW58" s="6">
        <v>23421</v>
      </c>
    </row>
    <row r="59" spans="1:49" s="6" customFormat="1">
      <c r="A59" s="39" t="s">
        <v>136</v>
      </c>
      <c r="B59" s="94">
        <v>27158</v>
      </c>
      <c r="C59" s="6">
        <v>30975</v>
      </c>
      <c r="D59" s="6">
        <v>34651</v>
      </c>
      <c r="E59" s="6">
        <v>37872</v>
      </c>
      <c r="F59" s="6">
        <v>43973</v>
      </c>
      <c r="G59" s="6">
        <v>46098</v>
      </c>
      <c r="H59" s="6">
        <v>47408</v>
      </c>
      <c r="I59" s="6">
        <v>48572</v>
      </c>
      <c r="J59" s="6">
        <v>47527</v>
      </c>
      <c r="K59" s="6">
        <v>48140</v>
      </c>
      <c r="L59" s="6">
        <v>47405</v>
      </c>
      <c r="M59" s="6">
        <v>48679</v>
      </c>
      <c r="N59" s="6">
        <v>48595</v>
      </c>
      <c r="O59" s="6">
        <v>49607</v>
      </c>
      <c r="P59" s="6">
        <v>50865</v>
      </c>
      <c r="Q59" s="6">
        <v>50006</v>
      </c>
      <c r="R59" s="6">
        <v>49694</v>
      </c>
      <c r="S59" s="6">
        <v>47956</v>
      </c>
      <c r="T59" s="124">
        <v>46897</v>
      </c>
      <c r="U59" s="124">
        <v>45465</v>
      </c>
      <c r="V59" s="6">
        <v>48956</v>
      </c>
      <c r="W59" s="6">
        <v>50865</v>
      </c>
      <c r="X59" s="6">
        <v>53043</v>
      </c>
      <c r="Y59" s="6">
        <v>53393</v>
      </c>
      <c r="Z59" s="124">
        <v>53784</v>
      </c>
      <c r="AA59" s="6">
        <v>54671</v>
      </c>
      <c r="AB59" s="6">
        <v>53209</v>
      </c>
      <c r="AC59" s="6">
        <v>54291</v>
      </c>
      <c r="AD59" s="6">
        <v>51401</v>
      </c>
      <c r="AE59" s="6">
        <v>50344</v>
      </c>
      <c r="AF59" s="6">
        <v>50264</v>
      </c>
      <c r="AG59" s="6">
        <v>51605</v>
      </c>
      <c r="AH59" s="6">
        <v>51148</v>
      </c>
      <c r="AI59" s="6">
        <v>53603</v>
      </c>
      <c r="AJ59" s="6">
        <v>55634</v>
      </c>
      <c r="AK59" s="6">
        <v>56877</v>
      </c>
      <c r="AL59" s="6">
        <v>57524</v>
      </c>
      <c r="AM59" s="6">
        <v>57775</v>
      </c>
      <c r="AN59" s="6">
        <v>57807</v>
      </c>
      <c r="AO59" s="6">
        <v>59048</v>
      </c>
      <c r="AP59" s="6">
        <v>61618</v>
      </c>
      <c r="AQ59" s="6">
        <v>63945</v>
      </c>
      <c r="AR59" s="6">
        <v>67213</v>
      </c>
      <c r="AS59" s="6">
        <v>66082</v>
      </c>
      <c r="AU59" s="6">
        <v>66264</v>
      </c>
      <c r="AV59" s="6">
        <v>65035</v>
      </c>
      <c r="AW59" s="6">
        <v>63504</v>
      </c>
    </row>
    <row r="60" spans="1:49" s="6" customFormat="1">
      <c r="A60" s="39" t="s">
        <v>139</v>
      </c>
      <c r="B60" s="94">
        <v>7782</v>
      </c>
      <c r="C60" s="6">
        <v>9098</v>
      </c>
      <c r="D60" s="6">
        <v>10720</v>
      </c>
      <c r="E60" s="6">
        <v>11127</v>
      </c>
      <c r="F60" s="6">
        <v>11550</v>
      </c>
      <c r="G60" s="6">
        <v>11642</v>
      </c>
      <c r="H60" s="6">
        <v>12170</v>
      </c>
      <c r="I60" s="6">
        <v>12908</v>
      </c>
      <c r="J60" s="6">
        <v>13816</v>
      </c>
      <c r="K60" s="6">
        <v>13073</v>
      </c>
      <c r="L60" s="6">
        <v>13005</v>
      </c>
      <c r="M60" s="6">
        <v>16278</v>
      </c>
      <c r="N60" s="6">
        <v>17175</v>
      </c>
      <c r="O60" s="6">
        <v>18585</v>
      </c>
      <c r="P60" s="6">
        <v>19049</v>
      </c>
      <c r="Q60" s="6">
        <v>19032</v>
      </c>
      <c r="R60" s="6">
        <v>18612</v>
      </c>
      <c r="S60" s="6">
        <v>18629</v>
      </c>
      <c r="T60" s="124">
        <v>18281</v>
      </c>
      <c r="U60" s="124">
        <v>16823</v>
      </c>
      <c r="V60" s="6">
        <v>17763</v>
      </c>
      <c r="W60" s="6">
        <v>19884</v>
      </c>
      <c r="X60" s="6">
        <v>20932</v>
      </c>
      <c r="Y60" s="6">
        <v>20091</v>
      </c>
      <c r="Z60" s="124">
        <v>21172</v>
      </c>
      <c r="AA60" s="6">
        <v>20569</v>
      </c>
      <c r="AB60" s="6">
        <v>22942</v>
      </c>
      <c r="AC60" s="6">
        <v>23068</v>
      </c>
      <c r="AD60" s="6">
        <v>21470</v>
      </c>
      <c r="AE60" s="6">
        <v>23433</v>
      </c>
      <c r="AF60" s="6">
        <v>24350</v>
      </c>
      <c r="AG60" s="6">
        <v>23295</v>
      </c>
      <c r="AH60" s="6">
        <v>23826</v>
      </c>
      <c r="AI60" s="6">
        <v>24177</v>
      </c>
      <c r="AJ60" s="6">
        <v>24594</v>
      </c>
      <c r="AK60" s="6">
        <v>25619</v>
      </c>
      <c r="AL60" s="6">
        <v>26282</v>
      </c>
      <c r="AM60" s="6">
        <v>26317</v>
      </c>
      <c r="AN60" s="6">
        <v>26575</v>
      </c>
      <c r="AO60" s="6">
        <v>27045</v>
      </c>
      <c r="AP60" s="6">
        <v>27402</v>
      </c>
      <c r="AQ60" s="6">
        <v>28996</v>
      </c>
      <c r="AR60" s="6">
        <v>29309</v>
      </c>
      <c r="AS60" s="6">
        <v>28041</v>
      </c>
      <c r="AU60" s="6">
        <v>26766</v>
      </c>
      <c r="AV60" s="6">
        <v>25037</v>
      </c>
      <c r="AW60" s="6">
        <v>23830</v>
      </c>
    </row>
    <row r="61" spans="1:49" s="6" customFormat="1">
      <c r="A61" s="39" t="s">
        <v>140</v>
      </c>
      <c r="B61" s="94">
        <v>1041</v>
      </c>
      <c r="C61" s="6">
        <v>1288</v>
      </c>
      <c r="D61" s="6">
        <v>1577</v>
      </c>
      <c r="E61" s="6">
        <v>1499</v>
      </c>
      <c r="F61" s="6">
        <v>1602</v>
      </c>
      <c r="G61" s="6">
        <v>2137</v>
      </c>
      <c r="H61" s="6">
        <v>3089</v>
      </c>
      <c r="I61" s="6">
        <v>3214</v>
      </c>
      <c r="J61" s="6">
        <v>2842</v>
      </c>
      <c r="K61" s="6">
        <v>2782</v>
      </c>
      <c r="L61" s="6">
        <v>2956</v>
      </c>
      <c r="M61" s="6">
        <v>3150</v>
      </c>
      <c r="N61" s="6">
        <v>3161</v>
      </c>
      <c r="O61" s="6">
        <v>3385</v>
      </c>
      <c r="P61" s="6">
        <v>3588</v>
      </c>
      <c r="Q61" s="6">
        <v>3461</v>
      </c>
      <c r="R61" s="6">
        <v>3642</v>
      </c>
      <c r="S61" s="6">
        <v>3822</v>
      </c>
      <c r="T61" s="124">
        <v>3659</v>
      </c>
      <c r="U61" s="124">
        <v>3663</v>
      </c>
      <c r="V61" s="6">
        <v>3495</v>
      </c>
      <c r="W61" s="6">
        <v>3930</v>
      </c>
      <c r="X61" s="6">
        <v>4043</v>
      </c>
      <c r="Y61" s="6">
        <v>4156</v>
      </c>
      <c r="Z61" s="124">
        <v>3941</v>
      </c>
      <c r="AA61" s="6">
        <v>3890</v>
      </c>
      <c r="AB61" s="6">
        <v>3939</v>
      </c>
      <c r="AC61" s="6">
        <v>3767</v>
      </c>
      <c r="AD61" s="6">
        <v>3592</v>
      </c>
      <c r="AE61" s="6">
        <v>3591</v>
      </c>
      <c r="AF61" s="6">
        <v>3550</v>
      </c>
      <c r="AG61" s="6">
        <v>3582</v>
      </c>
      <c r="AH61" s="6">
        <v>3557</v>
      </c>
      <c r="AI61" s="6">
        <v>3516</v>
      </c>
      <c r="AJ61" s="6">
        <v>3540</v>
      </c>
      <c r="AK61" s="6">
        <v>3573</v>
      </c>
      <c r="AL61" s="6">
        <v>3831</v>
      </c>
      <c r="AM61" s="6">
        <v>3822</v>
      </c>
      <c r="AN61" s="6">
        <v>3692</v>
      </c>
      <c r="AO61" s="6">
        <v>4029</v>
      </c>
      <c r="AP61" s="6">
        <v>3590</v>
      </c>
      <c r="AQ61" s="6">
        <v>3461</v>
      </c>
      <c r="AR61" s="6">
        <v>3537</v>
      </c>
      <c r="AS61" s="6">
        <v>3727</v>
      </c>
      <c r="AU61" s="6">
        <v>3606</v>
      </c>
      <c r="AV61" s="6">
        <v>3291</v>
      </c>
      <c r="AW61" s="6">
        <v>3353</v>
      </c>
    </row>
    <row r="62" spans="1:49" s="6" customFormat="1">
      <c r="A62" s="40" t="s">
        <v>143</v>
      </c>
      <c r="B62" s="94">
        <v>818</v>
      </c>
      <c r="C62" s="6">
        <v>885</v>
      </c>
      <c r="D62" s="6">
        <v>846</v>
      </c>
      <c r="E62" s="6">
        <v>893</v>
      </c>
      <c r="F62" s="6">
        <v>1068</v>
      </c>
      <c r="G62" s="6">
        <v>1217</v>
      </c>
      <c r="H62" s="6">
        <v>1311</v>
      </c>
      <c r="I62" s="6">
        <v>1292</v>
      </c>
      <c r="J62" s="6">
        <v>1306</v>
      </c>
      <c r="K62" s="6">
        <v>1186</v>
      </c>
      <c r="L62" s="6">
        <v>1148</v>
      </c>
      <c r="M62" s="6">
        <v>1285</v>
      </c>
      <c r="N62" s="6">
        <v>1249</v>
      </c>
      <c r="O62" s="6">
        <v>1141</v>
      </c>
      <c r="P62" s="6">
        <v>1232</v>
      </c>
      <c r="Q62" s="6">
        <v>1238</v>
      </c>
      <c r="R62" s="6">
        <v>1179</v>
      </c>
      <c r="S62" s="6">
        <v>1128</v>
      </c>
      <c r="T62" s="124">
        <v>1149</v>
      </c>
      <c r="U62" s="124">
        <v>1136</v>
      </c>
      <c r="V62" s="6">
        <v>1262</v>
      </c>
      <c r="W62" s="6">
        <v>1227</v>
      </c>
      <c r="X62" s="6">
        <v>1317</v>
      </c>
      <c r="Y62" s="6">
        <v>1264</v>
      </c>
      <c r="Z62" s="124">
        <v>1268</v>
      </c>
      <c r="AA62" s="6">
        <v>1311</v>
      </c>
      <c r="AB62" s="6">
        <v>1470</v>
      </c>
      <c r="AC62" s="6">
        <v>1375</v>
      </c>
      <c r="AD62" s="6">
        <v>1442</v>
      </c>
      <c r="AE62" s="6">
        <v>1546</v>
      </c>
      <c r="AF62" s="6">
        <v>1594</v>
      </c>
      <c r="AG62" s="6">
        <v>1484</v>
      </c>
      <c r="AH62" s="6">
        <v>1515</v>
      </c>
      <c r="AI62" s="6">
        <v>1419</v>
      </c>
      <c r="AJ62" s="6">
        <v>1390</v>
      </c>
      <c r="AK62" s="6">
        <v>1271</v>
      </c>
      <c r="AL62" s="6">
        <v>1380</v>
      </c>
      <c r="AM62" s="6">
        <v>1275</v>
      </c>
      <c r="AN62" s="6">
        <v>1264</v>
      </c>
      <c r="AO62" s="6">
        <v>1198</v>
      </c>
      <c r="AP62" s="6">
        <v>1266</v>
      </c>
      <c r="AQ62" s="6">
        <v>1223</v>
      </c>
      <c r="AR62" s="7">
        <v>1196</v>
      </c>
      <c r="AS62" s="6">
        <v>1280</v>
      </c>
      <c r="AU62" s="6">
        <v>1156</v>
      </c>
      <c r="AV62" s="6">
        <v>1176</v>
      </c>
      <c r="AW62" s="6">
        <v>1056</v>
      </c>
    </row>
    <row r="63" spans="1:49" s="6" customFormat="1">
      <c r="A63" s="126" t="s">
        <v>129</v>
      </c>
      <c r="B63" s="97">
        <v>694</v>
      </c>
      <c r="C63" s="50">
        <v>834</v>
      </c>
      <c r="D63" s="50">
        <v>772</v>
      </c>
      <c r="E63" s="50">
        <v>887</v>
      </c>
      <c r="F63" s="50">
        <v>892</v>
      </c>
      <c r="G63" s="50">
        <v>980</v>
      </c>
      <c r="H63" s="50">
        <v>928</v>
      </c>
      <c r="I63" s="50">
        <v>1040</v>
      </c>
      <c r="J63" s="50">
        <v>814</v>
      </c>
      <c r="K63" s="50">
        <v>695</v>
      </c>
      <c r="L63" s="50">
        <v>477</v>
      </c>
      <c r="M63" s="50">
        <v>639</v>
      </c>
      <c r="N63" s="50">
        <v>574</v>
      </c>
      <c r="O63" s="50">
        <v>496</v>
      </c>
      <c r="P63" s="50">
        <v>495</v>
      </c>
      <c r="Q63" s="50">
        <v>629</v>
      </c>
      <c r="R63" s="50">
        <v>461</v>
      </c>
      <c r="S63" s="50">
        <v>369</v>
      </c>
      <c r="T63" s="127">
        <v>391</v>
      </c>
      <c r="U63" s="127">
        <v>407</v>
      </c>
      <c r="V63" s="50">
        <v>403</v>
      </c>
      <c r="W63" s="50">
        <v>325</v>
      </c>
      <c r="X63" s="50">
        <v>399</v>
      </c>
      <c r="Y63" s="50">
        <v>435</v>
      </c>
      <c r="Z63" s="127">
        <v>305</v>
      </c>
      <c r="AA63" s="50">
        <v>205</v>
      </c>
      <c r="AB63" s="50">
        <v>389</v>
      </c>
      <c r="AC63" s="50">
        <v>369</v>
      </c>
      <c r="AD63" s="50">
        <v>454</v>
      </c>
      <c r="AE63" s="50">
        <v>422</v>
      </c>
      <c r="AF63" s="50">
        <v>407</v>
      </c>
      <c r="AG63" s="50">
        <v>659</v>
      </c>
      <c r="AH63" s="50">
        <v>612</v>
      </c>
      <c r="AI63" s="50">
        <v>664</v>
      </c>
      <c r="AJ63" s="50">
        <v>816</v>
      </c>
      <c r="AK63" s="50">
        <v>447</v>
      </c>
      <c r="AL63" s="50">
        <v>1105</v>
      </c>
      <c r="AM63" s="50">
        <v>1083</v>
      </c>
      <c r="AN63" s="50">
        <v>1047</v>
      </c>
      <c r="AO63" s="50">
        <v>1135</v>
      </c>
      <c r="AP63" s="50">
        <v>341</v>
      </c>
      <c r="AQ63" s="50">
        <v>461</v>
      </c>
      <c r="AR63" s="7">
        <v>463</v>
      </c>
      <c r="AS63" s="50">
        <v>686</v>
      </c>
      <c r="AT63" s="50"/>
      <c r="AU63" s="50">
        <v>741</v>
      </c>
      <c r="AV63" s="50">
        <v>603</v>
      </c>
      <c r="AW63" s="50">
        <v>727</v>
      </c>
    </row>
    <row r="64" spans="1:49">
      <c r="A64" s="44"/>
      <c r="D64" s="6"/>
      <c r="E64" s="6"/>
      <c r="F64" s="6"/>
      <c r="G64" s="6"/>
      <c r="H64" s="6"/>
      <c r="I64" s="6"/>
      <c r="J64" s="6"/>
      <c r="K64" s="6"/>
      <c r="L64" s="6"/>
      <c r="M64" s="6"/>
      <c r="N64" s="6"/>
      <c r="O64" s="6"/>
      <c r="P64" s="6"/>
      <c r="Q64" s="6"/>
      <c r="R64" s="6"/>
      <c r="S64" s="6"/>
      <c r="T64" s="30"/>
      <c r="U64" s="30"/>
      <c r="V64" s="6"/>
      <c r="W64" s="6"/>
      <c r="X64" s="6"/>
      <c r="Y64" s="6"/>
      <c r="Z64" s="30"/>
      <c r="AA64" s="6"/>
    </row>
    <row r="65" spans="2:43">
      <c r="B65" s="1" t="s">
        <v>69</v>
      </c>
      <c r="T65" s="2" t="s">
        <v>71</v>
      </c>
      <c r="U65" s="2"/>
      <c r="V65" s="1" t="s">
        <v>69</v>
      </c>
      <c r="Z65" s="2" t="s">
        <v>71</v>
      </c>
      <c r="AA65" s="1" t="s">
        <v>69</v>
      </c>
      <c r="AB65" s="2" t="s">
        <v>71</v>
      </c>
      <c r="AC65" s="2" t="s">
        <v>71</v>
      </c>
      <c r="AD65" s="2" t="s">
        <v>71</v>
      </c>
      <c r="AE65" s="2" t="s">
        <v>71</v>
      </c>
      <c r="AF65" s="2" t="s">
        <v>71</v>
      </c>
      <c r="AG65" s="2" t="s">
        <v>71</v>
      </c>
      <c r="AH65" s="2" t="s">
        <v>71</v>
      </c>
      <c r="AI65" s="2" t="s">
        <v>71</v>
      </c>
      <c r="AJ65" s="2" t="s">
        <v>71</v>
      </c>
      <c r="AK65" s="2" t="s">
        <v>71</v>
      </c>
      <c r="AL65" s="2" t="s">
        <v>71</v>
      </c>
      <c r="AM65" s="2" t="s">
        <v>71</v>
      </c>
      <c r="AN65" s="2" t="s">
        <v>71</v>
      </c>
      <c r="AO65" s="2" t="s">
        <v>71</v>
      </c>
      <c r="AP65" s="2"/>
      <c r="AQ65" s="2"/>
    </row>
    <row r="66" spans="2:43">
      <c r="B66" s="1" t="s">
        <v>67</v>
      </c>
      <c r="T66" s="1" t="s">
        <v>172</v>
      </c>
      <c r="V66" s="1" t="s">
        <v>67</v>
      </c>
      <c r="Z66" s="1" t="s">
        <v>172</v>
      </c>
      <c r="AA66" s="1" t="s">
        <v>67</v>
      </c>
      <c r="AB66" s="2" t="s">
        <v>80</v>
      </c>
      <c r="AC66" s="2" t="s">
        <v>80</v>
      </c>
      <c r="AD66" s="2" t="s">
        <v>80</v>
      </c>
      <c r="AE66" s="2" t="s">
        <v>80</v>
      </c>
      <c r="AF66" s="2" t="s">
        <v>80</v>
      </c>
      <c r="AG66" s="1" t="s">
        <v>172</v>
      </c>
      <c r="AH66" s="1" t="s">
        <v>172</v>
      </c>
      <c r="AI66" s="1" t="s">
        <v>172</v>
      </c>
      <c r="AJ66" s="1" t="s">
        <v>157</v>
      </c>
      <c r="AK66" s="1" t="s">
        <v>172</v>
      </c>
      <c r="AL66" s="1" t="s">
        <v>172</v>
      </c>
      <c r="AM66" s="1" t="s">
        <v>157</v>
      </c>
      <c r="AN66" s="1" t="s">
        <v>157</v>
      </c>
      <c r="AO66" s="1" t="s">
        <v>157</v>
      </c>
    </row>
    <row r="67" spans="2:43">
      <c r="B67" s="12" t="s">
        <v>181</v>
      </c>
      <c r="T67" s="1" t="s">
        <v>173</v>
      </c>
      <c r="V67" s="12" t="s">
        <v>181</v>
      </c>
      <c r="Z67" s="1" t="s">
        <v>173</v>
      </c>
      <c r="AA67" s="12" t="s">
        <v>181</v>
      </c>
      <c r="AB67" s="2" t="s">
        <v>81</v>
      </c>
      <c r="AC67" s="2" t="s">
        <v>81</v>
      </c>
      <c r="AD67" s="2" t="s">
        <v>81</v>
      </c>
      <c r="AE67" s="2" t="s">
        <v>81</v>
      </c>
      <c r="AF67" s="2" t="s">
        <v>81</v>
      </c>
      <c r="AG67" s="1" t="s">
        <v>173</v>
      </c>
      <c r="AH67" s="1" t="s">
        <v>173</v>
      </c>
      <c r="AI67" s="1" t="s">
        <v>173</v>
      </c>
      <c r="AJ67" s="1" t="s">
        <v>158</v>
      </c>
      <c r="AK67" s="1" t="s">
        <v>173</v>
      </c>
      <c r="AL67" s="1" t="s">
        <v>173</v>
      </c>
      <c r="AM67" s="1" t="s">
        <v>158</v>
      </c>
      <c r="AN67" s="1" t="s">
        <v>158</v>
      </c>
      <c r="AO67" s="1" t="s">
        <v>158</v>
      </c>
    </row>
    <row r="68" spans="2:43">
      <c r="B68" s="1" t="s">
        <v>68</v>
      </c>
      <c r="T68" s="1" t="s">
        <v>174</v>
      </c>
      <c r="V68" s="1" t="s">
        <v>68</v>
      </c>
      <c r="Z68" s="1" t="s">
        <v>174</v>
      </c>
      <c r="AA68" s="1" t="s">
        <v>68</v>
      </c>
      <c r="AB68" s="2" t="s">
        <v>82</v>
      </c>
      <c r="AC68" s="2" t="s">
        <v>82</v>
      </c>
      <c r="AD68" s="2" t="s">
        <v>82</v>
      </c>
      <c r="AE68" s="2" t="s">
        <v>82</v>
      </c>
      <c r="AF68" s="2" t="s">
        <v>82</v>
      </c>
      <c r="AG68" s="1" t="s">
        <v>174</v>
      </c>
      <c r="AH68" s="1" t="s">
        <v>174</v>
      </c>
      <c r="AI68" s="1" t="s">
        <v>174</v>
      </c>
      <c r="AJ68" s="1" t="s">
        <v>159</v>
      </c>
      <c r="AK68" s="1" t="s">
        <v>174</v>
      </c>
      <c r="AL68" s="1" t="s">
        <v>174</v>
      </c>
      <c r="AM68" s="1" t="s">
        <v>159</v>
      </c>
      <c r="AN68" s="1" t="s">
        <v>159</v>
      </c>
      <c r="AO68" s="1" t="s">
        <v>159</v>
      </c>
    </row>
    <row r="69" spans="2:43">
      <c r="T69" s="1" t="s">
        <v>175</v>
      </c>
      <c r="Z69" s="1" t="s">
        <v>175</v>
      </c>
      <c r="AB69" s="2" t="s">
        <v>83</v>
      </c>
      <c r="AC69" s="2" t="s">
        <v>83</v>
      </c>
      <c r="AD69" s="2" t="s">
        <v>83</v>
      </c>
      <c r="AE69" s="2" t="s">
        <v>83</v>
      </c>
      <c r="AF69" s="2" t="s">
        <v>83</v>
      </c>
      <c r="AG69" s="1" t="s">
        <v>175</v>
      </c>
      <c r="AH69" s="1" t="s">
        <v>175</v>
      </c>
      <c r="AI69" s="1" t="s">
        <v>175</v>
      </c>
      <c r="AJ69" s="1" t="s">
        <v>84</v>
      </c>
      <c r="AK69" s="1" t="s">
        <v>175</v>
      </c>
      <c r="AL69" s="1" t="s">
        <v>175</v>
      </c>
      <c r="AM69" s="1" t="s">
        <v>84</v>
      </c>
      <c r="AN69" s="1" t="s">
        <v>84</v>
      </c>
      <c r="AO69" s="1" t="s">
        <v>84</v>
      </c>
    </row>
    <row r="70" spans="2:43">
      <c r="T70" s="1" t="s">
        <v>176</v>
      </c>
      <c r="Z70" s="1" t="s">
        <v>176</v>
      </c>
      <c r="AB70" s="2" t="s">
        <v>84</v>
      </c>
      <c r="AC70" s="2" t="s">
        <v>84</v>
      </c>
      <c r="AD70" s="2" t="s">
        <v>84</v>
      </c>
      <c r="AE70" s="2" t="s">
        <v>84</v>
      </c>
      <c r="AF70" s="2" t="s">
        <v>84</v>
      </c>
      <c r="AG70" s="1" t="s">
        <v>176</v>
      </c>
      <c r="AH70" s="1" t="s">
        <v>176</v>
      </c>
      <c r="AI70" s="1" t="s">
        <v>176</v>
      </c>
      <c r="AJ70" s="1" t="s">
        <v>160</v>
      </c>
      <c r="AK70" s="1" t="s">
        <v>176</v>
      </c>
      <c r="AL70" s="1" t="s">
        <v>176</v>
      </c>
      <c r="AM70" s="1" t="s">
        <v>160</v>
      </c>
      <c r="AN70" s="1" t="s">
        <v>160</v>
      </c>
      <c r="AO70" s="1" t="s">
        <v>160</v>
      </c>
    </row>
    <row r="71" spans="2:43">
      <c r="T71" s="1" t="s">
        <v>177</v>
      </c>
      <c r="Z71" s="1" t="s">
        <v>177</v>
      </c>
      <c r="AB71" s="2" t="s">
        <v>85</v>
      </c>
      <c r="AC71" s="2" t="s">
        <v>85</v>
      </c>
      <c r="AD71" s="2" t="s">
        <v>85</v>
      </c>
      <c r="AE71" s="2" t="s">
        <v>85</v>
      </c>
      <c r="AF71" s="2" t="s">
        <v>85</v>
      </c>
      <c r="AG71" s="1" t="s">
        <v>177</v>
      </c>
      <c r="AH71" s="1" t="s">
        <v>177</v>
      </c>
      <c r="AI71" s="1" t="s">
        <v>177</v>
      </c>
      <c r="AJ71" s="1" t="s">
        <v>161</v>
      </c>
      <c r="AK71" s="1" t="s">
        <v>177</v>
      </c>
      <c r="AL71" s="1" t="s">
        <v>177</v>
      </c>
      <c r="AM71" s="1" t="s">
        <v>161</v>
      </c>
      <c r="AN71" s="1" t="s">
        <v>161</v>
      </c>
      <c r="AO71" s="1" t="s">
        <v>191</v>
      </c>
    </row>
    <row r="72" spans="2:43">
      <c r="T72" s="35" t="s">
        <v>179</v>
      </c>
      <c r="U72" s="35"/>
      <c r="Z72" s="35" t="s">
        <v>179</v>
      </c>
      <c r="AB72" s="12" t="s">
        <v>86</v>
      </c>
      <c r="AC72" s="12" t="s">
        <v>86</v>
      </c>
      <c r="AD72" s="12" t="s">
        <v>86</v>
      </c>
      <c r="AE72" s="12" t="s">
        <v>86</v>
      </c>
      <c r="AF72" s="12" t="s">
        <v>86</v>
      </c>
      <c r="AG72" s="35" t="s">
        <v>179</v>
      </c>
      <c r="AH72" s="35" t="s">
        <v>179</v>
      </c>
      <c r="AI72" s="35" t="s">
        <v>179</v>
      </c>
      <c r="AJ72" s="35" t="s">
        <v>162</v>
      </c>
      <c r="AK72" s="35" t="s">
        <v>179</v>
      </c>
      <c r="AL72" s="35" t="s">
        <v>179</v>
      </c>
      <c r="AM72" s="1" t="s">
        <v>162</v>
      </c>
      <c r="AN72" s="1" t="s">
        <v>162</v>
      </c>
      <c r="AO72" s="1" t="s">
        <v>192</v>
      </c>
    </row>
    <row r="73" spans="2:43">
      <c r="T73" s="1" t="s">
        <v>178</v>
      </c>
      <c r="Z73" s="1" t="s">
        <v>178</v>
      </c>
      <c r="AB73" s="12" t="s">
        <v>84</v>
      </c>
      <c r="AC73" s="12" t="s">
        <v>84</v>
      </c>
      <c r="AD73" s="12" t="s">
        <v>84</v>
      </c>
      <c r="AE73" s="12" t="s">
        <v>84</v>
      </c>
      <c r="AF73" s="12" t="s">
        <v>84</v>
      </c>
      <c r="AG73" s="1" t="s">
        <v>178</v>
      </c>
      <c r="AH73" s="1" t="s">
        <v>178</v>
      </c>
      <c r="AI73" s="1" t="s">
        <v>178</v>
      </c>
      <c r="AJ73" s="1" t="s">
        <v>163</v>
      </c>
      <c r="AK73" s="1" t="s">
        <v>178</v>
      </c>
      <c r="AL73" s="1" t="s">
        <v>178</v>
      </c>
      <c r="AM73" s="1" t="s">
        <v>163</v>
      </c>
      <c r="AN73" s="1" t="s">
        <v>163</v>
      </c>
      <c r="AO73" s="1" t="s">
        <v>194</v>
      </c>
    </row>
    <row r="74" spans="2:43">
      <c r="AB74" s="12" t="s">
        <v>87</v>
      </c>
      <c r="AC74" s="12" t="s">
        <v>87</v>
      </c>
      <c r="AD74" s="12" t="s">
        <v>87</v>
      </c>
      <c r="AE74" s="12" t="s">
        <v>87</v>
      </c>
      <c r="AF74" s="12" t="s">
        <v>87</v>
      </c>
      <c r="AG74" s="12"/>
      <c r="AH74" s="12"/>
      <c r="AJ74" s="1" t="s">
        <v>164</v>
      </c>
      <c r="AM74" s="1" t="s">
        <v>164</v>
      </c>
      <c r="AN74" s="1" t="s">
        <v>164</v>
      </c>
      <c r="AO74" s="1" t="s">
        <v>193</v>
      </c>
    </row>
    <row r="75" spans="2:43">
      <c r="AB75" s="12" t="s">
        <v>88</v>
      </c>
      <c r="AC75" s="12" t="s">
        <v>88</v>
      </c>
      <c r="AD75" s="12" t="s">
        <v>150</v>
      </c>
      <c r="AE75" s="12" t="s">
        <v>154</v>
      </c>
      <c r="AF75" s="12" t="s">
        <v>154</v>
      </c>
      <c r="AG75" s="12"/>
      <c r="AH75" s="12"/>
      <c r="AJ75" s="1" t="s">
        <v>165</v>
      </c>
      <c r="AM75" s="1" t="s">
        <v>165</v>
      </c>
      <c r="AN75" s="1" t="s">
        <v>165</v>
      </c>
      <c r="AO75" s="1" t="s">
        <v>165</v>
      </c>
    </row>
    <row r="76" spans="2:43">
      <c r="AB76" s="1" t="s">
        <v>90</v>
      </c>
      <c r="AC76" s="1" t="s">
        <v>90</v>
      </c>
      <c r="AD76" s="1" t="s">
        <v>92</v>
      </c>
      <c r="AE76" s="1" t="s">
        <v>90</v>
      </c>
      <c r="AF76" s="1" t="s">
        <v>90</v>
      </c>
    </row>
    <row r="77" spans="2:43">
      <c r="AB77" s="1" t="s">
        <v>91</v>
      </c>
      <c r="AC77" s="1" t="s">
        <v>91</v>
      </c>
      <c r="AD77" s="1" t="s">
        <v>66</v>
      </c>
      <c r="AE77" s="35" t="s">
        <v>152</v>
      </c>
      <c r="AF77" s="35" t="s">
        <v>152</v>
      </c>
      <c r="AG77" s="35"/>
      <c r="AH77" s="35"/>
    </row>
    <row r="78" spans="2:43">
      <c r="AB78" s="1" t="s">
        <v>66</v>
      </c>
      <c r="AC78" s="1" t="s">
        <v>66</v>
      </c>
      <c r="AD78" s="1" t="s">
        <v>89</v>
      </c>
    </row>
    <row r="79" spans="2:43">
      <c r="AB79" s="1" t="s">
        <v>89</v>
      </c>
      <c r="AC79" s="1" t="s">
        <v>89</v>
      </c>
    </row>
  </sheetData>
  <phoneticPr fontId="11" type="noConversion"/>
  <hyperlinks>
    <hyperlink ref="AE77" r:id="rId1" xr:uid="{00000000-0004-0000-0100-000000000000}"/>
    <hyperlink ref="AF77" r:id="rId2" xr:uid="{00000000-0004-0000-0100-000001000000}"/>
    <hyperlink ref="T72" r:id="rId3" xr:uid="{00000000-0004-0000-0100-000002000000}"/>
    <hyperlink ref="Z72" r:id="rId4" xr:uid="{00000000-0004-0000-0100-000003000000}"/>
    <hyperlink ref="AG72" r:id="rId5" xr:uid="{00000000-0004-0000-0100-000004000000}"/>
    <hyperlink ref="AM75" r:id="rId6" display="www.nces.ed.gov" xr:uid="{00000000-0004-0000-0100-000005000000}"/>
    <hyperlink ref="AH72" r:id="rId7" xr:uid="{00000000-0004-0000-0100-000006000000}"/>
    <hyperlink ref="AI72" r:id="rId8" xr:uid="{00000000-0004-0000-0100-000007000000}"/>
    <hyperlink ref="AK72" r:id="rId9" xr:uid="{00000000-0004-0000-0100-000008000000}"/>
    <hyperlink ref="AL72" r:id="rId10" xr:uid="{00000000-0004-0000-0100-000009000000}"/>
    <hyperlink ref="AN75" r:id="rId11" display="www.nces.ed.gov" xr:uid="{00000000-0004-0000-0100-00000A000000}"/>
    <hyperlink ref="AO75" r:id="rId12" display="www.nces.ed.gov" xr:uid="{00000000-0004-0000-0100-00000B000000}"/>
    <hyperlink ref="AJ75" r:id="rId13" display="www.nces.ed.gov" xr:uid="{00000000-0004-0000-0100-00000C000000}"/>
  </hyperlinks>
  <pageMargins left="0.75" right="0.75" top="1" bottom="1" header="0.5" footer="0.5"/>
  <pageSetup orientation="portrait" r:id="rId14"/>
  <headerFooter alignWithMargins="0"/>
  <legacyDrawing r:id="rId1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D88"/>
  <sheetViews>
    <sheetView zoomScale="80" zoomScaleNormal="80" workbookViewId="0">
      <pane xSplit="1" ySplit="3" topLeftCell="B4" activePane="bottomRight" state="frozen"/>
      <selection pane="topRight" activeCell="B1" sqref="B1"/>
      <selection pane="bottomLeft" activeCell="A4" sqref="A4"/>
      <selection pane="bottomRight" activeCell="AC54" sqref="AC54:AC63"/>
    </sheetView>
  </sheetViews>
  <sheetFormatPr defaultRowHeight="12.75"/>
  <cols>
    <col min="1" max="1" width="19.28515625" style="1" customWidth="1"/>
    <col min="2" max="9" width="8.85546875" style="1" customWidth="1"/>
    <col min="10" max="10" width="9.140625" style="1"/>
    <col min="15" max="16384" width="9.140625" style="1"/>
  </cols>
  <sheetData>
    <row r="1" spans="1:30">
      <c r="A1" s="4" t="s">
        <v>216</v>
      </c>
      <c r="B1" s="98"/>
      <c r="C1" s="4"/>
      <c r="D1" s="4"/>
      <c r="E1" s="4"/>
      <c r="F1" s="4"/>
    </row>
    <row r="2" spans="1:30">
      <c r="B2" s="98"/>
      <c r="C2" s="4"/>
      <c r="D2" s="4"/>
      <c r="E2" s="4"/>
      <c r="F2" s="4"/>
    </row>
    <row r="3" spans="1:30" s="4" customFormat="1">
      <c r="A3" s="54"/>
      <c r="B3" s="101" t="s">
        <v>8</v>
      </c>
      <c r="C3" s="55" t="s">
        <v>62</v>
      </c>
      <c r="D3" s="55" t="s">
        <v>11</v>
      </c>
      <c r="E3" s="55" t="s">
        <v>64</v>
      </c>
      <c r="F3" s="55" t="s">
        <v>12</v>
      </c>
      <c r="G3" s="55" t="s">
        <v>65</v>
      </c>
      <c r="H3" s="55" t="s">
        <v>51</v>
      </c>
      <c r="I3" s="55" t="s">
        <v>79</v>
      </c>
      <c r="J3" s="55" t="s">
        <v>108</v>
      </c>
      <c r="K3" s="55" t="s">
        <v>146</v>
      </c>
      <c r="L3" s="55" t="s">
        <v>147</v>
      </c>
      <c r="M3" s="55" t="s">
        <v>170</v>
      </c>
      <c r="N3" s="55" t="s">
        <v>171</v>
      </c>
      <c r="O3" s="55" t="s">
        <v>156</v>
      </c>
      <c r="P3" s="55" t="s">
        <v>168</v>
      </c>
      <c r="Q3" s="55" t="s">
        <v>169</v>
      </c>
      <c r="R3" s="55" t="s">
        <v>180</v>
      </c>
      <c r="S3" s="55" t="s">
        <v>182</v>
      </c>
      <c r="T3" s="55" t="s">
        <v>184</v>
      </c>
      <c r="U3" s="55" t="s">
        <v>190</v>
      </c>
      <c r="V3" s="55" t="s">
        <v>204</v>
      </c>
      <c r="W3" s="55" t="s">
        <v>205</v>
      </c>
      <c r="X3" s="54" t="s">
        <v>208</v>
      </c>
      <c r="Y3" s="54" t="s">
        <v>210</v>
      </c>
      <c r="Z3" s="54" t="s">
        <v>221</v>
      </c>
      <c r="AA3" s="54" t="s">
        <v>222</v>
      </c>
      <c r="AB3" s="54" t="s">
        <v>225</v>
      </c>
      <c r="AC3" s="54" t="s">
        <v>226</v>
      </c>
    </row>
    <row r="4" spans="1:30">
      <c r="A4" s="8" t="s">
        <v>188</v>
      </c>
      <c r="B4" s="80">
        <f t="shared" ref="B4:T4" si="0">B5+B23+B38+B52+B63</f>
        <v>349627</v>
      </c>
      <c r="C4" s="56">
        <f t="shared" si="0"/>
        <v>345865</v>
      </c>
      <c r="D4" s="56">
        <f t="shared" si="0"/>
        <v>410039</v>
      </c>
      <c r="E4" s="56">
        <f t="shared" si="0"/>
        <v>420095</v>
      </c>
      <c r="F4" s="56">
        <f t="shared" si="0"/>
        <v>445180</v>
      </c>
      <c r="G4" s="56">
        <f t="shared" si="0"/>
        <v>439562</v>
      </c>
      <c r="H4" s="56">
        <f t="shared" si="0"/>
        <v>442667</v>
      </c>
      <c r="I4" s="56">
        <f t="shared" si="0"/>
        <v>454127</v>
      </c>
      <c r="J4" s="56">
        <f t="shared" si="0"/>
        <v>455084</v>
      </c>
      <c r="K4" s="56">
        <f t="shared" si="0"/>
        <v>448334</v>
      </c>
      <c r="L4" s="56">
        <f t="shared" si="0"/>
        <v>448446</v>
      </c>
      <c r="M4" s="56">
        <f t="shared" si="0"/>
        <v>0</v>
      </c>
      <c r="N4" s="56">
        <f t="shared" si="0"/>
        <v>0</v>
      </c>
      <c r="O4" s="56">
        <f t="shared" si="0"/>
        <v>496221</v>
      </c>
      <c r="P4" s="56">
        <f t="shared" si="0"/>
        <v>524742</v>
      </c>
      <c r="Q4" s="56">
        <f t="shared" si="0"/>
        <v>547002</v>
      </c>
      <c r="R4" s="56">
        <f t="shared" si="0"/>
        <v>622344</v>
      </c>
      <c r="S4" s="56">
        <f t="shared" si="0"/>
        <v>566535</v>
      </c>
      <c r="T4" s="56">
        <f t="shared" si="0"/>
        <v>578168</v>
      </c>
      <c r="U4" s="56">
        <f t="shared" ref="U4:V4" si="1">U5+U23+U38+U52+U63</f>
        <v>596098</v>
      </c>
      <c r="V4" s="56">
        <f t="shared" si="1"/>
        <v>639963</v>
      </c>
      <c r="W4" s="56">
        <f t="shared" ref="W4:X4" si="2">W5+W23+W38+W52+W63</f>
        <v>696710</v>
      </c>
      <c r="X4" s="56">
        <f t="shared" si="2"/>
        <v>755958</v>
      </c>
      <c r="Y4" s="56">
        <f t="shared" ref="Y4:AA4" si="3">Y5+Y23+Y38+Y52+Y63</f>
        <v>772715</v>
      </c>
      <c r="Z4" s="56">
        <f t="shared" si="3"/>
        <v>0</v>
      </c>
      <c r="AA4" s="56">
        <f t="shared" si="3"/>
        <v>822006</v>
      </c>
      <c r="AB4" s="56">
        <f t="shared" ref="AB4:AC4" si="4">AB5+AB23+AB38+AB52+AB63</f>
        <v>847875</v>
      </c>
      <c r="AC4" s="56">
        <f t="shared" si="4"/>
        <v>861576</v>
      </c>
      <c r="AD4" s="36"/>
    </row>
    <row r="5" spans="1:30">
      <c r="A5" s="1" t="s">
        <v>70</v>
      </c>
      <c r="B5" s="102">
        <f t="shared" ref="B5:T5" si="5">SUM(B7:B22)</f>
        <v>102153</v>
      </c>
      <c r="C5" s="57">
        <f t="shared" si="5"/>
        <v>104477</v>
      </c>
      <c r="D5" s="57">
        <f t="shared" si="5"/>
        <v>127145</v>
      </c>
      <c r="E5" s="57">
        <f t="shared" si="5"/>
        <v>131490</v>
      </c>
      <c r="F5" s="57">
        <f t="shared" si="5"/>
        <v>138110</v>
      </c>
      <c r="G5" s="57">
        <f t="shared" si="5"/>
        <v>138478</v>
      </c>
      <c r="H5" s="57">
        <f t="shared" si="5"/>
        <v>141210</v>
      </c>
      <c r="I5" s="57">
        <f t="shared" si="5"/>
        <v>148845</v>
      </c>
      <c r="J5" s="57">
        <f t="shared" si="5"/>
        <v>147552</v>
      </c>
      <c r="K5" s="57">
        <f t="shared" si="5"/>
        <v>143004</v>
      </c>
      <c r="L5" s="57">
        <f t="shared" si="5"/>
        <v>143012</v>
      </c>
      <c r="M5" s="57">
        <f t="shared" si="5"/>
        <v>0</v>
      </c>
      <c r="N5" s="57">
        <f t="shared" si="5"/>
        <v>0</v>
      </c>
      <c r="O5" s="57">
        <f t="shared" si="5"/>
        <v>164802</v>
      </c>
      <c r="P5" s="57">
        <f t="shared" si="5"/>
        <v>177866</v>
      </c>
      <c r="Q5" s="57">
        <f t="shared" si="5"/>
        <v>186782</v>
      </c>
      <c r="R5" s="57">
        <f t="shared" si="5"/>
        <v>211042</v>
      </c>
      <c r="S5" s="57">
        <f t="shared" si="5"/>
        <v>195676</v>
      </c>
      <c r="T5" s="57">
        <f t="shared" si="5"/>
        <v>202978</v>
      </c>
      <c r="U5" s="57">
        <f t="shared" ref="U5:V5" si="6">SUM(U7:U22)</f>
        <v>211863</v>
      </c>
      <c r="V5" s="57">
        <f t="shared" si="6"/>
        <v>236907</v>
      </c>
      <c r="W5" s="57">
        <f t="shared" ref="W5:X5" si="7">SUM(W7:W22)</f>
        <v>260731</v>
      </c>
      <c r="X5" s="57">
        <f t="shared" si="7"/>
        <v>290210</v>
      </c>
      <c r="Y5" s="57">
        <f t="shared" ref="Y5:AA5" si="8">SUM(Y7:Y22)</f>
        <v>291231</v>
      </c>
      <c r="Z5" s="57">
        <f t="shared" si="8"/>
        <v>0</v>
      </c>
      <c r="AA5" s="57">
        <f t="shared" si="8"/>
        <v>308045</v>
      </c>
      <c r="AB5" s="57">
        <f t="shared" ref="AB5:AC5" si="9">SUM(AB7:AB22)</f>
        <v>322150</v>
      </c>
      <c r="AC5" s="57">
        <f t="shared" si="9"/>
        <v>328676</v>
      </c>
      <c r="AD5" s="36"/>
    </row>
    <row r="6" spans="1:30">
      <c r="A6" s="1" t="s">
        <v>189</v>
      </c>
      <c r="B6" s="82">
        <f t="shared" ref="B6:T6" si="10">(B5/B$4)*100</f>
        <v>29.217709158617609</v>
      </c>
      <c r="C6" s="58">
        <f t="shared" si="10"/>
        <v>30.20745088401544</v>
      </c>
      <c r="D6" s="58">
        <f t="shared" si="10"/>
        <v>31.008026065813254</v>
      </c>
      <c r="E6" s="58">
        <f t="shared" si="10"/>
        <v>31.300063080969782</v>
      </c>
      <c r="F6" s="58">
        <f t="shared" si="10"/>
        <v>31.023406262635341</v>
      </c>
      <c r="G6" s="58">
        <f t="shared" si="10"/>
        <v>31.503633162102275</v>
      </c>
      <c r="H6" s="58">
        <f t="shared" si="10"/>
        <v>31.899825376637519</v>
      </c>
      <c r="I6" s="58">
        <f t="shared" si="10"/>
        <v>32.776073653405327</v>
      </c>
      <c r="J6" s="58">
        <f t="shared" si="10"/>
        <v>32.423025199743343</v>
      </c>
      <c r="K6" s="58">
        <f t="shared" si="10"/>
        <v>31.896755543857928</v>
      </c>
      <c r="L6" s="58">
        <f t="shared" si="10"/>
        <v>31.890573223977913</v>
      </c>
      <c r="M6" s="58" t="e">
        <f t="shared" si="10"/>
        <v>#DIV/0!</v>
      </c>
      <c r="N6" s="58" t="e">
        <f t="shared" si="10"/>
        <v>#DIV/0!</v>
      </c>
      <c r="O6" s="58">
        <f t="shared" si="10"/>
        <v>33.211411850768108</v>
      </c>
      <c r="P6" s="58">
        <f t="shared" si="10"/>
        <v>33.895895506744267</v>
      </c>
      <c r="Q6" s="58">
        <f t="shared" si="10"/>
        <v>34.146493065838882</v>
      </c>
      <c r="R6" s="58">
        <f t="shared" si="10"/>
        <v>33.910827452341472</v>
      </c>
      <c r="S6" s="58">
        <f t="shared" si="10"/>
        <v>34.53908408130124</v>
      </c>
      <c r="T6" s="58">
        <f t="shared" si="10"/>
        <v>35.107096899171175</v>
      </c>
      <c r="U6" s="58">
        <f t="shared" ref="U6:V6" si="11">(U5/U$4)*100</f>
        <v>35.54163912645236</v>
      </c>
      <c r="V6" s="58">
        <f t="shared" si="11"/>
        <v>37.018858902780316</v>
      </c>
      <c r="W6" s="58">
        <f t="shared" ref="W6:X6" si="12">(W5/W$4)*100</f>
        <v>37.423174635070545</v>
      </c>
      <c r="X6" s="58">
        <f t="shared" si="12"/>
        <v>38.389698898616061</v>
      </c>
      <c r="Y6" s="58">
        <f t="shared" ref="Y6:AA6" si="13">(Y5/Y$4)*100</f>
        <v>37.689316242081496</v>
      </c>
      <c r="Z6" s="58" t="e">
        <f t="shared" si="13"/>
        <v>#DIV/0!</v>
      </c>
      <c r="AA6" s="58">
        <f t="shared" si="13"/>
        <v>37.474787288657261</v>
      </c>
      <c r="AB6" s="58">
        <f t="shared" ref="AB6:AC6" si="14">(AB5/AB$4)*100</f>
        <v>37.994987468671681</v>
      </c>
      <c r="AC6" s="58">
        <f t="shared" si="14"/>
        <v>38.148230684234477</v>
      </c>
    </row>
    <row r="7" spans="1:30">
      <c r="A7" s="1" t="s">
        <v>14</v>
      </c>
      <c r="B7" s="10">
        <v>4866</v>
      </c>
      <c r="C7" s="1">
        <v>4700</v>
      </c>
      <c r="D7" s="1">
        <v>6460</v>
      </c>
      <c r="E7" s="1">
        <v>6726</v>
      </c>
      <c r="F7" s="1">
        <v>7101</v>
      </c>
      <c r="G7" s="1">
        <v>7176</v>
      </c>
      <c r="H7" s="1">
        <v>7320</v>
      </c>
      <c r="I7" s="1">
        <v>7590</v>
      </c>
      <c r="J7" s="1">
        <v>7993</v>
      </c>
      <c r="K7" s="1">
        <v>7035</v>
      </c>
      <c r="L7" s="1">
        <v>7017</v>
      </c>
      <c r="M7" s="1"/>
      <c r="N7" s="1"/>
      <c r="O7" s="1">
        <v>7321</v>
      </c>
      <c r="P7" s="1">
        <v>7735</v>
      </c>
      <c r="Q7" s="1">
        <v>8040</v>
      </c>
      <c r="R7" s="1">
        <v>8078</v>
      </c>
      <c r="S7" s="1">
        <v>7443</v>
      </c>
      <c r="T7" s="1">
        <v>8150</v>
      </c>
      <c r="U7" s="1">
        <v>7985</v>
      </c>
      <c r="V7" s="1">
        <v>8522</v>
      </c>
      <c r="W7" s="1">
        <v>9204</v>
      </c>
      <c r="X7" s="1">
        <v>10284</v>
      </c>
      <c r="Y7" s="1">
        <v>9793</v>
      </c>
      <c r="AA7" s="1">
        <v>9964</v>
      </c>
      <c r="AB7" s="1">
        <v>9871</v>
      </c>
      <c r="AC7" s="1">
        <v>10102</v>
      </c>
    </row>
    <row r="8" spans="1:30">
      <c r="A8" s="1" t="s">
        <v>15</v>
      </c>
      <c r="B8" s="10">
        <v>1616</v>
      </c>
      <c r="C8" s="1">
        <v>1584</v>
      </c>
      <c r="D8" s="1">
        <v>2362</v>
      </c>
      <c r="E8" s="1">
        <v>2361</v>
      </c>
      <c r="F8" s="1">
        <v>2596</v>
      </c>
      <c r="G8" s="1">
        <v>2416</v>
      </c>
      <c r="H8" s="1">
        <v>2869</v>
      </c>
      <c r="I8" s="1">
        <v>3197</v>
      </c>
      <c r="J8" s="1">
        <v>3028</v>
      </c>
      <c r="K8" s="1">
        <v>3172</v>
      </c>
      <c r="L8" s="1">
        <v>3638</v>
      </c>
      <c r="M8" s="1"/>
      <c r="N8" s="1"/>
      <c r="O8" s="1">
        <v>4431</v>
      </c>
      <c r="P8" s="1">
        <v>4689</v>
      </c>
      <c r="Q8" s="1">
        <v>4970</v>
      </c>
      <c r="R8" s="1">
        <v>5333</v>
      </c>
      <c r="S8" s="1">
        <v>5534</v>
      </c>
      <c r="T8" s="1">
        <v>5349</v>
      </c>
      <c r="U8" s="1">
        <v>6276</v>
      </c>
      <c r="V8" s="1">
        <v>6945</v>
      </c>
      <c r="W8" s="1">
        <v>9926</v>
      </c>
      <c r="X8" s="1">
        <v>8122</v>
      </c>
      <c r="Y8" s="1">
        <v>8218</v>
      </c>
      <c r="AA8" s="1">
        <v>8788</v>
      </c>
      <c r="AB8" s="1">
        <v>8524</v>
      </c>
      <c r="AC8" s="1">
        <v>8153</v>
      </c>
    </row>
    <row r="9" spans="1:30">
      <c r="A9" s="1" t="s">
        <v>50</v>
      </c>
      <c r="B9" s="10">
        <v>699</v>
      </c>
      <c r="C9" s="1">
        <v>668</v>
      </c>
      <c r="D9" s="1">
        <v>938</v>
      </c>
      <c r="E9" s="1">
        <v>1054</v>
      </c>
      <c r="F9" s="1">
        <v>974</v>
      </c>
      <c r="G9" s="1">
        <v>934</v>
      </c>
      <c r="H9" s="1">
        <v>987</v>
      </c>
      <c r="I9" s="1">
        <v>863</v>
      </c>
      <c r="J9" s="1">
        <v>913</v>
      </c>
      <c r="K9" s="1">
        <v>884</v>
      </c>
      <c r="L9" s="1">
        <v>936</v>
      </c>
      <c r="M9" s="1"/>
      <c r="N9" s="1"/>
      <c r="O9" s="1">
        <v>922</v>
      </c>
      <c r="P9" s="1">
        <v>912</v>
      </c>
      <c r="Q9" s="1">
        <v>1045</v>
      </c>
      <c r="R9" s="1">
        <v>1122</v>
      </c>
      <c r="S9" s="1">
        <v>1243</v>
      </c>
      <c r="T9" s="1">
        <v>1314</v>
      </c>
      <c r="U9" s="1">
        <v>1438</v>
      </c>
      <c r="V9" s="1">
        <v>1482</v>
      </c>
      <c r="W9" s="1">
        <v>1593</v>
      </c>
      <c r="X9" s="1">
        <v>1735</v>
      </c>
      <c r="Y9" s="1">
        <v>1858</v>
      </c>
      <c r="AA9" s="1">
        <v>1874</v>
      </c>
      <c r="AB9" s="1">
        <v>1900</v>
      </c>
      <c r="AC9" s="1">
        <v>1943</v>
      </c>
    </row>
    <row r="10" spans="1:30">
      <c r="A10" s="1" t="s">
        <v>16</v>
      </c>
      <c r="B10" s="10">
        <v>24853</v>
      </c>
      <c r="C10" s="1">
        <v>26243</v>
      </c>
      <c r="D10" s="1">
        <v>33813</v>
      </c>
      <c r="E10" s="1">
        <v>33741</v>
      </c>
      <c r="F10" s="1">
        <v>34564</v>
      </c>
      <c r="G10" s="1">
        <v>34286</v>
      </c>
      <c r="H10" s="1">
        <v>35984</v>
      </c>
      <c r="I10" s="1">
        <v>38325</v>
      </c>
      <c r="J10" s="1">
        <v>40033</v>
      </c>
      <c r="K10" s="1">
        <v>36898</v>
      </c>
      <c r="L10" s="1">
        <v>35348</v>
      </c>
      <c r="M10" s="1"/>
      <c r="N10" s="1"/>
      <c r="O10" s="1">
        <v>41048</v>
      </c>
      <c r="P10" s="1">
        <v>43440</v>
      </c>
      <c r="Q10" s="1">
        <v>44961</v>
      </c>
      <c r="R10" s="1">
        <v>51095</v>
      </c>
      <c r="S10" s="1">
        <v>47284</v>
      </c>
      <c r="T10" s="1">
        <v>51305</v>
      </c>
      <c r="U10" s="1">
        <v>54154</v>
      </c>
      <c r="V10" s="1">
        <v>63305</v>
      </c>
      <c r="W10" s="1">
        <v>67738</v>
      </c>
      <c r="X10" s="1">
        <v>79362</v>
      </c>
      <c r="Y10" s="1">
        <v>75543</v>
      </c>
      <c r="AA10" s="1">
        <v>72803</v>
      </c>
      <c r="AB10" s="1">
        <v>74497</v>
      </c>
      <c r="AC10" s="1">
        <v>75351</v>
      </c>
    </row>
    <row r="11" spans="1:30">
      <c r="A11" s="1" t="s">
        <v>17</v>
      </c>
      <c r="B11" s="10">
        <v>4504</v>
      </c>
      <c r="C11" s="1">
        <v>4150</v>
      </c>
      <c r="D11" s="1">
        <v>6353</v>
      </c>
      <c r="E11" s="1">
        <v>6396</v>
      </c>
      <c r="F11" s="1">
        <v>7354</v>
      </c>
      <c r="G11" s="1">
        <v>7193</v>
      </c>
      <c r="H11" s="1">
        <v>7476</v>
      </c>
      <c r="I11" s="1">
        <v>7422</v>
      </c>
      <c r="J11" s="1">
        <v>7428</v>
      </c>
      <c r="K11" s="1">
        <v>6490</v>
      </c>
      <c r="L11" s="1">
        <v>6163</v>
      </c>
      <c r="M11" s="1"/>
      <c r="N11" s="1"/>
      <c r="O11" s="1">
        <v>8522</v>
      </c>
      <c r="P11" s="1">
        <v>9678</v>
      </c>
      <c r="Q11" s="1">
        <v>10359</v>
      </c>
      <c r="R11" s="1">
        <v>11281</v>
      </c>
      <c r="S11" s="1">
        <v>10471</v>
      </c>
      <c r="T11" s="1">
        <v>10959</v>
      </c>
      <c r="U11" s="1">
        <v>11575</v>
      </c>
      <c r="V11" s="1">
        <v>12632</v>
      </c>
      <c r="W11" s="1">
        <v>14312</v>
      </c>
      <c r="X11" s="1">
        <v>14496</v>
      </c>
      <c r="Y11" s="1">
        <v>14393</v>
      </c>
      <c r="AA11" s="1">
        <v>14712</v>
      </c>
      <c r="AB11" s="1">
        <v>16142</v>
      </c>
      <c r="AC11" s="1">
        <v>16302</v>
      </c>
    </row>
    <row r="12" spans="1:30">
      <c r="A12" s="1" t="s">
        <v>18</v>
      </c>
      <c r="B12" s="10">
        <v>3659</v>
      </c>
      <c r="C12" s="1">
        <v>3431</v>
      </c>
      <c r="D12" s="1">
        <v>4383</v>
      </c>
      <c r="E12" s="1">
        <v>4884</v>
      </c>
      <c r="F12" s="1">
        <v>4786</v>
      </c>
      <c r="G12" s="1">
        <v>4937</v>
      </c>
      <c r="H12" s="1">
        <v>4926</v>
      </c>
      <c r="I12" s="1">
        <v>5078</v>
      </c>
      <c r="J12" s="1">
        <v>4728</v>
      </c>
      <c r="K12" s="1">
        <v>4552</v>
      </c>
      <c r="L12" s="1">
        <v>4528</v>
      </c>
      <c r="M12" s="1"/>
      <c r="N12" s="1"/>
      <c r="O12" s="1">
        <v>5866</v>
      </c>
      <c r="P12" s="1">
        <v>6451</v>
      </c>
      <c r="Q12" s="1">
        <v>6759</v>
      </c>
      <c r="R12" s="1">
        <v>8644</v>
      </c>
      <c r="S12" s="1">
        <v>7425</v>
      </c>
      <c r="T12" s="1">
        <v>7360</v>
      </c>
      <c r="U12" s="1">
        <v>7615</v>
      </c>
      <c r="V12" s="1">
        <v>8059</v>
      </c>
      <c r="W12" s="1">
        <v>8693</v>
      </c>
      <c r="X12" s="1">
        <v>9757</v>
      </c>
      <c r="Y12" s="1">
        <v>9712</v>
      </c>
      <c r="AA12" s="1">
        <v>10411</v>
      </c>
      <c r="AB12" s="1">
        <v>10348</v>
      </c>
      <c r="AC12" s="1">
        <v>10623</v>
      </c>
    </row>
    <row r="13" spans="1:30">
      <c r="A13" s="1" t="s">
        <v>19</v>
      </c>
      <c r="B13" s="10">
        <v>2271</v>
      </c>
      <c r="C13" s="1">
        <v>2000</v>
      </c>
      <c r="D13" s="1">
        <v>2239</v>
      </c>
      <c r="E13" s="1">
        <v>2537</v>
      </c>
      <c r="F13" s="1">
        <v>2784</v>
      </c>
      <c r="G13" s="1">
        <v>2879</v>
      </c>
      <c r="H13" s="1">
        <v>3535</v>
      </c>
      <c r="I13" s="1">
        <v>5005</v>
      </c>
      <c r="J13" s="1">
        <v>4054</v>
      </c>
      <c r="K13" s="1">
        <v>4531</v>
      </c>
      <c r="L13" s="1">
        <v>4350</v>
      </c>
      <c r="M13" s="1"/>
      <c r="N13" s="1"/>
      <c r="O13" s="1">
        <v>4137</v>
      </c>
      <c r="P13" s="1">
        <v>4781</v>
      </c>
      <c r="Q13" s="1">
        <v>4263</v>
      </c>
      <c r="R13" s="1">
        <v>4116</v>
      </c>
      <c r="S13" s="1">
        <v>3851</v>
      </c>
      <c r="T13" s="1">
        <v>3805</v>
      </c>
      <c r="U13" s="1">
        <v>4072</v>
      </c>
      <c r="V13" s="1">
        <v>4381</v>
      </c>
      <c r="W13" s="1">
        <v>5416</v>
      </c>
      <c r="X13" s="1">
        <v>5938</v>
      </c>
      <c r="Y13" s="1">
        <v>5404</v>
      </c>
      <c r="AA13" s="1">
        <v>5767</v>
      </c>
      <c r="AB13" s="1">
        <v>6183</v>
      </c>
      <c r="AC13" s="1">
        <v>5801</v>
      </c>
    </row>
    <row r="14" spans="1:30">
      <c r="A14" s="1" t="s">
        <v>20</v>
      </c>
      <c r="B14" s="10">
        <v>6592</v>
      </c>
      <c r="C14" s="1">
        <v>6402</v>
      </c>
      <c r="D14" s="1">
        <v>7723</v>
      </c>
      <c r="E14" s="1">
        <v>7919</v>
      </c>
      <c r="F14" s="1">
        <v>7788</v>
      </c>
      <c r="G14" s="1">
        <v>8186</v>
      </c>
      <c r="H14" s="1">
        <v>8129</v>
      </c>
      <c r="I14" s="1">
        <v>7630</v>
      </c>
      <c r="J14" s="1">
        <v>7479</v>
      </c>
      <c r="K14" s="1">
        <v>7297</v>
      </c>
      <c r="L14" s="1">
        <v>7015</v>
      </c>
      <c r="M14" s="1"/>
      <c r="N14" s="1"/>
      <c r="O14" s="1">
        <v>7987</v>
      </c>
      <c r="P14" s="1">
        <v>8507</v>
      </c>
      <c r="Q14" s="1">
        <v>9200</v>
      </c>
      <c r="R14" s="1">
        <v>9954</v>
      </c>
      <c r="S14" s="1">
        <v>9874</v>
      </c>
      <c r="T14" s="1">
        <v>10446</v>
      </c>
      <c r="U14" s="1">
        <v>10624</v>
      </c>
      <c r="V14" s="1">
        <v>11455</v>
      </c>
      <c r="W14" s="1">
        <v>12919</v>
      </c>
      <c r="X14" s="1">
        <v>14250</v>
      </c>
      <c r="Y14" s="1">
        <v>14741</v>
      </c>
      <c r="AA14" s="1">
        <v>16249</v>
      </c>
      <c r="AB14" s="1">
        <v>16594</v>
      </c>
      <c r="AC14" s="1">
        <v>16507</v>
      </c>
    </row>
    <row r="15" spans="1:30">
      <c r="A15" s="1" t="s">
        <v>21</v>
      </c>
      <c r="B15" s="10">
        <v>3906</v>
      </c>
      <c r="C15" s="1">
        <v>3923</v>
      </c>
      <c r="D15" s="1">
        <v>4937</v>
      </c>
      <c r="E15" s="1">
        <v>5072</v>
      </c>
      <c r="F15" s="1">
        <v>5313</v>
      </c>
      <c r="G15" s="1">
        <v>5340</v>
      </c>
      <c r="H15" s="1">
        <v>5804</v>
      </c>
      <c r="I15" s="1">
        <v>5643</v>
      </c>
      <c r="J15" s="1">
        <v>5638</v>
      </c>
      <c r="K15" s="1">
        <v>6403</v>
      </c>
      <c r="L15" s="1">
        <v>6632</v>
      </c>
      <c r="M15" s="1"/>
      <c r="N15" s="1"/>
      <c r="O15" s="1">
        <v>7231</v>
      </c>
      <c r="P15" s="1">
        <v>7923</v>
      </c>
      <c r="Q15" s="1">
        <v>8327</v>
      </c>
      <c r="R15" s="1">
        <v>8411</v>
      </c>
      <c r="S15" s="1">
        <v>8239</v>
      </c>
      <c r="T15" s="1">
        <v>8420</v>
      </c>
      <c r="U15" s="1">
        <v>8652</v>
      </c>
      <c r="V15" s="1">
        <v>9403</v>
      </c>
      <c r="W15" s="1">
        <v>10931</v>
      </c>
      <c r="X15" s="1">
        <v>12305</v>
      </c>
      <c r="Y15" s="1">
        <v>11410</v>
      </c>
      <c r="AA15" s="1">
        <v>12835</v>
      </c>
      <c r="AB15" s="1">
        <v>13419</v>
      </c>
      <c r="AC15" s="1">
        <v>13213</v>
      </c>
    </row>
    <row r="16" spans="1:30">
      <c r="A16" s="1" t="s">
        <v>22</v>
      </c>
      <c r="B16" s="10">
        <v>9217</v>
      </c>
      <c r="C16" s="1">
        <v>8918</v>
      </c>
      <c r="D16" s="1">
        <v>10794</v>
      </c>
      <c r="E16" s="1">
        <v>11163</v>
      </c>
      <c r="F16" s="1">
        <v>12627</v>
      </c>
      <c r="G16" s="1">
        <v>13195</v>
      </c>
      <c r="H16" s="1">
        <v>13032</v>
      </c>
      <c r="I16" s="1">
        <v>14814</v>
      </c>
      <c r="J16" s="1">
        <v>13262</v>
      </c>
      <c r="K16" s="1">
        <v>12029</v>
      </c>
      <c r="L16" s="1">
        <v>12640</v>
      </c>
      <c r="M16" s="1"/>
      <c r="N16" s="1"/>
      <c r="O16" s="1">
        <v>14404</v>
      </c>
      <c r="P16" s="1">
        <v>16399</v>
      </c>
      <c r="Q16" s="1">
        <v>17229</v>
      </c>
      <c r="R16" s="1">
        <v>17930</v>
      </c>
      <c r="S16" s="1">
        <v>17767</v>
      </c>
      <c r="T16" s="1">
        <v>17783</v>
      </c>
      <c r="U16" s="1">
        <v>18412</v>
      </c>
      <c r="V16" s="1">
        <v>20520</v>
      </c>
      <c r="W16" s="1">
        <v>22681</v>
      </c>
      <c r="X16" s="1">
        <v>24874</v>
      </c>
      <c r="Y16" s="1">
        <v>25855</v>
      </c>
      <c r="AA16" s="1">
        <v>28946</v>
      </c>
      <c r="AB16" s="1">
        <v>29631</v>
      </c>
      <c r="AC16" s="1">
        <v>31539</v>
      </c>
    </row>
    <row r="17" spans="1:29">
      <c r="A17" s="1" t="s">
        <v>23</v>
      </c>
      <c r="B17" s="10">
        <v>4364</v>
      </c>
      <c r="C17" s="1">
        <v>4401</v>
      </c>
      <c r="D17" s="1">
        <v>5554</v>
      </c>
      <c r="E17" s="1">
        <v>5840</v>
      </c>
      <c r="F17" s="1">
        <v>6208</v>
      </c>
      <c r="G17" s="1">
        <v>6568</v>
      </c>
      <c r="H17" s="1">
        <v>5974</v>
      </c>
      <c r="I17" s="1">
        <v>6353</v>
      </c>
      <c r="J17" s="1">
        <v>6537</v>
      </c>
      <c r="K17" s="1">
        <v>6289</v>
      </c>
      <c r="L17" s="1">
        <v>6193</v>
      </c>
      <c r="M17" s="1"/>
      <c r="N17" s="1"/>
      <c r="O17" s="1">
        <v>7449</v>
      </c>
      <c r="P17" s="1">
        <v>8002</v>
      </c>
      <c r="Q17" s="1">
        <v>8184</v>
      </c>
      <c r="R17" s="1">
        <v>8782</v>
      </c>
      <c r="S17" s="1">
        <v>8478</v>
      </c>
      <c r="T17" s="1">
        <v>8313</v>
      </c>
      <c r="U17" s="1">
        <v>8201</v>
      </c>
      <c r="V17" s="1">
        <v>8412</v>
      </c>
      <c r="W17" s="1">
        <v>9150</v>
      </c>
      <c r="X17" s="1">
        <v>9824</v>
      </c>
      <c r="Y17" s="1">
        <v>10856</v>
      </c>
      <c r="AA17" s="1">
        <v>11484</v>
      </c>
      <c r="AB17" s="1">
        <v>10896</v>
      </c>
      <c r="AC17" s="1">
        <v>10375</v>
      </c>
    </row>
    <row r="18" spans="1:29">
      <c r="A18" s="1" t="s">
        <v>24</v>
      </c>
      <c r="B18" s="10">
        <v>3930</v>
      </c>
      <c r="C18" s="1">
        <v>3824</v>
      </c>
      <c r="D18" s="1">
        <v>5360</v>
      </c>
      <c r="E18" s="1">
        <v>5103</v>
      </c>
      <c r="F18" s="1">
        <v>5293</v>
      </c>
      <c r="G18" s="1">
        <v>5435</v>
      </c>
      <c r="H18" s="1">
        <v>5558</v>
      </c>
      <c r="I18" s="1">
        <v>5563</v>
      </c>
      <c r="J18" s="1">
        <v>5478</v>
      </c>
      <c r="K18" s="1">
        <v>5725</v>
      </c>
      <c r="L18" s="1">
        <v>5803</v>
      </c>
      <c r="M18" s="1"/>
      <c r="N18" s="1"/>
      <c r="O18" s="1">
        <v>6520</v>
      </c>
      <c r="P18" s="1">
        <v>6829</v>
      </c>
      <c r="Q18" s="1">
        <v>6826</v>
      </c>
      <c r="R18" s="1">
        <v>7329</v>
      </c>
      <c r="S18" s="1">
        <v>6792</v>
      </c>
      <c r="T18" s="1">
        <v>7003</v>
      </c>
      <c r="U18" s="1">
        <v>7351</v>
      </c>
      <c r="V18" s="1">
        <v>7528</v>
      </c>
      <c r="W18" s="1">
        <v>8341</v>
      </c>
      <c r="X18" s="1">
        <v>8953</v>
      </c>
      <c r="Y18" s="1">
        <v>9516</v>
      </c>
      <c r="AA18" s="1">
        <v>9930</v>
      </c>
      <c r="AB18" s="1">
        <v>10050</v>
      </c>
      <c r="AC18" s="1">
        <v>9954</v>
      </c>
    </row>
    <row r="19" spans="1:29">
      <c r="A19" s="1" t="s">
        <v>25</v>
      </c>
      <c r="B19" s="10">
        <v>4050</v>
      </c>
      <c r="C19" s="1">
        <v>4355</v>
      </c>
      <c r="D19" s="1">
        <v>4948</v>
      </c>
      <c r="E19" s="1">
        <v>5378</v>
      </c>
      <c r="F19" s="1">
        <v>5674</v>
      </c>
      <c r="G19" s="1">
        <v>5658</v>
      </c>
      <c r="H19" s="1">
        <v>5814</v>
      </c>
      <c r="I19" s="1">
        <v>5944</v>
      </c>
      <c r="J19" s="1">
        <v>5621</v>
      </c>
      <c r="K19" s="1">
        <v>5842</v>
      </c>
      <c r="L19" s="1">
        <v>6011</v>
      </c>
      <c r="M19" s="1"/>
      <c r="N19" s="1"/>
      <c r="O19" s="1">
        <v>6345</v>
      </c>
      <c r="P19" s="1">
        <v>6362</v>
      </c>
      <c r="Q19" s="1">
        <v>6992</v>
      </c>
      <c r="R19" s="1">
        <v>8807</v>
      </c>
      <c r="S19" s="1">
        <v>7151</v>
      </c>
      <c r="T19" s="1">
        <v>6998</v>
      </c>
      <c r="U19" s="1">
        <v>7028</v>
      </c>
      <c r="V19" s="1">
        <v>7723</v>
      </c>
      <c r="W19" s="1">
        <v>8647</v>
      </c>
      <c r="X19" s="1">
        <v>9497</v>
      </c>
      <c r="Y19" s="1">
        <v>9729</v>
      </c>
      <c r="AA19" s="1">
        <v>9896</v>
      </c>
      <c r="AB19" s="1">
        <v>10703</v>
      </c>
      <c r="AC19" s="1">
        <v>11103</v>
      </c>
    </row>
    <row r="20" spans="1:29">
      <c r="A20" s="1" t="s">
        <v>26</v>
      </c>
      <c r="B20" s="10">
        <v>19277</v>
      </c>
      <c r="C20" s="1">
        <v>20620</v>
      </c>
      <c r="D20" s="1">
        <v>20887</v>
      </c>
      <c r="E20" s="1">
        <v>22516</v>
      </c>
      <c r="F20" s="1">
        <v>23333</v>
      </c>
      <c r="G20" s="1">
        <v>23210</v>
      </c>
      <c r="H20" s="1">
        <v>22605</v>
      </c>
      <c r="I20" s="1">
        <v>23309</v>
      </c>
      <c r="J20" s="1">
        <v>24104</v>
      </c>
      <c r="K20" s="1">
        <v>24579</v>
      </c>
      <c r="L20" s="1">
        <v>25665</v>
      </c>
      <c r="M20" s="1"/>
      <c r="N20" s="1"/>
      <c r="O20" s="1">
        <v>30272</v>
      </c>
      <c r="P20" s="1">
        <v>33691</v>
      </c>
      <c r="Q20" s="1">
        <v>35904</v>
      </c>
      <c r="R20" s="1">
        <v>42073</v>
      </c>
      <c r="S20" s="1">
        <v>39498</v>
      </c>
      <c r="T20" s="1">
        <v>41006</v>
      </c>
      <c r="U20" s="1">
        <v>42452</v>
      </c>
      <c r="V20" s="1">
        <v>49598</v>
      </c>
      <c r="W20" s="1">
        <v>52042</v>
      </c>
      <c r="X20" s="1">
        <v>59683</v>
      </c>
      <c r="Y20" s="1">
        <v>62317</v>
      </c>
      <c r="AA20" s="1">
        <v>72359</v>
      </c>
      <c r="AB20" s="1">
        <v>80767</v>
      </c>
      <c r="AC20" s="1">
        <v>85631</v>
      </c>
    </row>
    <row r="21" spans="1:29">
      <c r="A21" s="1" t="s">
        <v>27</v>
      </c>
      <c r="B21" s="10">
        <v>6427</v>
      </c>
      <c r="C21" s="1">
        <v>7396</v>
      </c>
      <c r="D21" s="1">
        <v>8294</v>
      </c>
      <c r="E21" s="1">
        <v>8579</v>
      </c>
      <c r="F21" s="1">
        <v>9431</v>
      </c>
      <c r="G21" s="1">
        <v>8941</v>
      </c>
      <c r="H21" s="1">
        <v>9052</v>
      </c>
      <c r="I21" s="1">
        <v>9461</v>
      </c>
      <c r="J21" s="1">
        <v>9122</v>
      </c>
      <c r="K21" s="1">
        <v>9122</v>
      </c>
      <c r="L21" s="1">
        <v>8954</v>
      </c>
      <c r="M21" s="1"/>
      <c r="N21" s="1"/>
      <c r="O21" s="1">
        <v>10413</v>
      </c>
      <c r="P21" s="1">
        <v>10659</v>
      </c>
      <c r="Q21" s="1">
        <v>11133</v>
      </c>
      <c r="R21" s="1">
        <v>15116</v>
      </c>
      <c r="S21" s="1">
        <v>11898</v>
      </c>
      <c r="T21" s="1">
        <v>12375</v>
      </c>
      <c r="U21" s="1">
        <v>13298</v>
      </c>
      <c r="V21" s="1">
        <v>14229</v>
      </c>
      <c r="W21" s="1">
        <v>16052</v>
      </c>
      <c r="X21" s="1">
        <v>18074</v>
      </c>
      <c r="Y21" s="1">
        <v>18623</v>
      </c>
      <c r="AA21" s="1">
        <v>18433</v>
      </c>
      <c r="AB21" s="1">
        <v>19137</v>
      </c>
      <c r="AC21" s="1">
        <v>18571</v>
      </c>
    </row>
    <row r="22" spans="1:29">
      <c r="A22" s="5" t="s">
        <v>28</v>
      </c>
      <c r="B22" s="18">
        <v>1922</v>
      </c>
      <c r="C22" s="5">
        <v>1862</v>
      </c>
      <c r="D22" s="5">
        <v>2100</v>
      </c>
      <c r="E22" s="5">
        <v>2221</v>
      </c>
      <c r="F22" s="5">
        <v>2284</v>
      </c>
      <c r="G22" s="5">
        <v>2124</v>
      </c>
      <c r="H22" s="5">
        <v>2145</v>
      </c>
      <c r="I22" s="5">
        <v>2648</v>
      </c>
      <c r="J22" s="5">
        <v>2134</v>
      </c>
      <c r="K22" s="5">
        <v>2156</v>
      </c>
      <c r="L22" s="5">
        <v>2119</v>
      </c>
      <c r="M22" s="5"/>
      <c r="N22" s="5"/>
      <c r="O22" s="5">
        <v>1934</v>
      </c>
      <c r="P22" s="5">
        <v>1808</v>
      </c>
      <c r="Q22" s="5">
        <v>2590</v>
      </c>
      <c r="R22" s="5">
        <v>2971</v>
      </c>
      <c r="S22" s="5">
        <v>2728</v>
      </c>
      <c r="T22" s="5">
        <v>2392</v>
      </c>
      <c r="U22" s="5">
        <v>2730</v>
      </c>
      <c r="V22" s="5">
        <v>2713</v>
      </c>
      <c r="W22" s="5">
        <v>3086</v>
      </c>
      <c r="X22" s="5">
        <v>3056</v>
      </c>
      <c r="Y22" s="1">
        <v>3263</v>
      </c>
      <c r="AA22" s="1">
        <v>3594</v>
      </c>
      <c r="AB22" s="1">
        <v>3488</v>
      </c>
      <c r="AC22" s="1">
        <v>3508</v>
      </c>
    </row>
    <row r="23" spans="1:29">
      <c r="A23" s="1" t="s">
        <v>185</v>
      </c>
      <c r="B23" s="102">
        <f t="shared" ref="B23:T23" si="15">SUM(B25:B37)</f>
        <v>76940</v>
      </c>
      <c r="C23" s="57">
        <f t="shared" si="15"/>
        <v>77099</v>
      </c>
      <c r="D23" s="57">
        <f t="shared" si="15"/>
        <v>90396</v>
      </c>
      <c r="E23" s="57">
        <f t="shared" si="15"/>
        <v>93806</v>
      </c>
      <c r="F23" s="57">
        <f t="shared" si="15"/>
        <v>99842</v>
      </c>
      <c r="G23" s="57">
        <f t="shared" si="15"/>
        <v>105396</v>
      </c>
      <c r="H23" s="57">
        <f t="shared" si="15"/>
        <v>109771</v>
      </c>
      <c r="I23" s="57">
        <f t="shared" si="15"/>
        <v>113755</v>
      </c>
      <c r="J23" s="57">
        <f t="shared" si="15"/>
        <v>116054</v>
      </c>
      <c r="K23" s="57">
        <f t="shared" si="15"/>
        <v>119688</v>
      </c>
      <c r="L23" s="57">
        <f t="shared" si="15"/>
        <v>121183</v>
      </c>
      <c r="M23" s="57">
        <f t="shared" si="15"/>
        <v>0</v>
      </c>
      <c r="N23" s="57">
        <f t="shared" si="15"/>
        <v>0</v>
      </c>
      <c r="O23" s="57">
        <f t="shared" si="15"/>
        <v>136054</v>
      </c>
      <c r="P23" s="57">
        <f t="shared" si="15"/>
        <v>142364</v>
      </c>
      <c r="Q23" s="57">
        <f t="shared" si="15"/>
        <v>146331</v>
      </c>
      <c r="R23" s="57">
        <f t="shared" si="15"/>
        <v>163779</v>
      </c>
      <c r="S23" s="57">
        <f t="shared" si="15"/>
        <v>151047</v>
      </c>
      <c r="T23" s="57">
        <f t="shared" si="15"/>
        <v>152234</v>
      </c>
      <c r="U23" s="57">
        <f t="shared" ref="U23:V23" si="16">SUM(U25:U37)</f>
        <v>155989</v>
      </c>
      <c r="V23" s="57">
        <f t="shared" si="16"/>
        <v>161485</v>
      </c>
      <c r="W23" s="57">
        <f t="shared" ref="W23:X23" si="17">SUM(W25:W37)</f>
        <v>172582</v>
      </c>
      <c r="X23" s="57">
        <f t="shared" si="17"/>
        <v>186362</v>
      </c>
      <c r="Y23" s="59">
        <f t="shared" ref="Y23:AA23" si="18">SUM(Y25:Y37)</f>
        <v>199037</v>
      </c>
      <c r="Z23" s="59">
        <f t="shared" si="18"/>
        <v>0</v>
      </c>
      <c r="AA23" s="59">
        <f t="shared" si="18"/>
        <v>224471</v>
      </c>
      <c r="AB23" s="59">
        <f t="shared" ref="AB23:AC23" si="19">SUM(AB25:AB37)</f>
        <v>240164</v>
      </c>
      <c r="AC23" s="59">
        <f t="shared" si="19"/>
        <v>250907</v>
      </c>
    </row>
    <row r="24" spans="1:29">
      <c r="A24" s="1" t="s">
        <v>189</v>
      </c>
      <c r="B24" s="82">
        <f t="shared" ref="B24:T24" si="20">(B23/B$4)*100</f>
        <v>22.006309581353843</v>
      </c>
      <c r="C24" s="58">
        <f t="shared" si="20"/>
        <v>22.291645584259754</v>
      </c>
      <c r="D24" s="58">
        <f t="shared" si="20"/>
        <v>22.045707847302328</v>
      </c>
      <c r="E24" s="58">
        <f t="shared" si="20"/>
        <v>22.329711136766683</v>
      </c>
      <c r="F24" s="58">
        <f t="shared" si="20"/>
        <v>22.427332764275125</v>
      </c>
      <c r="G24" s="58">
        <f t="shared" si="20"/>
        <v>23.977504879857676</v>
      </c>
      <c r="H24" s="58">
        <f t="shared" si="20"/>
        <v>24.797646989723653</v>
      </c>
      <c r="I24" s="58">
        <f t="shared" si="20"/>
        <v>25.049160256932534</v>
      </c>
      <c r="J24" s="58">
        <f t="shared" si="20"/>
        <v>25.501665626565647</v>
      </c>
      <c r="K24" s="58">
        <f t="shared" si="20"/>
        <v>26.696168481533856</v>
      </c>
      <c r="L24" s="58">
        <f t="shared" si="20"/>
        <v>27.022874548998093</v>
      </c>
      <c r="M24" s="58" t="e">
        <f t="shared" si="20"/>
        <v>#DIV/0!</v>
      </c>
      <c r="N24" s="58" t="e">
        <f t="shared" si="20"/>
        <v>#DIV/0!</v>
      </c>
      <c r="O24" s="58">
        <f t="shared" si="20"/>
        <v>27.418025436247156</v>
      </c>
      <c r="P24" s="58">
        <f t="shared" si="20"/>
        <v>27.130284978141638</v>
      </c>
      <c r="Q24" s="58">
        <f t="shared" si="20"/>
        <v>26.751456118990426</v>
      </c>
      <c r="R24" s="58">
        <f t="shared" si="20"/>
        <v>26.316474489992675</v>
      </c>
      <c r="S24" s="58">
        <f t="shared" si="20"/>
        <v>26.661547830231143</v>
      </c>
      <c r="T24" s="58">
        <f t="shared" si="20"/>
        <v>26.330409154432623</v>
      </c>
      <c r="U24" s="58">
        <f t="shared" ref="U24:V24" si="21">(U23/U$4)*100</f>
        <v>26.168348157517723</v>
      </c>
      <c r="V24" s="58">
        <f t="shared" si="21"/>
        <v>25.23349006114416</v>
      </c>
      <c r="W24" s="58">
        <f t="shared" ref="W24:X24" si="22">(W23/W$4)*100</f>
        <v>24.770995105567597</v>
      </c>
      <c r="X24" s="58">
        <f t="shared" si="22"/>
        <v>24.652427780379334</v>
      </c>
      <c r="Y24" s="58">
        <f t="shared" ref="Y24:AA24" si="23">(Y23/Y$4)*100</f>
        <v>25.758138511611655</v>
      </c>
      <c r="Z24" s="58" t="e">
        <f t="shared" si="23"/>
        <v>#DIV/0!</v>
      </c>
      <c r="AA24" s="58">
        <f t="shared" si="23"/>
        <v>27.307708216241732</v>
      </c>
      <c r="AB24" s="58">
        <f t="shared" ref="AB24:AC24" si="24">(AB23/AB$4)*100</f>
        <v>28.325401739643226</v>
      </c>
      <c r="AC24" s="58">
        <f t="shared" si="24"/>
        <v>29.121865047308653</v>
      </c>
    </row>
    <row r="25" spans="1:29">
      <c r="A25" s="1" t="s">
        <v>112</v>
      </c>
      <c r="B25" s="10">
        <v>712</v>
      </c>
      <c r="C25" s="1">
        <v>637</v>
      </c>
      <c r="D25" s="1">
        <v>663</v>
      </c>
      <c r="E25" s="1">
        <v>784</v>
      </c>
      <c r="F25" s="1">
        <v>855</v>
      </c>
      <c r="G25" s="1">
        <v>834</v>
      </c>
      <c r="H25" s="1">
        <v>890</v>
      </c>
      <c r="I25" s="1">
        <v>859</v>
      </c>
      <c r="J25" s="1">
        <v>856</v>
      </c>
      <c r="K25" s="1">
        <v>846</v>
      </c>
      <c r="L25" s="1">
        <v>767</v>
      </c>
      <c r="M25" s="1"/>
      <c r="N25" s="1"/>
      <c r="O25" s="1">
        <v>854</v>
      </c>
      <c r="P25" s="1">
        <v>922</v>
      </c>
      <c r="Q25" s="1">
        <v>816</v>
      </c>
      <c r="R25" s="1">
        <v>1031</v>
      </c>
      <c r="S25" s="1">
        <v>976</v>
      </c>
      <c r="T25" s="1">
        <v>993</v>
      </c>
      <c r="U25" s="1">
        <v>932</v>
      </c>
      <c r="V25" s="1">
        <v>994</v>
      </c>
      <c r="W25" s="1">
        <v>1078</v>
      </c>
      <c r="X25" s="1">
        <v>1120</v>
      </c>
      <c r="Y25" s="1">
        <v>1268</v>
      </c>
      <c r="AA25" s="1">
        <v>1331</v>
      </c>
      <c r="AB25" s="1">
        <v>1312</v>
      </c>
      <c r="AC25" s="1">
        <v>1287</v>
      </c>
    </row>
    <row r="26" spans="1:29">
      <c r="A26" s="1" t="s">
        <v>113</v>
      </c>
      <c r="B26" s="10">
        <v>4511</v>
      </c>
      <c r="C26" s="1">
        <v>4309</v>
      </c>
      <c r="D26" s="1">
        <v>5410</v>
      </c>
      <c r="E26" s="1">
        <v>5557</v>
      </c>
      <c r="F26" s="1">
        <v>5779</v>
      </c>
      <c r="G26" s="1">
        <v>5886</v>
      </c>
      <c r="H26" s="1">
        <v>6076</v>
      </c>
      <c r="I26" s="1">
        <v>6603</v>
      </c>
      <c r="J26" s="1">
        <v>6745</v>
      </c>
      <c r="K26" s="1">
        <v>6832</v>
      </c>
      <c r="L26" s="1">
        <v>7078</v>
      </c>
      <c r="M26" s="1"/>
      <c r="N26" s="1"/>
      <c r="O26" s="1">
        <v>8362</v>
      </c>
      <c r="P26" s="1">
        <v>9662</v>
      </c>
      <c r="Q26" s="167">
        <v>10490</v>
      </c>
      <c r="R26" s="1">
        <v>12498</v>
      </c>
      <c r="S26" s="1">
        <v>11994</v>
      </c>
      <c r="T26" s="1">
        <v>12400</v>
      </c>
      <c r="U26" s="1">
        <v>12741</v>
      </c>
      <c r="V26" s="167">
        <v>13374</v>
      </c>
      <c r="W26" s="167">
        <v>14892</v>
      </c>
      <c r="X26" s="1">
        <v>16823</v>
      </c>
      <c r="Y26" s="1">
        <v>17369</v>
      </c>
      <c r="AA26" s="1">
        <v>18602</v>
      </c>
      <c r="AB26" s="1">
        <v>19050</v>
      </c>
      <c r="AC26" s="1">
        <v>18827</v>
      </c>
    </row>
    <row r="27" spans="1:29">
      <c r="A27" s="1" t="s">
        <v>114</v>
      </c>
      <c r="B27" s="10">
        <v>41788</v>
      </c>
      <c r="C27" s="1">
        <v>42442</v>
      </c>
      <c r="D27" s="1">
        <v>47420</v>
      </c>
      <c r="E27" s="1">
        <v>47861</v>
      </c>
      <c r="F27" s="1">
        <v>50416</v>
      </c>
      <c r="G27" s="1">
        <v>53982</v>
      </c>
      <c r="H27" s="1">
        <v>57151</v>
      </c>
      <c r="I27" s="1">
        <v>59841</v>
      </c>
      <c r="J27" s="1">
        <v>61190</v>
      </c>
      <c r="K27" s="1">
        <v>65950</v>
      </c>
      <c r="L27" s="1">
        <v>65938</v>
      </c>
      <c r="M27" s="1"/>
      <c r="N27" s="1"/>
      <c r="O27" s="1">
        <v>73645</v>
      </c>
      <c r="P27" s="1">
        <v>74564</v>
      </c>
      <c r="Q27" s="1">
        <v>77576</v>
      </c>
      <c r="R27" s="1">
        <v>86629</v>
      </c>
      <c r="S27" s="1">
        <v>81968</v>
      </c>
      <c r="T27" s="1">
        <v>81743</v>
      </c>
      <c r="U27" s="1">
        <v>83469</v>
      </c>
      <c r="V27" s="1">
        <v>84374</v>
      </c>
      <c r="W27" s="1">
        <v>84969</v>
      </c>
      <c r="X27" s="1">
        <v>89284</v>
      </c>
      <c r="Y27" s="1">
        <v>96032</v>
      </c>
      <c r="AA27" s="1">
        <v>115175</v>
      </c>
      <c r="AB27" s="1">
        <v>129583</v>
      </c>
      <c r="AC27" s="1">
        <v>139033</v>
      </c>
    </row>
    <row r="28" spans="1:29">
      <c r="A28" s="1" t="s">
        <v>115</v>
      </c>
      <c r="B28" s="10">
        <v>3739</v>
      </c>
      <c r="C28" s="1">
        <v>3763</v>
      </c>
      <c r="D28" s="1">
        <v>4385</v>
      </c>
      <c r="E28" s="1">
        <v>4509</v>
      </c>
      <c r="F28" s="1">
        <v>4981</v>
      </c>
      <c r="G28" s="1">
        <v>5126</v>
      </c>
      <c r="H28" s="1">
        <v>5361</v>
      </c>
      <c r="I28" s="1">
        <v>5246</v>
      </c>
      <c r="J28" s="1">
        <v>5147</v>
      </c>
      <c r="K28" s="1">
        <v>5061</v>
      </c>
      <c r="L28" s="1">
        <v>4945</v>
      </c>
      <c r="M28" s="1"/>
      <c r="N28" s="1"/>
      <c r="O28" s="1">
        <v>5304</v>
      </c>
      <c r="P28" s="1">
        <v>5827</v>
      </c>
      <c r="Q28" s="1">
        <v>6151</v>
      </c>
      <c r="R28" s="1">
        <v>8283</v>
      </c>
      <c r="S28" s="1">
        <v>5638</v>
      </c>
      <c r="T28" s="1">
        <v>6003</v>
      </c>
      <c r="U28" s="1">
        <v>6111</v>
      </c>
      <c r="V28" s="1">
        <v>6268</v>
      </c>
      <c r="W28" s="1">
        <v>7003</v>
      </c>
      <c r="X28" s="1">
        <v>7814</v>
      </c>
      <c r="Y28" s="1">
        <v>8728</v>
      </c>
      <c r="AA28" s="1">
        <v>9058</v>
      </c>
      <c r="AB28" s="1">
        <v>9920</v>
      </c>
      <c r="AC28" s="1">
        <v>9800</v>
      </c>
    </row>
    <row r="29" spans="1:29">
      <c r="A29" s="1" t="s">
        <v>117</v>
      </c>
      <c r="B29" s="10">
        <v>2125</v>
      </c>
      <c r="C29" s="1">
        <v>2010</v>
      </c>
      <c r="D29" s="1">
        <v>2049</v>
      </c>
      <c r="E29" s="1">
        <v>2135</v>
      </c>
      <c r="F29" s="1">
        <v>2022</v>
      </c>
      <c r="G29" s="1">
        <v>2109</v>
      </c>
      <c r="H29" s="1">
        <v>2201</v>
      </c>
      <c r="I29" s="1">
        <v>2301</v>
      </c>
      <c r="J29" s="1">
        <v>2305</v>
      </c>
      <c r="K29" s="1">
        <v>2242</v>
      </c>
      <c r="L29" s="1">
        <v>2302</v>
      </c>
      <c r="M29" s="1"/>
      <c r="N29" s="1"/>
      <c r="O29" s="1">
        <v>2375</v>
      </c>
      <c r="P29" s="1">
        <v>2296</v>
      </c>
      <c r="Q29" s="1">
        <v>2346</v>
      </c>
      <c r="R29" s="1">
        <v>2664</v>
      </c>
      <c r="S29" s="1">
        <v>2393</v>
      </c>
      <c r="T29" s="1">
        <v>2280</v>
      </c>
      <c r="U29" s="1">
        <v>2408</v>
      </c>
      <c r="V29" s="1">
        <v>2606</v>
      </c>
      <c r="W29" s="1">
        <v>2847</v>
      </c>
      <c r="X29" s="1">
        <v>3054</v>
      </c>
      <c r="Y29" s="1">
        <v>3336</v>
      </c>
      <c r="AA29" s="1">
        <v>3930</v>
      </c>
      <c r="AB29" s="1">
        <v>4113</v>
      </c>
      <c r="AC29" s="1">
        <v>3947</v>
      </c>
    </row>
    <row r="30" spans="1:29">
      <c r="A30" s="1" t="s">
        <v>119</v>
      </c>
      <c r="B30" s="10">
        <v>924</v>
      </c>
      <c r="C30" s="1">
        <v>994</v>
      </c>
      <c r="D30" s="1">
        <v>1025</v>
      </c>
      <c r="E30" s="1">
        <v>1237</v>
      </c>
      <c r="F30" s="1">
        <v>1250</v>
      </c>
      <c r="G30" s="1">
        <v>1140</v>
      </c>
      <c r="H30" s="1">
        <v>1275</v>
      </c>
      <c r="I30" s="1">
        <v>1255</v>
      </c>
      <c r="J30" s="1">
        <v>1330</v>
      </c>
      <c r="K30" s="1">
        <v>1503</v>
      </c>
      <c r="L30" s="1">
        <v>1466</v>
      </c>
      <c r="M30" s="1"/>
      <c r="N30" s="1"/>
      <c r="O30" s="1">
        <v>1825</v>
      </c>
      <c r="P30" s="1">
        <v>1723</v>
      </c>
      <c r="Q30" s="1">
        <v>1963</v>
      </c>
      <c r="R30" s="1">
        <v>2036</v>
      </c>
      <c r="S30" s="1">
        <v>1903</v>
      </c>
      <c r="T30" s="1">
        <v>1862</v>
      </c>
      <c r="U30" s="1">
        <v>1881</v>
      </c>
      <c r="V30" s="1">
        <v>1943</v>
      </c>
      <c r="W30" s="1">
        <v>1965</v>
      </c>
      <c r="X30" s="1">
        <v>2847</v>
      </c>
      <c r="Y30" s="1">
        <v>3158</v>
      </c>
      <c r="AA30" s="1">
        <v>3247</v>
      </c>
      <c r="AB30" s="1">
        <v>3637</v>
      </c>
      <c r="AC30" s="1">
        <v>3540</v>
      </c>
    </row>
    <row r="31" spans="1:29">
      <c r="A31" s="1" t="s">
        <v>128</v>
      </c>
      <c r="B31" s="10">
        <v>621</v>
      </c>
      <c r="C31" s="1">
        <v>573</v>
      </c>
      <c r="D31" s="1">
        <v>699</v>
      </c>
      <c r="E31" s="1">
        <v>638</v>
      </c>
      <c r="F31" s="1">
        <v>848</v>
      </c>
      <c r="G31" s="1">
        <v>1162</v>
      </c>
      <c r="H31" s="1">
        <v>1027</v>
      </c>
      <c r="I31" s="1">
        <v>1103</v>
      </c>
      <c r="J31" s="1">
        <v>1267</v>
      </c>
      <c r="K31" s="1">
        <v>1191</v>
      </c>
      <c r="L31" s="1">
        <v>1306</v>
      </c>
      <c r="M31" s="1"/>
      <c r="N31" s="1"/>
      <c r="O31" s="1">
        <v>1510</v>
      </c>
      <c r="P31" s="1">
        <v>1637</v>
      </c>
      <c r="Q31" s="1">
        <v>1584</v>
      </c>
      <c r="R31" s="1">
        <v>1580</v>
      </c>
      <c r="S31" s="1">
        <v>1434</v>
      </c>
      <c r="T31" s="1">
        <v>1455</v>
      </c>
      <c r="U31" s="1">
        <v>1504</v>
      </c>
      <c r="V31" s="1">
        <v>1618</v>
      </c>
      <c r="W31" s="1">
        <v>1933</v>
      </c>
      <c r="X31" s="1">
        <v>2201</v>
      </c>
      <c r="Y31" s="1">
        <v>2125</v>
      </c>
      <c r="AA31" s="1">
        <v>2283</v>
      </c>
      <c r="AB31" s="1">
        <v>2177</v>
      </c>
      <c r="AC31" s="1">
        <v>2078</v>
      </c>
    </row>
    <row r="32" spans="1:29">
      <c r="A32" s="1" t="s">
        <v>135</v>
      </c>
      <c r="B32" s="10">
        <v>884</v>
      </c>
      <c r="C32" s="1">
        <v>857</v>
      </c>
      <c r="D32" s="1">
        <v>1098</v>
      </c>
      <c r="E32" s="1">
        <v>1255</v>
      </c>
      <c r="F32" s="1">
        <v>1263</v>
      </c>
      <c r="G32" s="1">
        <v>1379</v>
      </c>
      <c r="H32" s="1">
        <v>1274</v>
      </c>
      <c r="I32" s="1">
        <v>1432</v>
      </c>
      <c r="J32" s="1">
        <v>1409</v>
      </c>
      <c r="K32" s="1">
        <v>1629</v>
      </c>
      <c r="L32" s="1">
        <v>1730</v>
      </c>
      <c r="M32" s="1"/>
      <c r="N32" s="1"/>
      <c r="O32" s="1">
        <v>2075</v>
      </c>
      <c r="P32" s="1">
        <v>2296</v>
      </c>
      <c r="Q32" s="1">
        <v>2365</v>
      </c>
      <c r="R32" s="1">
        <v>3299</v>
      </c>
      <c r="S32" s="1">
        <v>2593</v>
      </c>
      <c r="T32" s="1">
        <v>2735</v>
      </c>
      <c r="U32" s="1">
        <v>2829</v>
      </c>
      <c r="V32" s="1">
        <v>3155</v>
      </c>
      <c r="W32" s="1">
        <v>3811</v>
      </c>
      <c r="X32" s="1">
        <v>3853</v>
      </c>
      <c r="Y32" s="1">
        <v>4367</v>
      </c>
      <c r="AA32" s="1">
        <v>5043</v>
      </c>
      <c r="AB32" s="1">
        <v>5180</v>
      </c>
      <c r="AC32" s="1">
        <v>5638</v>
      </c>
    </row>
    <row r="33" spans="1:29">
      <c r="A33" s="1" t="s">
        <v>134</v>
      </c>
      <c r="B33" s="10">
        <v>1727</v>
      </c>
      <c r="C33" s="1">
        <v>1689</v>
      </c>
      <c r="D33" s="1">
        <v>2532</v>
      </c>
      <c r="E33" s="1">
        <v>2815</v>
      </c>
      <c r="F33" s="1">
        <v>2868</v>
      </c>
      <c r="G33" s="1">
        <v>3199</v>
      </c>
      <c r="H33" s="1">
        <v>3172</v>
      </c>
      <c r="I33" s="1">
        <v>3375</v>
      </c>
      <c r="J33" s="1">
        <v>3241</v>
      </c>
      <c r="K33" s="1">
        <v>3355</v>
      </c>
      <c r="L33" s="1">
        <v>3539</v>
      </c>
      <c r="M33" s="1"/>
      <c r="N33" s="1"/>
      <c r="O33" s="1">
        <v>3589</v>
      </c>
      <c r="P33" s="1">
        <v>3997</v>
      </c>
      <c r="Q33" s="1">
        <v>4302</v>
      </c>
      <c r="R33" s="1">
        <v>4741</v>
      </c>
      <c r="S33" s="1">
        <v>4595</v>
      </c>
      <c r="T33" s="1">
        <v>4761</v>
      </c>
      <c r="U33" s="1">
        <v>4700</v>
      </c>
      <c r="V33" s="1">
        <v>4805</v>
      </c>
      <c r="W33" s="1">
        <v>5884</v>
      </c>
      <c r="X33" s="1">
        <v>6992</v>
      </c>
      <c r="Y33" s="1">
        <v>8266</v>
      </c>
      <c r="AA33" s="1">
        <v>9986</v>
      </c>
      <c r="AB33" s="1">
        <v>8967</v>
      </c>
      <c r="AC33" s="1">
        <v>10048</v>
      </c>
    </row>
    <row r="34" spans="1:29">
      <c r="A34" s="1" t="s">
        <v>138</v>
      </c>
      <c r="B34" s="10">
        <v>4279</v>
      </c>
      <c r="C34" s="1">
        <v>4427</v>
      </c>
      <c r="D34" s="1">
        <v>4562</v>
      </c>
      <c r="E34" s="1">
        <v>5356</v>
      </c>
      <c r="F34" s="1">
        <v>5669</v>
      </c>
      <c r="G34" s="1">
        <v>5488</v>
      </c>
      <c r="H34" s="1">
        <v>5352</v>
      </c>
      <c r="I34" s="1">
        <v>5368</v>
      </c>
      <c r="J34" s="1">
        <v>5421</v>
      </c>
      <c r="K34" s="1">
        <v>5264</v>
      </c>
      <c r="L34" s="1">
        <v>5618</v>
      </c>
      <c r="M34" s="1"/>
      <c r="N34" s="1"/>
      <c r="O34" s="1">
        <v>6345</v>
      </c>
      <c r="P34" s="1">
        <v>6889</v>
      </c>
      <c r="Q34" s="1">
        <v>6964</v>
      </c>
      <c r="R34" s="1">
        <v>8109</v>
      </c>
      <c r="S34" s="1">
        <v>6896</v>
      </c>
      <c r="T34" s="1">
        <v>6879</v>
      </c>
      <c r="U34" s="1">
        <v>7168</v>
      </c>
      <c r="V34" s="1">
        <v>8156</v>
      </c>
      <c r="W34" s="1">
        <v>9488</v>
      </c>
      <c r="X34" s="1">
        <v>11212</v>
      </c>
      <c r="Y34" s="1">
        <v>12958</v>
      </c>
      <c r="AA34" s="1">
        <v>12822</v>
      </c>
      <c r="AB34" s="1">
        <v>12374</v>
      </c>
      <c r="AC34" s="1">
        <v>12673</v>
      </c>
    </row>
    <row r="35" spans="1:29">
      <c r="A35" s="1" t="s">
        <v>142</v>
      </c>
      <c r="B35" s="10">
        <v>2762</v>
      </c>
      <c r="C35" s="1">
        <v>3131</v>
      </c>
      <c r="D35" s="1">
        <v>4058</v>
      </c>
      <c r="E35" s="1">
        <v>4357</v>
      </c>
      <c r="F35" s="1">
        <v>4843</v>
      </c>
      <c r="G35" s="1">
        <v>5390</v>
      </c>
      <c r="H35" s="1">
        <v>5885</v>
      </c>
      <c r="I35" s="1">
        <v>6110</v>
      </c>
      <c r="J35" s="1">
        <v>7351</v>
      </c>
      <c r="K35" s="1">
        <v>6719</v>
      </c>
      <c r="L35" s="1">
        <v>6977</v>
      </c>
      <c r="M35" s="1"/>
      <c r="N35" s="1"/>
      <c r="O35" s="1">
        <v>8168</v>
      </c>
      <c r="P35" s="1">
        <v>8225</v>
      </c>
      <c r="Q35" s="1">
        <v>8649</v>
      </c>
      <c r="R35" s="1">
        <v>8962</v>
      </c>
      <c r="S35" s="1">
        <v>8460</v>
      </c>
      <c r="T35" s="1">
        <v>8571</v>
      </c>
      <c r="U35" s="1">
        <v>8996</v>
      </c>
      <c r="V35" s="1">
        <v>9607</v>
      </c>
      <c r="W35" s="1">
        <v>10073</v>
      </c>
      <c r="X35" s="1">
        <v>10641</v>
      </c>
      <c r="Y35" s="1">
        <v>10383</v>
      </c>
      <c r="AA35" s="1">
        <v>10974</v>
      </c>
      <c r="AB35" s="1">
        <v>11483</v>
      </c>
      <c r="AC35" s="1">
        <v>11776</v>
      </c>
    </row>
    <row r="36" spans="1:29">
      <c r="A36" s="1" t="s">
        <v>66</v>
      </c>
      <c r="B36" s="10">
        <v>11681</v>
      </c>
      <c r="C36" s="1">
        <v>11026</v>
      </c>
      <c r="D36" s="1">
        <v>14843</v>
      </c>
      <c r="E36" s="1">
        <v>15767</v>
      </c>
      <c r="F36" s="1">
        <v>17410</v>
      </c>
      <c r="G36" s="1">
        <v>18210</v>
      </c>
      <c r="H36" s="1">
        <v>18349</v>
      </c>
      <c r="I36" s="1">
        <v>18567</v>
      </c>
      <c r="J36" s="1">
        <v>18064</v>
      </c>
      <c r="K36" s="1">
        <v>17466</v>
      </c>
      <c r="L36" s="1">
        <v>17978</v>
      </c>
      <c r="M36" s="1"/>
      <c r="N36" s="1"/>
      <c r="O36" s="1">
        <v>20249</v>
      </c>
      <c r="P36" s="1">
        <v>22362</v>
      </c>
      <c r="Q36" s="1">
        <v>21186</v>
      </c>
      <c r="R36" s="1">
        <v>20874</v>
      </c>
      <c r="S36" s="1">
        <v>20110</v>
      </c>
      <c r="T36" s="1">
        <v>20405</v>
      </c>
      <c r="U36" s="1">
        <v>21083</v>
      </c>
      <c r="V36" s="1">
        <v>22195</v>
      </c>
      <c r="W36" s="1">
        <v>26014</v>
      </c>
      <c r="X36" s="1">
        <v>27833</v>
      </c>
      <c r="Y36" s="1">
        <v>28291</v>
      </c>
      <c r="AA36" s="1">
        <v>29205</v>
      </c>
      <c r="AB36" s="1">
        <v>29700</v>
      </c>
      <c r="AC36" s="1">
        <v>29568</v>
      </c>
    </row>
    <row r="37" spans="1:29">
      <c r="A37" s="1" t="s">
        <v>145</v>
      </c>
      <c r="B37" s="10">
        <v>1187</v>
      </c>
      <c r="C37" s="1">
        <v>1241</v>
      </c>
      <c r="D37" s="1">
        <v>1652</v>
      </c>
      <c r="E37" s="1">
        <v>1535</v>
      </c>
      <c r="F37" s="1">
        <v>1638</v>
      </c>
      <c r="G37" s="1">
        <v>1491</v>
      </c>
      <c r="H37" s="1">
        <v>1758</v>
      </c>
      <c r="I37" s="1">
        <v>1695</v>
      </c>
      <c r="J37" s="1">
        <v>1728</v>
      </c>
      <c r="K37" s="1">
        <v>1630</v>
      </c>
      <c r="L37" s="1">
        <v>1539</v>
      </c>
      <c r="M37" s="1"/>
      <c r="N37" s="1"/>
      <c r="O37" s="1">
        <v>1753</v>
      </c>
      <c r="P37" s="1">
        <v>1964</v>
      </c>
      <c r="Q37" s="1">
        <v>1939</v>
      </c>
      <c r="R37" s="1">
        <v>3073</v>
      </c>
      <c r="S37" s="1">
        <v>2087</v>
      </c>
      <c r="T37" s="1">
        <v>2147</v>
      </c>
      <c r="U37" s="1">
        <v>2167</v>
      </c>
      <c r="V37" s="1">
        <v>2390</v>
      </c>
      <c r="W37" s="1">
        <v>2625</v>
      </c>
      <c r="X37" s="1">
        <v>2688</v>
      </c>
      <c r="Y37" s="1">
        <v>2756</v>
      </c>
      <c r="AA37" s="1">
        <v>2815</v>
      </c>
      <c r="AB37" s="1">
        <v>2668</v>
      </c>
      <c r="AC37" s="1">
        <v>2692</v>
      </c>
    </row>
    <row r="38" spans="1:29">
      <c r="A38" s="11" t="s">
        <v>186</v>
      </c>
      <c r="B38" s="81">
        <f t="shared" ref="B38:T38" si="25">SUM(B40:B51)</f>
        <v>97128</v>
      </c>
      <c r="C38" s="59">
        <f t="shared" si="25"/>
        <v>92979</v>
      </c>
      <c r="D38" s="59">
        <f t="shared" si="25"/>
        <v>109450</v>
      </c>
      <c r="E38" s="59">
        <f t="shared" si="25"/>
        <v>111190</v>
      </c>
      <c r="F38" s="59">
        <f t="shared" si="25"/>
        <v>122911</v>
      </c>
      <c r="G38" s="59">
        <f t="shared" si="25"/>
        <v>111167</v>
      </c>
      <c r="H38" s="59">
        <f t="shared" si="25"/>
        <v>109999</v>
      </c>
      <c r="I38" s="59">
        <f t="shared" si="25"/>
        <v>109656</v>
      </c>
      <c r="J38" s="59">
        <f t="shared" si="25"/>
        <v>111165</v>
      </c>
      <c r="K38" s="59">
        <f t="shared" si="25"/>
        <v>108377</v>
      </c>
      <c r="L38" s="59">
        <f t="shared" si="25"/>
        <v>107134</v>
      </c>
      <c r="M38" s="59">
        <f t="shared" si="25"/>
        <v>0</v>
      </c>
      <c r="N38" s="59">
        <f t="shared" si="25"/>
        <v>0</v>
      </c>
      <c r="O38" s="59">
        <f t="shared" si="25"/>
        <v>116693</v>
      </c>
      <c r="P38" s="59">
        <f t="shared" si="25"/>
        <v>121712</v>
      </c>
      <c r="Q38" s="59">
        <f t="shared" si="25"/>
        <v>127893</v>
      </c>
      <c r="R38" s="59">
        <f t="shared" si="25"/>
        <v>142467</v>
      </c>
      <c r="S38" s="59">
        <f t="shared" si="25"/>
        <v>131130</v>
      </c>
      <c r="T38" s="59">
        <f t="shared" si="25"/>
        <v>133209</v>
      </c>
      <c r="U38" s="59">
        <f t="shared" ref="U38:V38" si="26">SUM(U40:U51)</f>
        <v>135562</v>
      </c>
      <c r="V38" s="59">
        <f t="shared" si="26"/>
        <v>143361</v>
      </c>
      <c r="W38" s="59">
        <f t="shared" ref="W38:X38" si="27">SUM(W40:W51)</f>
        <v>156558</v>
      </c>
      <c r="X38" s="59">
        <f t="shared" si="27"/>
        <v>167798</v>
      </c>
      <c r="Y38" s="59">
        <f t="shared" ref="Y38:AA38" si="28">SUM(Y40:Y51)</f>
        <v>170539</v>
      </c>
      <c r="Z38" s="59">
        <f t="shared" si="28"/>
        <v>0</v>
      </c>
      <c r="AA38" s="59">
        <f t="shared" si="28"/>
        <v>173537</v>
      </c>
      <c r="AB38" s="59">
        <f t="shared" ref="AB38:AC38" si="29">SUM(AB40:AB51)</f>
        <v>168803</v>
      </c>
      <c r="AC38" s="59">
        <f t="shared" si="29"/>
        <v>167212</v>
      </c>
    </row>
    <row r="39" spans="1:29">
      <c r="A39" s="1" t="s">
        <v>189</v>
      </c>
      <c r="B39" s="82">
        <f t="shared" ref="B39:T39" si="30">(B38/B$4)*100</f>
        <v>27.780463179331115</v>
      </c>
      <c r="C39" s="58">
        <f t="shared" si="30"/>
        <v>26.883032397033524</v>
      </c>
      <c r="D39" s="58">
        <f t="shared" si="30"/>
        <v>26.692582900650912</v>
      </c>
      <c r="E39" s="58">
        <f t="shared" si="30"/>
        <v>26.467822754376986</v>
      </c>
      <c r="F39" s="58">
        <f t="shared" si="30"/>
        <v>27.609281638887641</v>
      </c>
      <c r="G39" s="58">
        <f t="shared" si="30"/>
        <v>25.29040271907035</v>
      </c>
      <c r="H39" s="58">
        <f t="shared" si="30"/>
        <v>24.849152975035409</v>
      </c>
      <c r="I39" s="58">
        <f t="shared" si="30"/>
        <v>24.146549313297822</v>
      </c>
      <c r="J39" s="58">
        <f t="shared" si="30"/>
        <v>24.427358465689849</v>
      </c>
      <c r="K39" s="58">
        <f t="shared" si="30"/>
        <v>24.173272604799102</v>
      </c>
      <c r="L39" s="58">
        <f t="shared" si="30"/>
        <v>23.890055881867607</v>
      </c>
      <c r="M39" s="58" t="e">
        <f t="shared" si="30"/>
        <v>#DIV/0!</v>
      </c>
      <c r="N39" s="58" t="e">
        <f t="shared" si="30"/>
        <v>#DIV/0!</v>
      </c>
      <c r="O39" s="58">
        <f t="shared" si="30"/>
        <v>23.516336471048184</v>
      </c>
      <c r="P39" s="58">
        <f t="shared" si="30"/>
        <v>23.194636602368401</v>
      </c>
      <c r="Q39" s="58">
        <f t="shared" si="30"/>
        <v>23.380718900479341</v>
      </c>
      <c r="R39" s="58">
        <f t="shared" si="30"/>
        <v>22.89200185106629</v>
      </c>
      <c r="S39" s="58">
        <f t="shared" si="30"/>
        <v>23.145966268633007</v>
      </c>
      <c r="T39" s="58">
        <f t="shared" si="30"/>
        <v>23.039843090589589</v>
      </c>
      <c r="U39" s="58">
        <f t="shared" ref="U39:V39" si="31">(U38/U$4)*100</f>
        <v>22.741562628963692</v>
      </c>
      <c r="V39" s="58">
        <f t="shared" si="31"/>
        <v>22.401451333905243</v>
      </c>
      <c r="W39" s="58">
        <f t="shared" ref="W39:X39" si="32">(W38/W$4)*100</f>
        <v>22.47104247104247</v>
      </c>
      <c r="X39" s="58">
        <f t="shared" si="32"/>
        <v>22.196735797491396</v>
      </c>
      <c r="Y39" s="58">
        <f t="shared" ref="Y39:AA39" si="33">(Y38/Y$4)*100</f>
        <v>22.070103466349174</v>
      </c>
      <c r="Z39" s="58" t="e">
        <f t="shared" si="33"/>
        <v>#DIV/0!</v>
      </c>
      <c r="AA39" s="58">
        <f t="shared" si="33"/>
        <v>21.111403079782871</v>
      </c>
      <c r="AB39" s="58">
        <f t="shared" ref="AB39:AC39" si="34">(AB38/AB$4)*100</f>
        <v>19.908948842694972</v>
      </c>
      <c r="AC39" s="58">
        <f t="shared" si="34"/>
        <v>19.407690093503067</v>
      </c>
    </row>
    <row r="40" spans="1:29">
      <c r="A40" s="1" t="s">
        <v>120</v>
      </c>
      <c r="B40" s="10">
        <v>21370</v>
      </c>
      <c r="C40" s="1">
        <v>21059</v>
      </c>
      <c r="D40" s="1">
        <v>23760</v>
      </c>
      <c r="E40" s="1">
        <v>24969</v>
      </c>
      <c r="F40" s="1">
        <v>23886</v>
      </c>
      <c r="G40" s="1">
        <v>24273</v>
      </c>
      <c r="H40" s="1">
        <v>23776</v>
      </c>
      <c r="I40" s="1">
        <v>23433</v>
      </c>
      <c r="J40" s="1">
        <v>23723</v>
      </c>
      <c r="K40" s="1">
        <v>22720</v>
      </c>
      <c r="L40" s="1">
        <v>22646</v>
      </c>
      <c r="M40" s="1"/>
      <c r="N40" s="1"/>
      <c r="O40" s="1">
        <v>23040</v>
      </c>
      <c r="P40" s="1">
        <v>23718</v>
      </c>
      <c r="Q40" s="1">
        <v>25194</v>
      </c>
      <c r="R40" s="1">
        <v>27058</v>
      </c>
      <c r="S40" s="1">
        <v>25759</v>
      </c>
      <c r="T40" s="1">
        <v>25177</v>
      </c>
      <c r="U40" s="1">
        <v>26523</v>
      </c>
      <c r="V40" s="1">
        <v>27910</v>
      </c>
      <c r="W40" s="1">
        <v>29744</v>
      </c>
      <c r="X40" s="1">
        <v>32516</v>
      </c>
      <c r="Y40" s="1">
        <v>33546</v>
      </c>
      <c r="AA40" s="1">
        <v>35162</v>
      </c>
      <c r="AB40" s="1">
        <v>35544</v>
      </c>
      <c r="AC40" s="1">
        <v>35752</v>
      </c>
    </row>
    <row r="41" spans="1:29">
      <c r="A41" s="1" t="s">
        <v>121</v>
      </c>
      <c r="B41" s="10">
        <v>6886</v>
      </c>
      <c r="C41" s="1">
        <v>6931</v>
      </c>
      <c r="D41" s="1">
        <v>7152</v>
      </c>
      <c r="E41" s="1">
        <v>7531</v>
      </c>
      <c r="F41" s="1">
        <v>7654</v>
      </c>
      <c r="G41" s="1">
        <v>7918</v>
      </c>
      <c r="H41" s="1">
        <v>7469</v>
      </c>
      <c r="I41" s="1">
        <v>6907</v>
      </c>
      <c r="J41" s="1">
        <v>7709</v>
      </c>
      <c r="K41" s="1">
        <v>7109</v>
      </c>
      <c r="L41" s="1">
        <v>7589</v>
      </c>
      <c r="M41" s="1"/>
      <c r="N41" s="1"/>
      <c r="O41" s="1">
        <v>8934</v>
      </c>
      <c r="P41" s="1">
        <v>9148</v>
      </c>
      <c r="Q41" s="1">
        <v>9637</v>
      </c>
      <c r="R41" s="1">
        <v>12788</v>
      </c>
      <c r="S41" s="1">
        <v>9787</v>
      </c>
      <c r="T41" s="1">
        <v>9880</v>
      </c>
      <c r="U41" s="1">
        <v>9825</v>
      </c>
      <c r="V41" s="1">
        <v>10288</v>
      </c>
      <c r="W41" s="1">
        <v>11656</v>
      </c>
      <c r="X41" s="1">
        <v>12267</v>
      </c>
      <c r="Y41" s="1">
        <v>12132</v>
      </c>
      <c r="AA41" s="1">
        <v>12449</v>
      </c>
      <c r="AB41" s="1">
        <v>11688</v>
      </c>
      <c r="AC41" s="1">
        <v>11404</v>
      </c>
    </row>
    <row r="42" spans="1:29">
      <c r="A42" s="1" t="s">
        <v>118</v>
      </c>
      <c r="B42" s="10">
        <v>6261</v>
      </c>
      <c r="C42" s="1">
        <v>5995</v>
      </c>
      <c r="D42" s="1">
        <v>8022</v>
      </c>
      <c r="E42" s="1">
        <v>7630</v>
      </c>
      <c r="F42" s="1">
        <v>7702</v>
      </c>
      <c r="G42" s="1">
        <v>7608</v>
      </c>
      <c r="H42" s="1">
        <v>7546</v>
      </c>
      <c r="I42" s="1">
        <v>7887</v>
      </c>
      <c r="J42" s="1">
        <v>8233</v>
      </c>
      <c r="K42" s="1">
        <v>8398</v>
      </c>
      <c r="L42" s="1">
        <v>8313</v>
      </c>
      <c r="M42" s="1"/>
      <c r="N42" s="1"/>
      <c r="O42" s="1">
        <v>9008</v>
      </c>
      <c r="P42" s="1">
        <v>9457</v>
      </c>
      <c r="Q42" s="1">
        <v>10185</v>
      </c>
      <c r="R42" s="1">
        <v>10936</v>
      </c>
      <c r="S42" s="1">
        <v>10553</v>
      </c>
      <c r="T42" s="1">
        <v>10262</v>
      </c>
      <c r="U42" s="1">
        <v>10322</v>
      </c>
      <c r="V42" s="1">
        <v>10932</v>
      </c>
      <c r="W42" s="1">
        <v>11959</v>
      </c>
      <c r="X42" s="1">
        <v>12735</v>
      </c>
      <c r="Y42" s="1">
        <v>12138</v>
      </c>
      <c r="AA42" s="1">
        <v>12093</v>
      </c>
      <c r="AB42" s="1">
        <v>11374</v>
      </c>
      <c r="AC42" s="1">
        <v>11796</v>
      </c>
    </row>
    <row r="43" spans="1:29">
      <c r="A43" s="1" t="s">
        <v>122</v>
      </c>
      <c r="B43" s="10">
        <v>4932</v>
      </c>
      <c r="C43" s="1">
        <v>4339</v>
      </c>
      <c r="D43" s="1">
        <v>5916</v>
      </c>
      <c r="E43" s="1">
        <v>5815</v>
      </c>
      <c r="F43" s="1">
        <v>6260</v>
      </c>
      <c r="G43" s="1">
        <v>6482</v>
      </c>
      <c r="H43" s="1">
        <v>6604</v>
      </c>
      <c r="I43" s="1">
        <v>6383</v>
      </c>
      <c r="J43" s="1">
        <v>6628</v>
      </c>
      <c r="K43" s="1">
        <v>6163</v>
      </c>
      <c r="L43" s="1">
        <v>6575</v>
      </c>
      <c r="M43" s="1"/>
      <c r="N43" s="1"/>
      <c r="O43" s="1">
        <v>6637</v>
      </c>
      <c r="P43" s="1">
        <v>7069</v>
      </c>
      <c r="Q43" s="1">
        <v>7356</v>
      </c>
      <c r="R43" s="1">
        <v>7392</v>
      </c>
      <c r="S43" s="1">
        <v>7177</v>
      </c>
      <c r="T43" s="1">
        <v>7557</v>
      </c>
      <c r="U43" s="1">
        <v>7188</v>
      </c>
      <c r="V43" s="1">
        <v>7617</v>
      </c>
      <c r="W43" s="1">
        <v>8497</v>
      </c>
      <c r="X43" s="1">
        <v>8925</v>
      </c>
      <c r="Y43" s="1">
        <v>9462</v>
      </c>
      <c r="AA43" s="1">
        <v>9780</v>
      </c>
      <c r="AB43" s="1">
        <v>9421</v>
      </c>
      <c r="AC43" s="1">
        <v>9241</v>
      </c>
    </row>
    <row r="44" spans="1:29">
      <c r="A44" s="1" t="s">
        <v>125</v>
      </c>
      <c r="B44" s="10">
        <v>18967</v>
      </c>
      <c r="C44" s="1">
        <v>16515</v>
      </c>
      <c r="D44" s="1">
        <v>20126</v>
      </c>
      <c r="E44" s="1">
        <v>20824</v>
      </c>
      <c r="F44" s="1">
        <v>32136</v>
      </c>
      <c r="G44" s="1">
        <v>19578</v>
      </c>
      <c r="H44" s="1">
        <v>18449</v>
      </c>
      <c r="I44" s="1">
        <v>18650</v>
      </c>
      <c r="J44" s="1">
        <v>17724</v>
      </c>
      <c r="K44" s="1">
        <v>18361</v>
      </c>
      <c r="L44" s="1">
        <v>15596</v>
      </c>
      <c r="M44" s="1"/>
      <c r="N44" s="1"/>
      <c r="O44" s="1">
        <v>17607</v>
      </c>
      <c r="P44" s="1">
        <v>17873</v>
      </c>
      <c r="Q44" s="1">
        <v>19273</v>
      </c>
      <c r="R44" s="1">
        <v>19869</v>
      </c>
      <c r="S44" s="1">
        <v>20217</v>
      </c>
      <c r="T44" s="1">
        <v>21478</v>
      </c>
      <c r="U44" s="1">
        <v>21845</v>
      </c>
      <c r="V44" s="1">
        <v>23961</v>
      </c>
      <c r="W44" s="1">
        <v>25343</v>
      </c>
      <c r="X44" s="1">
        <v>27059</v>
      </c>
      <c r="Y44" s="1">
        <v>28529</v>
      </c>
      <c r="AA44" s="1">
        <v>27955</v>
      </c>
      <c r="AB44" s="1">
        <v>26215</v>
      </c>
      <c r="AC44" s="1">
        <v>25301</v>
      </c>
    </row>
    <row r="45" spans="1:29">
      <c r="A45" s="1" t="s">
        <v>126</v>
      </c>
      <c r="B45" s="10">
        <v>6517</v>
      </c>
      <c r="C45" s="1">
        <v>6618</v>
      </c>
      <c r="D45" s="1">
        <v>8160</v>
      </c>
      <c r="E45" s="1">
        <v>8667</v>
      </c>
      <c r="F45" s="1">
        <v>8501</v>
      </c>
      <c r="G45" s="1">
        <v>8623</v>
      </c>
      <c r="H45" s="1">
        <v>8666</v>
      </c>
      <c r="I45" s="1">
        <v>8703</v>
      </c>
      <c r="J45" s="1">
        <v>9049</v>
      </c>
      <c r="K45" s="1">
        <v>8407</v>
      </c>
      <c r="L45" s="1">
        <v>8519</v>
      </c>
      <c r="M45" s="1"/>
      <c r="N45" s="1"/>
      <c r="O45" s="1">
        <v>10275</v>
      </c>
      <c r="P45" s="1">
        <v>10990</v>
      </c>
      <c r="Q45" s="1">
        <v>11879</v>
      </c>
      <c r="R45" s="1">
        <v>12680</v>
      </c>
      <c r="S45" s="1">
        <v>12341</v>
      </c>
      <c r="T45" s="1">
        <v>12742</v>
      </c>
      <c r="U45" s="1">
        <v>13176</v>
      </c>
      <c r="V45" s="1">
        <v>14160</v>
      </c>
      <c r="W45" s="1">
        <v>15720</v>
      </c>
      <c r="X45" s="1">
        <v>16575</v>
      </c>
      <c r="Y45" s="1">
        <v>17002</v>
      </c>
      <c r="AA45" s="1">
        <v>16875</v>
      </c>
      <c r="AB45" s="1">
        <v>16400</v>
      </c>
      <c r="AC45" s="1">
        <v>15612</v>
      </c>
    </row>
    <row r="46" spans="1:29">
      <c r="A46" s="1" t="s">
        <v>127</v>
      </c>
      <c r="B46" s="10">
        <v>4942</v>
      </c>
      <c r="C46" s="1">
        <v>4942</v>
      </c>
      <c r="D46" s="1">
        <v>5676</v>
      </c>
      <c r="E46" s="1">
        <v>5888</v>
      </c>
      <c r="F46" s="1">
        <v>6171</v>
      </c>
      <c r="G46" s="1">
        <v>6075</v>
      </c>
      <c r="H46" s="1">
        <v>6225</v>
      </c>
      <c r="I46" s="1">
        <v>5826</v>
      </c>
      <c r="J46" s="1">
        <v>6808</v>
      </c>
      <c r="K46" s="1">
        <v>6677</v>
      </c>
      <c r="L46" s="1">
        <v>6775</v>
      </c>
      <c r="M46" s="1"/>
      <c r="N46" s="1"/>
      <c r="O46" s="1">
        <v>7949</v>
      </c>
      <c r="P46" s="1">
        <v>8698</v>
      </c>
      <c r="Q46" s="1">
        <v>8768</v>
      </c>
      <c r="R46" s="1">
        <v>10602</v>
      </c>
      <c r="S46" s="1">
        <v>8834</v>
      </c>
      <c r="T46" s="1">
        <v>9077</v>
      </c>
      <c r="U46" s="1">
        <v>9056</v>
      </c>
      <c r="V46" s="1">
        <v>9953</v>
      </c>
      <c r="W46" s="1">
        <v>10743</v>
      </c>
      <c r="X46" s="1">
        <v>11575</v>
      </c>
      <c r="Y46" s="1">
        <v>12310</v>
      </c>
      <c r="AA46" s="1">
        <v>12647</v>
      </c>
      <c r="AB46" s="1">
        <v>12456</v>
      </c>
      <c r="AC46" s="1">
        <v>12333</v>
      </c>
    </row>
    <row r="47" spans="1:29">
      <c r="A47" s="1" t="s">
        <v>131</v>
      </c>
      <c r="B47" s="10">
        <v>2633</v>
      </c>
      <c r="C47" s="1">
        <v>2336</v>
      </c>
      <c r="D47" s="1">
        <v>3450</v>
      </c>
      <c r="E47" s="1">
        <v>2161</v>
      </c>
      <c r="F47" s="1">
        <v>2868</v>
      </c>
      <c r="G47" s="1">
        <v>3014</v>
      </c>
      <c r="H47" s="1">
        <v>2816</v>
      </c>
      <c r="I47" s="1">
        <v>2958</v>
      </c>
      <c r="J47" s="1">
        <v>3108</v>
      </c>
      <c r="K47" s="1">
        <v>3031</v>
      </c>
      <c r="L47" s="1">
        <v>3385</v>
      </c>
      <c r="M47" s="1"/>
      <c r="N47" s="1"/>
      <c r="O47" s="1">
        <v>3496</v>
      </c>
      <c r="P47" s="1">
        <v>3621</v>
      </c>
      <c r="Q47" s="1">
        <v>3828</v>
      </c>
      <c r="R47" s="1">
        <v>4096</v>
      </c>
      <c r="S47" s="1">
        <v>4105</v>
      </c>
      <c r="T47" s="1">
        <v>4044</v>
      </c>
      <c r="U47" s="1">
        <v>3964</v>
      </c>
      <c r="V47" s="1">
        <v>4071</v>
      </c>
      <c r="W47" s="1">
        <v>4378</v>
      </c>
      <c r="X47" s="1">
        <v>4870</v>
      </c>
      <c r="Y47" s="1">
        <v>5216</v>
      </c>
      <c r="AA47" s="1">
        <v>5154</v>
      </c>
      <c r="AB47" s="1">
        <v>4666</v>
      </c>
      <c r="AC47" s="1">
        <v>4727</v>
      </c>
    </row>
    <row r="48" spans="1:29">
      <c r="A48" s="1" t="s">
        <v>130</v>
      </c>
      <c r="B48" s="10">
        <v>1930</v>
      </c>
      <c r="C48" s="1">
        <v>1868</v>
      </c>
      <c r="D48" s="1">
        <v>1574</v>
      </c>
      <c r="E48" s="1">
        <v>1648</v>
      </c>
      <c r="F48" s="1">
        <v>1642</v>
      </c>
      <c r="G48" s="1">
        <v>1682</v>
      </c>
      <c r="H48" s="1">
        <v>1789</v>
      </c>
      <c r="I48" s="1">
        <v>1741</v>
      </c>
      <c r="J48" s="1">
        <v>1874</v>
      </c>
      <c r="K48" s="1">
        <v>1759</v>
      </c>
      <c r="L48" s="1">
        <v>1939</v>
      </c>
      <c r="M48" s="1"/>
      <c r="N48" s="1"/>
      <c r="O48" s="1">
        <v>1762</v>
      </c>
      <c r="P48" s="1">
        <v>1971</v>
      </c>
      <c r="Q48" s="1">
        <v>1924</v>
      </c>
      <c r="R48" s="1">
        <v>1926</v>
      </c>
      <c r="S48" s="1">
        <v>1912</v>
      </c>
      <c r="T48" s="1">
        <v>1813</v>
      </c>
      <c r="U48" s="1">
        <v>1948</v>
      </c>
      <c r="V48" s="1">
        <v>1972</v>
      </c>
      <c r="W48" s="1">
        <v>2116</v>
      </c>
      <c r="X48" s="1">
        <v>1972</v>
      </c>
      <c r="Y48" s="1">
        <v>1943</v>
      </c>
      <c r="AA48" s="1">
        <v>1987</v>
      </c>
      <c r="AB48" s="1">
        <v>2024</v>
      </c>
      <c r="AC48" s="1">
        <v>2104</v>
      </c>
    </row>
    <row r="49" spans="1:29">
      <c r="A49" s="1" t="s">
        <v>137</v>
      </c>
      <c r="B49" s="10">
        <v>14240</v>
      </c>
      <c r="C49" s="1">
        <v>14017</v>
      </c>
      <c r="D49" s="1">
        <v>16278</v>
      </c>
      <c r="E49" s="1">
        <v>16772</v>
      </c>
      <c r="F49" s="1">
        <v>16966</v>
      </c>
      <c r="G49" s="1">
        <v>17030</v>
      </c>
      <c r="H49" s="1">
        <v>16723</v>
      </c>
      <c r="I49" s="1">
        <v>17138</v>
      </c>
      <c r="J49" s="1">
        <v>16206</v>
      </c>
      <c r="K49" s="1">
        <v>15854</v>
      </c>
      <c r="L49" s="1">
        <v>15425</v>
      </c>
      <c r="M49" s="1"/>
      <c r="N49" s="1"/>
      <c r="O49" s="1">
        <v>16404</v>
      </c>
      <c r="P49" s="1">
        <v>16919</v>
      </c>
      <c r="Q49" s="1">
        <v>17446</v>
      </c>
      <c r="R49" s="1">
        <v>22421</v>
      </c>
      <c r="S49" s="1">
        <v>18076</v>
      </c>
      <c r="T49" s="1">
        <v>18978</v>
      </c>
      <c r="U49" s="1">
        <v>19317</v>
      </c>
      <c r="V49" s="1">
        <v>19843</v>
      </c>
      <c r="W49" s="1">
        <v>21903</v>
      </c>
      <c r="X49" s="1">
        <v>23897</v>
      </c>
      <c r="Y49" s="1">
        <v>23169</v>
      </c>
      <c r="AA49" s="1">
        <v>24934</v>
      </c>
      <c r="AB49" s="1">
        <v>24595</v>
      </c>
      <c r="AC49" s="1">
        <v>25102</v>
      </c>
    </row>
    <row r="50" spans="1:29">
      <c r="A50" s="1" t="s">
        <v>141</v>
      </c>
      <c r="B50" s="10">
        <v>280</v>
      </c>
      <c r="C50" s="1">
        <v>286</v>
      </c>
      <c r="D50" s="1">
        <v>401</v>
      </c>
      <c r="E50" s="1">
        <v>532</v>
      </c>
      <c r="F50" s="1">
        <v>536</v>
      </c>
      <c r="G50" s="1">
        <v>488</v>
      </c>
      <c r="H50" s="1">
        <v>1606</v>
      </c>
      <c r="I50" s="1">
        <v>1371</v>
      </c>
      <c r="J50" s="1">
        <v>1409</v>
      </c>
      <c r="K50" s="1">
        <v>1328</v>
      </c>
      <c r="L50" s="1">
        <v>1520</v>
      </c>
      <c r="M50" s="1"/>
      <c r="N50" s="1"/>
      <c r="O50" s="1">
        <v>1643</v>
      </c>
      <c r="P50" s="1">
        <v>1790</v>
      </c>
      <c r="Q50" s="1">
        <v>1713</v>
      </c>
      <c r="R50" s="1">
        <v>1751</v>
      </c>
      <c r="S50" s="1">
        <v>1735</v>
      </c>
      <c r="T50" s="1">
        <v>1563</v>
      </c>
      <c r="U50" s="1">
        <v>1519</v>
      </c>
      <c r="V50" s="1">
        <v>1590</v>
      </c>
      <c r="W50" s="1">
        <v>2030</v>
      </c>
      <c r="X50" s="1">
        <v>2119</v>
      </c>
      <c r="Y50" s="1">
        <v>2115</v>
      </c>
      <c r="AA50" s="1">
        <v>2103</v>
      </c>
      <c r="AB50" s="1">
        <v>1919</v>
      </c>
      <c r="AC50" s="1">
        <v>2069</v>
      </c>
    </row>
    <row r="51" spans="1:29">
      <c r="A51" s="1" t="s">
        <v>144</v>
      </c>
      <c r="B51" s="10">
        <v>8170</v>
      </c>
      <c r="C51" s="1">
        <v>8073</v>
      </c>
      <c r="D51" s="1">
        <v>8935</v>
      </c>
      <c r="E51" s="1">
        <v>8753</v>
      </c>
      <c r="F51" s="1">
        <v>8589</v>
      </c>
      <c r="G51" s="1">
        <v>8396</v>
      </c>
      <c r="H51" s="1">
        <v>8330</v>
      </c>
      <c r="I51" s="1">
        <v>8659</v>
      </c>
      <c r="J51" s="1">
        <v>8694</v>
      </c>
      <c r="K51" s="1">
        <v>8570</v>
      </c>
      <c r="L51" s="1">
        <v>8852</v>
      </c>
      <c r="M51" s="1"/>
      <c r="N51" s="1"/>
      <c r="O51" s="1">
        <v>9938</v>
      </c>
      <c r="P51" s="1">
        <v>10458</v>
      </c>
      <c r="Q51" s="1">
        <v>10690</v>
      </c>
      <c r="R51" s="1">
        <v>10948</v>
      </c>
      <c r="S51" s="1">
        <v>10634</v>
      </c>
      <c r="T51" s="1">
        <v>10638</v>
      </c>
      <c r="U51" s="1">
        <v>10879</v>
      </c>
      <c r="V51" s="1">
        <v>11064</v>
      </c>
      <c r="W51" s="1">
        <v>12469</v>
      </c>
      <c r="X51" s="1">
        <v>13288</v>
      </c>
      <c r="Y51" s="1">
        <v>12977</v>
      </c>
      <c r="AA51" s="1">
        <v>12398</v>
      </c>
      <c r="AB51" s="1">
        <v>12501</v>
      </c>
      <c r="AC51" s="1">
        <v>11771</v>
      </c>
    </row>
    <row r="52" spans="1:29">
      <c r="A52" s="11" t="s">
        <v>187</v>
      </c>
      <c r="B52" s="81">
        <f t="shared" ref="B52:T52" si="35">SUM(B54:B62)</f>
        <v>73181</v>
      </c>
      <c r="C52" s="59">
        <f t="shared" si="35"/>
        <v>71076</v>
      </c>
      <c r="D52" s="59">
        <f t="shared" si="35"/>
        <v>82823</v>
      </c>
      <c r="E52" s="59">
        <f t="shared" si="35"/>
        <v>83404</v>
      </c>
      <c r="F52" s="59">
        <f t="shared" si="35"/>
        <v>84124</v>
      </c>
      <c r="G52" s="59">
        <f t="shared" si="35"/>
        <v>84448</v>
      </c>
      <c r="H52" s="59">
        <f t="shared" si="35"/>
        <v>81407</v>
      </c>
      <c r="I52" s="59">
        <f t="shared" si="35"/>
        <v>81638</v>
      </c>
      <c r="J52" s="59">
        <f t="shared" si="35"/>
        <v>80151</v>
      </c>
      <c r="K52" s="59">
        <f t="shared" si="35"/>
        <v>77136</v>
      </c>
      <c r="L52" s="59">
        <f t="shared" si="35"/>
        <v>76969</v>
      </c>
      <c r="M52" s="59">
        <f t="shared" si="35"/>
        <v>0</v>
      </c>
      <c r="N52" s="59">
        <f t="shared" si="35"/>
        <v>0</v>
      </c>
      <c r="O52" s="59">
        <f t="shared" si="35"/>
        <v>78515</v>
      </c>
      <c r="P52" s="59">
        <f t="shared" si="35"/>
        <v>82662</v>
      </c>
      <c r="Q52" s="59">
        <f t="shared" si="35"/>
        <v>85830</v>
      </c>
      <c r="R52" s="59">
        <f t="shared" si="35"/>
        <v>104887</v>
      </c>
      <c r="S52" s="59">
        <f t="shared" si="35"/>
        <v>88535</v>
      </c>
      <c r="T52" s="59">
        <f t="shared" si="35"/>
        <v>89595</v>
      </c>
      <c r="U52" s="59">
        <f t="shared" ref="U52:V52" si="36">SUM(U54:U62)</f>
        <v>92500</v>
      </c>
      <c r="V52" s="59">
        <f t="shared" si="36"/>
        <v>98101</v>
      </c>
      <c r="W52" s="59">
        <f t="shared" ref="W52:X52" si="37">SUM(W54:W62)</f>
        <v>106682</v>
      </c>
      <c r="X52" s="59">
        <f t="shared" si="37"/>
        <v>111418</v>
      </c>
      <c r="Y52" s="59">
        <f t="shared" ref="Y52:AA52" si="38">SUM(Y54:Y62)</f>
        <v>111608</v>
      </c>
      <c r="Z52" s="59">
        <f t="shared" si="38"/>
        <v>0</v>
      </c>
      <c r="AA52" s="59">
        <f t="shared" si="38"/>
        <v>115677</v>
      </c>
      <c r="AB52" s="59">
        <f t="shared" ref="AB52:AC52" si="39">SUM(AB54:AB62)</f>
        <v>116514</v>
      </c>
      <c r="AC52" s="59">
        <f t="shared" si="39"/>
        <v>114542</v>
      </c>
    </row>
    <row r="53" spans="1:29">
      <c r="A53" s="1" t="s">
        <v>189</v>
      </c>
      <c r="B53" s="82">
        <f t="shared" ref="B53:T53" si="40">(B52/B$4)*100</f>
        <v>20.931163783117437</v>
      </c>
      <c r="C53" s="58">
        <f t="shared" si="40"/>
        <v>20.550214679137813</v>
      </c>
      <c r="D53" s="58">
        <f t="shared" si="40"/>
        <v>20.198810357063596</v>
      </c>
      <c r="E53" s="58">
        <f t="shared" si="40"/>
        <v>19.853604541829824</v>
      </c>
      <c r="F53" s="58">
        <f t="shared" si="40"/>
        <v>18.896626083831258</v>
      </c>
      <c r="G53" s="58">
        <f t="shared" si="40"/>
        <v>19.211851797926116</v>
      </c>
      <c r="H53" s="58">
        <f t="shared" si="40"/>
        <v>18.390121694185471</v>
      </c>
      <c r="I53" s="58">
        <f t="shared" si="40"/>
        <v>17.976909542925217</v>
      </c>
      <c r="J53" s="58">
        <f t="shared" si="40"/>
        <v>17.61235288430268</v>
      </c>
      <c r="K53" s="58">
        <f t="shared" si="40"/>
        <v>17.205030178393788</v>
      </c>
      <c r="L53" s="58">
        <f t="shared" si="40"/>
        <v>17.16349348639524</v>
      </c>
      <c r="M53" s="58" t="e">
        <f t="shared" si="40"/>
        <v>#DIV/0!</v>
      </c>
      <c r="N53" s="58" t="e">
        <f t="shared" si="40"/>
        <v>#DIV/0!</v>
      </c>
      <c r="O53" s="58">
        <f t="shared" si="40"/>
        <v>15.822587113403101</v>
      </c>
      <c r="P53" s="58">
        <f t="shared" si="40"/>
        <v>15.752884274557783</v>
      </c>
      <c r="Q53" s="58">
        <f t="shared" si="40"/>
        <v>15.690984676472846</v>
      </c>
      <c r="R53" s="58">
        <f t="shared" si="40"/>
        <v>16.853540807013484</v>
      </c>
      <c r="S53" s="58">
        <f t="shared" si="40"/>
        <v>15.627454614454535</v>
      </c>
      <c r="T53" s="58">
        <f t="shared" si="40"/>
        <v>15.496360919317571</v>
      </c>
      <c r="U53" s="58">
        <f t="shared" ref="U53:V53" si="41">(U52/U$4)*100</f>
        <v>15.517582679358091</v>
      </c>
      <c r="V53" s="58">
        <f t="shared" si="41"/>
        <v>15.329167467494214</v>
      </c>
      <c r="W53" s="58">
        <f t="shared" ref="W53:X53" si="42">(W52/W$4)*100</f>
        <v>15.312253304818361</v>
      </c>
      <c r="X53" s="58">
        <f t="shared" si="42"/>
        <v>14.738649501691892</v>
      </c>
      <c r="Y53" s="58">
        <f t="shared" ref="Y53:AA53" si="43">(Y52/Y$4)*100</f>
        <v>14.443617633927127</v>
      </c>
      <c r="Z53" s="58" t="e">
        <f t="shared" si="43"/>
        <v>#DIV/0!</v>
      </c>
      <c r="AA53" s="58">
        <f t="shared" si="43"/>
        <v>14.072525018065562</v>
      </c>
      <c r="AB53" s="58">
        <f t="shared" ref="AB53:AC53" si="44">(AB52/AB$4)*100</f>
        <v>13.74188412206988</v>
      </c>
      <c r="AC53" s="58">
        <f t="shared" si="44"/>
        <v>13.294474312190681</v>
      </c>
    </row>
    <row r="54" spans="1:29">
      <c r="A54" s="1" t="s">
        <v>116</v>
      </c>
      <c r="B54" s="10">
        <v>3698</v>
      </c>
      <c r="C54" s="1">
        <v>3608</v>
      </c>
      <c r="D54" s="1">
        <v>3998</v>
      </c>
      <c r="E54" s="1">
        <v>4164</v>
      </c>
      <c r="F54" s="1">
        <v>4256</v>
      </c>
      <c r="G54" s="1">
        <v>4009</v>
      </c>
      <c r="H54" s="1">
        <v>3860</v>
      </c>
      <c r="I54" s="1">
        <v>3826</v>
      </c>
      <c r="J54" s="1">
        <v>3478</v>
      </c>
      <c r="K54" s="1">
        <v>3642</v>
      </c>
      <c r="L54" s="1">
        <v>3355</v>
      </c>
      <c r="M54" s="1"/>
      <c r="N54" s="1"/>
      <c r="O54" s="1">
        <v>3503</v>
      </c>
      <c r="P54" s="1">
        <v>3556</v>
      </c>
      <c r="Q54" s="1">
        <v>3795</v>
      </c>
      <c r="R54" s="1">
        <v>4179</v>
      </c>
      <c r="S54" s="1">
        <v>3940</v>
      </c>
      <c r="T54" s="1">
        <v>4020</v>
      </c>
      <c r="U54" s="1">
        <v>4398</v>
      </c>
      <c r="V54" s="1">
        <v>4346</v>
      </c>
      <c r="W54" s="1">
        <v>4982</v>
      </c>
      <c r="X54" s="1">
        <v>5420</v>
      </c>
      <c r="Y54" s="1">
        <v>5481</v>
      </c>
      <c r="AA54" s="1">
        <v>5759</v>
      </c>
      <c r="AB54" s="1">
        <v>5954</v>
      </c>
      <c r="AC54" s="1">
        <v>5517</v>
      </c>
    </row>
    <row r="55" spans="1:29">
      <c r="A55" s="1" t="s">
        <v>124</v>
      </c>
      <c r="B55" s="10">
        <v>1441</v>
      </c>
      <c r="C55" s="1">
        <v>1458</v>
      </c>
      <c r="D55" s="1">
        <v>1531</v>
      </c>
      <c r="E55" s="1">
        <v>1708</v>
      </c>
      <c r="F55" s="1">
        <v>1754</v>
      </c>
      <c r="G55" s="1">
        <v>1710</v>
      </c>
      <c r="H55" s="1">
        <v>1555</v>
      </c>
      <c r="I55" s="1">
        <v>1618</v>
      </c>
      <c r="J55" s="1">
        <v>1623</v>
      </c>
      <c r="K55" s="1">
        <v>1493</v>
      </c>
      <c r="L55" s="1">
        <v>1627</v>
      </c>
      <c r="M55" s="1"/>
      <c r="N55" s="1"/>
      <c r="O55" s="1">
        <v>1626</v>
      </c>
      <c r="P55" s="1">
        <v>1778</v>
      </c>
      <c r="Q55" s="1">
        <v>1889</v>
      </c>
      <c r="R55" s="1">
        <v>2177</v>
      </c>
      <c r="S55" s="1">
        <v>1954</v>
      </c>
      <c r="T55" s="1">
        <v>1890</v>
      </c>
      <c r="U55" s="1">
        <v>2054</v>
      </c>
      <c r="V55" s="1">
        <v>2085</v>
      </c>
      <c r="W55" s="1">
        <v>2451</v>
      </c>
      <c r="X55" s="1">
        <v>2593</v>
      </c>
      <c r="Y55" s="1">
        <v>2654</v>
      </c>
      <c r="AA55" s="1">
        <v>2670</v>
      </c>
      <c r="AB55" s="1">
        <v>2677</v>
      </c>
      <c r="AC55" s="1">
        <v>2528</v>
      </c>
    </row>
    <row r="56" spans="1:29">
      <c r="A56" s="1" t="s">
        <v>123</v>
      </c>
      <c r="B56" s="10">
        <v>7992</v>
      </c>
      <c r="C56" s="1">
        <v>7937</v>
      </c>
      <c r="D56" s="1">
        <v>8715</v>
      </c>
      <c r="E56" s="1">
        <v>8872</v>
      </c>
      <c r="F56" s="1">
        <v>8417</v>
      </c>
      <c r="G56" s="1">
        <v>8333</v>
      </c>
      <c r="H56" s="1">
        <v>8213</v>
      </c>
      <c r="I56" s="1">
        <v>7915</v>
      </c>
      <c r="J56" s="1">
        <v>7650</v>
      </c>
      <c r="K56" s="1">
        <v>7299</v>
      </c>
      <c r="L56" s="1">
        <v>7487</v>
      </c>
      <c r="M56" s="1"/>
      <c r="N56" s="1"/>
      <c r="O56" s="1">
        <v>7985</v>
      </c>
      <c r="P56" s="1">
        <v>8473</v>
      </c>
      <c r="Q56" s="1">
        <v>8915</v>
      </c>
      <c r="R56" s="1">
        <v>9082</v>
      </c>
      <c r="S56" s="1">
        <v>8494</v>
      </c>
      <c r="T56" s="1">
        <v>8739</v>
      </c>
      <c r="U56" s="1">
        <v>9073</v>
      </c>
      <c r="V56" s="1">
        <v>9831</v>
      </c>
      <c r="W56" s="1">
        <v>10231</v>
      </c>
      <c r="X56" s="1">
        <v>10998</v>
      </c>
      <c r="Y56" s="1">
        <v>11375</v>
      </c>
      <c r="AA56" s="1">
        <v>12195</v>
      </c>
      <c r="AB56" s="1">
        <v>12097</v>
      </c>
      <c r="AC56" s="1">
        <v>11900</v>
      </c>
    </row>
    <row r="57" spans="1:29">
      <c r="A57" s="1" t="s">
        <v>132</v>
      </c>
      <c r="B57" s="10">
        <v>1396</v>
      </c>
      <c r="C57" s="1">
        <v>1361</v>
      </c>
      <c r="D57" s="1">
        <v>1883</v>
      </c>
      <c r="E57" s="1">
        <v>2062</v>
      </c>
      <c r="F57" s="1">
        <v>1953</v>
      </c>
      <c r="G57" s="1">
        <v>2000</v>
      </c>
      <c r="H57" s="1">
        <v>1826</v>
      </c>
      <c r="I57" s="1">
        <v>1795</v>
      </c>
      <c r="J57" s="1">
        <v>1637</v>
      </c>
      <c r="K57" s="1">
        <v>1696</v>
      </c>
      <c r="L57" s="1">
        <v>1678</v>
      </c>
      <c r="M57" s="1"/>
      <c r="N57" s="1"/>
      <c r="O57" s="1">
        <v>1578</v>
      </c>
      <c r="P57" s="1">
        <v>1713</v>
      </c>
      <c r="Q57" s="1">
        <v>1795</v>
      </c>
      <c r="R57" s="1">
        <v>2808</v>
      </c>
      <c r="S57" s="1">
        <v>1801</v>
      </c>
      <c r="T57" s="1">
        <v>1764</v>
      </c>
      <c r="U57" s="1">
        <v>1844</v>
      </c>
      <c r="V57" s="1">
        <v>1869</v>
      </c>
      <c r="W57" s="1">
        <v>1948</v>
      </c>
      <c r="X57" s="1">
        <v>2143</v>
      </c>
      <c r="Y57" s="1">
        <v>1927</v>
      </c>
      <c r="AA57" s="1">
        <v>2019</v>
      </c>
      <c r="AB57" s="1">
        <v>2048</v>
      </c>
      <c r="AC57" s="1">
        <v>1995</v>
      </c>
    </row>
    <row r="58" spans="1:29">
      <c r="A58" s="1" t="s">
        <v>133</v>
      </c>
      <c r="B58" s="10">
        <v>8831</v>
      </c>
      <c r="C58" s="1">
        <v>8547</v>
      </c>
      <c r="D58" s="1">
        <v>11492</v>
      </c>
      <c r="E58" s="1">
        <v>11496</v>
      </c>
      <c r="F58" s="1">
        <v>11664</v>
      </c>
      <c r="G58" s="1">
        <v>12012</v>
      </c>
      <c r="H58" s="1">
        <v>11999</v>
      </c>
      <c r="I58" s="1">
        <v>11830</v>
      </c>
      <c r="J58" s="1">
        <v>11811</v>
      </c>
      <c r="K58" s="1">
        <v>10699</v>
      </c>
      <c r="L58" s="1">
        <v>10398</v>
      </c>
      <c r="M58" s="1"/>
      <c r="N58" s="1"/>
      <c r="O58" s="1">
        <v>11494</v>
      </c>
      <c r="P58" s="1">
        <v>12712</v>
      </c>
      <c r="Q58" s="1">
        <v>13284</v>
      </c>
      <c r="R58" s="1">
        <v>14546</v>
      </c>
      <c r="S58" s="1">
        <v>14805</v>
      </c>
      <c r="T58" s="1">
        <v>15807</v>
      </c>
      <c r="U58" s="1">
        <v>16617</v>
      </c>
      <c r="V58" s="1">
        <v>18562</v>
      </c>
      <c r="W58" s="1">
        <v>20217</v>
      </c>
      <c r="X58" s="1">
        <v>20516</v>
      </c>
      <c r="Y58" s="1">
        <v>20491</v>
      </c>
      <c r="AA58" s="1">
        <v>21692</v>
      </c>
      <c r="AB58" s="1">
        <v>22356</v>
      </c>
      <c r="AC58" s="1">
        <v>21851</v>
      </c>
    </row>
    <row r="59" spans="1:29">
      <c r="A59" s="1" t="s">
        <v>136</v>
      </c>
      <c r="B59" s="10">
        <v>37514</v>
      </c>
      <c r="C59" s="1">
        <v>36517</v>
      </c>
      <c r="D59" s="1">
        <v>41347</v>
      </c>
      <c r="E59" s="1">
        <v>40777</v>
      </c>
      <c r="F59" s="1">
        <v>40657</v>
      </c>
      <c r="G59" s="1">
        <v>41340</v>
      </c>
      <c r="H59" s="1">
        <v>39513</v>
      </c>
      <c r="I59" s="1">
        <v>40583</v>
      </c>
      <c r="J59" s="1">
        <v>40411</v>
      </c>
      <c r="K59" s="1">
        <v>38913</v>
      </c>
      <c r="L59" s="1">
        <v>38709</v>
      </c>
      <c r="M59" s="1"/>
      <c r="N59" s="1"/>
      <c r="O59" s="1">
        <v>38463</v>
      </c>
      <c r="P59" s="1">
        <v>39492</v>
      </c>
      <c r="Q59" s="1">
        <v>40598</v>
      </c>
      <c r="R59" s="1">
        <v>47277</v>
      </c>
      <c r="S59" s="1">
        <v>41151</v>
      </c>
      <c r="T59" s="1">
        <v>40588</v>
      </c>
      <c r="U59" s="1">
        <v>41312</v>
      </c>
      <c r="V59" s="1">
        <v>43875</v>
      </c>
      <c r="W59" s="1">
        <v>48245</v>
      </c>
      <c r="X59" s="1">
        <v>50397</v>
      </c>
      <c r="Y59" s="1">
        <v>50257</v>
      </c>
      <c r="AA59" s="1">
        <v>52384</v>
      </c>
      <c r="AB59" s="1">
        <v>52406</v>
      </c>
      <c r="AC59" s="1">
        <v>52161</v>
      </c>
    </row>
    <row r="60" spans="1:29">
      <c r="A60" s="1" t="s">
        <v>139</v>
      </c>
      <c r="B60" s="10">
        <v>10588</v>
      </c>
      <c r="C60" s="1">
        <v>10074</v>
      </c>
      <c r="D60" s="1">
        <v>11850</v>
      </c>
      <c r="E60" s="1">
        <v>12172</v>
      </c>
      <c r="F60" s="1">
        <v>13186</v>
      </c>
      <c r="G60" s="1">
        <v>12801</v>
      </c>
      <c r="H60" s="1">
        <v>12204</v>
      </c>
      <c r="I60" s="1">
        <v>11997</v>
      </c>
      <c r="J60" s="1">
        <v>11606</v>
      </c>
      <c r="K60" s="1">
        <v>11419</v>
      </c>
      <c r="L60" s="1">
        <v>11789</v>
      </c>
      <c r="M60" s="1"/>
      <c r="N60" s="1"/>
      <c r="O60" s="1">
        <v>11949</v>
      </c>
      <c r="P60" s="1">
        <v>12966</v>
      </c>
      <c r="Q60" s="1">
        <v>13613</v>
      </c>
      <c r="R60" s="1">
        <v>22636</v>
      </c>
      <c r="S60" s="1">
        <v>14385</v>
      </c>
      <c r="T60" s="1">
        <v>14714</v>
      </c>
      <c r="U60" s="1">
        <v>15070</v>
      </c>
      <c r="V60" s="1">
        <v>15365</v>
      </c>
      <c r="W60" s="1">
        <v>16257</v>
      </c>
      <c r="X60" s="1">
        <v>16883</v>
      </c>
      <c r="Y60" s="1">
        <v>16594</v>
      </c>
      <c r="AA60" s="1">
        <v>16367</v>
      </c>
      <c r="AB60" s="1">
        <v>16357</v>
      </c>
      <c r="AC60" s="1">
        <v>16056</v>
      </c>
    </row>
    <row r="61" spans="1:29">
      <c r="A61" s="1" t="s">
        <v>140</v>
      </c>
      <c r="B61" s="10">
        <v>1234</v>
      </c>
      <c r="C61" s="1">
        <v>1092</v>
      </c>
      <c r="D61" s="1">
        <v>1402</v>
      </c>
      <c r="E61" s="1">
        <v>1524</v>
      </c>
      <c r="F61" s="1">
        <v>1550</v>
      </c>
      <c r="G61" s="1">
        <v>1579</v>
      </c>
      <c r="H61" s="1">
        <v>1548</v>
      </c>
      <c r="I61" s="1">
        <v>1414</v>
      </c>
      <c r="J61" s="1">
        <v>1265</v>
      </c>
      <c r="K61" s="1">
        <v>1265</v>
      </c>
      <c r="L61" s="1">
        <v>1185</v>
      </c>
      <c r="M61" s="1"/>
      <c r="N61" s="1"/>
      <c r="O61" s="1">
        <v>1157</v>
      </c>
      <c r="P61" s="1">
        <v>1177</v>
      </c>
      <c r="Q61" s="1">
        <v>1107</v>
      </c>
      <c r="R61" s="1">
        <v>1191</v>
      </c>
      <c r="S61" s="1">
        <v>1145</v>
      </c>
      <c r="T61" s="1">
        <v>1223</v>
      </c>
      <c r="U61" s="1">
        <v>1254</v>
      </c>
      <c r="V61" s="1">
        <v>1229</v>
      </c>
      <c r="W61" s="1">
        <v>1378</v>
      </c>
      <c r="X61" s="1">
        <v>1545</v>
      </c>
      <c r="Y61" s="1">
        <v>1832</v>
      </c>
      <c r="AA61" s="1">
        <v>1645</v>
      </c>
      <c r="AB61" s="1">
        <v>1649</v>
      </c>
      <c r="AC61" s="1">
        <v>1661</v>
      </c>
    </row>
    <row r="62" spans="1:29">
      <c r="A62" s="1" t="s">
        <v>143</v>
      </c>
      <c r="B62" s="10">
        <v>487</v>
      </c>
      <c r="C62" s="1">
        <v>482</v>
      </c>
      <c r="D62" s="1">
        <v>605</v>
      </c>
      <c r="E62" s="1">
        <v>629</v>
      </c>
      <c r="F62" s="1">
        <v>687</v>
      </c>
      <c r="G62" s="1">
        <v>664</v>
      </c>
      <c r="H62" s="1">
        <v>689</v>
      </c>
      <c r="I62" s="1">
        <v>660</v>
      </c>
      <c r="J62" s="1">
        <v>670</v>
      </c>
      <c r="K62" s="1">
        <v>710</v>
      </c>
      <c r="L62" s="1">
        <v>741</v>
      </c>
      <c r="M62" s="1"/>
      <c r="N62" s="1"/>
      <c r="O62" s="1">
        <v>760</v>
      </c>
      <c r="P62" s="1">
        <v>795</v>
      </c>
      <c r="Q62" s="1">
        <v>834</v>
      </c>
      <c r="R62" s="1">
        <v>991</v>
      </c>
      <c r="S62" s="1">
        <v>860</v>
      </c>
      <c r="T62" s="1">
        <v>850</v>
      </c>
      <c r="U62" s="1">
        <v>878</v>
      </c>
      <c r="V62" s="1">
        <v>939</v>
      </c>
      <c r="W62" s="1">
        <v>973</v>
      </c>
      <c r="X62" s="5">
        <v>923</v>
      </c>
      <c r="Y62" s="1">
        <v>997</v>
      </c>
      <c r="AA62" s="1">
        <v>946</v>
      </c>
      <c r="AB62" s="1">
        <v>970</v>
      </c>
      <c r="AC62" s="1">
        <v>873</v>
      </c>
    </row>
    <row r="63" spans="1:29">
      <c r="A63" s="8" t="s">
        <v>129</v>
      </c>
      <c r="B63" s="103">
        <v>225</v>
      </c>
      <c r="C63" s="8">
        <v>234</v>
      </c>
      <c r="D63" s="8">
        <v>225</v>
      </c>
      <c r="E63" s="8">
        <v>205</v>
      </c>
      <c r="F63" s="8">
        <v>193</v>
      </c>
      <c r="G63" s="8">
        <v>73</v>
      </c>
      <c r="H63" s="8">
        <v>280</v>
      </c>
      <c r="I63" s="8">
        <v>233</v>
      </c>
      <c r="J63" s="8">
        <v>162</v>
      </c>
      <c r="K63" s="8">
        <v>129</v>
      </c>
      <c r="L63" s="8">
        <v>148</v>
      </c>
      <c r="M63" s="8"/>
      <c r="N63" s="8"/>
      <c r="O63" s="8">
        <v>157</v>
      </c>
      <c r="P63" s="8">
        <v>138</v>
      </c>
      <c r="Q63" s="8">
        <v>166</v>
      </c>
      <c r="R63" s="8">
        <v>169</v>
      </c>
      <c r="S63" s="8">
        <v>147</v>
      </c>
      <c r="T63" s="8">
        <v>152</v>
      </c>
      <c r="U63" s="8">
        <v>184</v>
      </c>
      <c r="V63" s="8">
        <v>109</v>
      </c>
      <c r="W63" s="8">
        <v>157</v>
      </c>
      <c r="X63" s="5">
        <v>170</v>
      </c>
      <c r="Y63" s="8">
        <v>300</v>
      </c>
      <c r="Z63" s="8"/>
      <c r="AA63" s="8">
        <v>276</v>
      </c>
      <c r="AB63" s="8">
        <v>244</v>
      </c>
      <c r="AC63" s="8">
        <v>239</v>
      </c>
    </row>
    <row r="65" spans="2:22">
      <c r="B65" s="13" t="s">
        <v>29</v>
      </c>
      <c r="C65" s="13" t="s">
        <v>29</v>
      </c>
      <c r="D65" s="13" t="s">
        <v>29</v>
      </c>
      <c r="E65" s="13" t="s">
        <v>29</v>
      </c>
      <c r="F65" s="13" t="s">
        <v>29</v>
      </c>
      <c r="G65" s="13" t="s">
        <v>71</v>
      </c>
      <c r="H65" s="13" t="s">
        <v>71</v>
      </c>
      <c r="I65" s="13" t="s">
        <v>71</v>
      </c>
      <c r="J65" s="13" t="s">
        <v>71</v>
      </c>
      <c r="K65" s="1" t="s">
        <v>148</v>
      </c>
      <c r="L65" s="1" t="s">
        <v>149</v>
      </c>
      <c r="M65" s="1"/>
      <c r="N65" s="1"/>
      <c r="O65" s="2" t="s">
        <v>71</v>
      </c>
      <c r="P65" s="2" t="s">
        <v>71</v>
      </c>
      <c r="Q65" s="2" t="s">
        <v>71</v>
      </c>
      <c r="S65" s="2" t="s">
        <v>71</v>
      </c>
      <c r="U65" s="2" t="s">
        <v>71</v>
      </c>
      <c r="V65" s="2"/>
    </row>
    <row r="66" spans="2:22">
      <c r="B66" s="13" t="s">
        <v>13</v>
      </c>
      <c r="C66" s="13" t="s">
        <v>13</v>
      </c>
      <c r="D66" s="13" t="s">
        <v>13</v>
      </c>
      <c r="E66" s="13" t="s">
        <v>13</v>
      </c>
      <c r="F66" s="13" t="s">
        <v>13</v>
      </c>
      <c r="G66" s="13" t="s">
        <v>80</v>
      </c>
      <c r="H66" s="13" t="s">
        <v>80</v>
      </c>
      <c r="I66" s="13" t="s">
        <v>80</v>
      </c>
      <c r="J66" s="13" t="s">
        <v>80</v>
      </c>
      <c r="K66" s="13" t="s">
        <v>71</v>
      </c>
      <c r="L66" s="13" t="s">
        <v>71</v>
      </c>
      <c r="M66" s="13"/>
      <c r="N66" s="13"/>
      <c r="O66" s="1" t="s">
        <v>157</v>
      </c>
      <c r="P66" s="1" t="s">
        <v>157</v>
      </c>
      <c r="Q66" s="1" t="s">
        <v>157</v>
      </c>
      <c r="S66" s="1" t="s">
        <v>157</v>
      </c>
      <c r="U66" s="1" t="s">
        <v>157</v>
      </c>
    </row>
    <row r="67" spans="2:22">
      <c r="B67" s="13" t="s">
        <v>30</v>
      </c>
      <c r="C67" s="13" t="s">
        <v>30</v>
      </c>
      <c r="D67" s="13" t="s">
        <v>30</v>
      </c>
      <c r="E67" s="13" t="s">
        <v>30</v>
      </c>
      <c r="F67" s="13" t="s">
        <v>30</v>
      </c>
      <c r="G67" s="13" t="s">
        <v>81</v>
      </c>
      <c r="H67" s="13" t="s">
        <v>81</v>
      </c>
      <c r="I67" s="13" t="s">
        <v>81</v>
      </c>
      <c r="J67" s="13" t="s">
        <v>81</v>
      </c>
      <c r="K67" s="13" t="s">
        <v>80</v>
      </c>
      <c r="L67" s="13" t="s">
        <v>80</v>
      </c>
      <c r="M67" s="13"/>
      <c r="N67" s="13"/>
      <c r="O67" s="1" t="s">
        <v>158</v>
      </c>
      <c r="P67" s="1" t="s">
        <v>158</v>
      </c>
      <c r="Q67" s="1" t="s">
        <v>158</v>
      </c>
      <c r="S67" s="1" t="s">
        <v>158</v>
      </c>
      <c r="U67" s="1" t="s">
        <v>158</v>
      </c>
    </row>
    <row r="68" spans="2:22">
      <c r="B68" s="13" t="s">
        <v>72</v>
      </c>
      <c r="C68" s="13" t="s">
        <v>72</v>
      </c>
      <c r="D68" s="13" t="s">
        <v>72</v>
      </c>
      <c r="E68" s="13" t="s">
        <v>72</v>
      </c>
      <c r="F68" s="13" t="s">
        <v>72</v>
      </c>
      <c r="G68" s="13" t="s">
        <v>82</v>
      </c>
      <c r="H68" s="13" t="s">
        <v>82</v>
      </c>
      <c r="I68" s="13" t="s">
        <v>82</v>
      </c>
      <c r="J68" s="13" t="s">
        <v>82</v>
      </c>
      <c r="K68" s="13" t="s">
        <v>81</v>
      </c>
      <c r="L68" s="13" t="s">
        <v>81</v>
      </c>
      <c r="M68" s="13"/>
      <c r="N68" s="13"/>
      <c r="O68" s="1" t="s">
        <v>159</v>
      </c>
      <c r="P68" s="1" t="s">
        <v>159</v>
      </c>
      <c r="Q68" s="1" t="s">
        <v>159</v>
      </c>
      <c r="S68" s="1" t="s">
        <v>159</v>
      </c>
      <c r="U68" s="1" t="s">
        <v>159</v>
      </c>
    </row>
    <row r="69" spans="2:22">
      <c r="B69" s="13" t="s">
        <v>73</v>
      </c>
      <c r="C69" s="13" t="s">
        <v>73</v>
      </c>
      <c r="D69" s="13" t="s">
        <v>73</v>
      </c>
      <c r="E69" s="13" t="s">
        <v>73</v>
      </c>
      <c r="F69" s="13" t="s">
        <v>73</v>
      </c>
      <c r="G69" s="13" t="s">
        <v>83</v>
      </c>
      <c r="H69" s="13" t="s">
        <v>83</v>
      </c>
      <c r="I69" s="13" t="s">
        <v>83</v>
      </c>
      <c r="J69" s="13" t="s">
        <v>83</v>
      </c>
      <c r="K69" s="13" t="s">
        <v>82</v>
      </c>
      <c r="L69" s="13" t="s">
        <v>82</v>
      </c>
      <c r="M69" s="13"/>
      <c r="N69" s="13"/>
      <c r="O69" s="1" t="s">
        <v>84</v>
      </c>
      <c r="P69" s="1" t="s">
        <v>84</v>
      </c>
      <c r="Q69" s="1" t="s">
        <v>84</v>
      </c>
      <c r="S69" s="1" t="s">
        <v>84</v>
      </c>
      <c r="U69" s="1" t="s">
        <v>84</v>
      </c>
    </row>
    <row r="70" spans="2:22">
      <c r="B70" s="13" t="s">
        <v>38</v>
      </c>
      <c r="C70" s="13" t="s">
        <v>38</v>
      </c>
      <c r="D70" s="13" t="s">
        <v>38</v>
      </c>
      <c r="E70" s="13" t="s">
        <v>38</v>
      </c>
      <c r="F70" s="13" t="s">
        <v>38</v>
      </c>
      <c r="G70" s="13" t="s">
        <v>84</v>
      </c>
      <c r="H70" s="13" t="s">
        <v>84</v>
      </c>
      <c r="I70" s="13" t="s">
        <v>84</v>
      </c>
      <c r="J70" s="13" t="s">
        <v>84</v>
      </c>
      <c r="K70" s="13" t="s">
        <v>83</v>
      </c>
      <c r="L70" s="13" t="s">
        <v>83</v>
      </c>
      <c r="M70" s="13"/>
      <c r="N70" s="13"/>
      <c r="O70" s="1" t="s">
        <v>160</v>
      </c>
      <c r="P70" s="1" t="s">
        <v>160</v>
      </c>
      <c r="Q70" s="1" t="s">
        <v>160</v>
      </c>
      <c r="S70" s="1" t="s">
        <v>160</v>
      </c>
      <c r="U70" s="1" t="s">
        <v>160</v>
      </c>
    </row>
    <row r="71" spans="2:22">
      <c r="B71" s="13" t="s">
        <v>41</v>
      </c>
      <c r="C71" s="13" t="s">
        <v>41</v>
      </c>
      <c r="D71" s="13" t="s">
        <v>41</v>
      </c>
      <c r="E71" s="13" t="s">
        <v>41</v>
      </c>
      <c r="F71" s="13" t="s">
        <v>41</v>
      </c>
      <c r="G71" s="13" t="s">
        <v>85</v>
      </c>
      <c r="H71" s="13" t="s">
        <v>85</v>
      </c>
      <c r="I71" s="13" t="s">
        <v>85</v>
      </c>
      <c r="J71" s="13" t="s">
        <v>85</v>
      </c>
      <c r="K71" s="13" t="s">
        <v>84</v>
      </c>
      <c r="L71" s="13" t="s">
        <v>84</v>
      </c>
      <c r="M71" s="13"/>
      <c r="N71" s="13"/>
      <c r="O71" s="1" t="s">
        <v>161</v>
      </c>
      <c r="P71" s="1" t="s">
        <v>161</v>
      </c>
      <c r="Q71" s="1" t="s">
        <v>161</v>
      </c>
      <c r="S71" s="1" t="s">
        <v>161</v>
      </c>
      <c r="U71" s="1" t="s">
        <v>191</v>
      </c>
    </row>
    <row r="72" spans="2:22">
      <c r="B72" s="13" t="s">
        <v>8</v>
      </c>
      <c r="C72" s="13" t="s">
        <v>62</v>
      </c>
      <c r="D72" s="13" t="s">
        <v>11</v>
      </c>
      <c r="E72" s="13" t="s">
        <v>64</v>
      </c>
      <c r="F72" s="13" t="s">
        <v>12</v>
      </c>
      <c r="G72" s="14" t="s">
        <v>94</v>
      </c>
      <c r="H72" s="14" t="s">
        <v>86</v>
      </c>
      <c r="I72" s="14" t="s">
        <v>86</v>
      </c>
      <c r="J72" s="14" t="s">
        <v>86</v>
      </c>
      <c r="K72" s="13" t="s">
        <v>85</v>
      </c>
      <c r="L72" s="13" t="s">
        <v>85</v>
      </c>
      <c r="M72" s="13"/>
      <c r="N72" s="13"/>
      <c r="O72" s="1" t="s">
        <v>162</v>
      </c>
      <c r="P72" s="1" t="s">
        <v>162</v>
      </c>
      <c r="Q72" s="1" t="s">
        <v>162</v>
      </c>
      <c r="S72" s="1" t="s">
        <v>162</v>
      </c>
      <c r="U72" s="1" t="s">
        <v>192</v>
      </c>
    </row>
    <row r="73" spans="2:22">
      <c r="B73" s="15"/>
      <c r="C73" s="15"/>
      <c r="D73" s="15"/>
      <c r="E73" s="15"/>
      <c r="F73" s="15"/>
      <c r="G73" s="14" t="s">
        <v>95</v>
      </c>
      <c r="H73" s="14" t="s">
        <v>84</v>
      </c>
      <c r="I73" s="14" t="s">
        <v>84</v>
      </c>
      <c r="J73" s="14" t="s">
        <v>84</v>
      </c>
      <c r="K73" s="14" t="s">
        <v>86</v>
      </c>
      <c r="L73" s="14" t="s">
        <v>86</v>
      </c>
      <c r="M73" s="14"/>
      <c r="N73" s="14"/>
      <c r="O73" s="1" t="s">
        <v>163</v>
      </c>
      <c r="P73" s="1" t="s">
        <v>163</v>
      </c>
      <c r="Q73" s="1" t="s">
        <v>163</v>
      </c>
      <c r="S73" s="1" t="s">
        <v>163</v>
      </c>
      <c r="U73" s="1" t="s">
        <v>194</v>
      </c>
    </row>
    <row r="74" spans="2:22">
      <c r="B74" s="15"/>
      <c r="C74" s="15"/>
      <c r="D74" s="15"/>
      <c r="E74" s="15"/>
      <c r="F74" s="15"/>
      <c r="G74" s="14" t="s">
        <v>81</v>
      </c>
      <c r="H74" s="14" t="s">
        <v>87</v>
      </c>
      <c r="I74" s="14" t="s">
        <v>87</v>
      </c>
      <c r="J74" s="14" t="s">
        <v>87</v>
      </c>
      <c r="K74" s="14" t="s">
        <v>84</v>
      </c>
      <c r="L74" s="14" t="s">
        <v>84</v>
      </c>
      <c r="M74" s="14"/>
      <c r="N74" s="14"/>
      <c r="O74" s="1" t="s">
        <v>164</v>
      </c>
      <c r="P74" s="1" t="s">
        <v>164</v>
      </c>
      <c r="Q74" s="1" t="s">
        <v>164</v>
      </c>
      <c r="S74" s="1" t="s">
        <v>164</v>
      </c>
      <c r="U74" s="1" t="s">
        <v>193</v>
      </c>
    </row>
    <row r="75" spans="2:22">
      <c r="B75" s="15"/>
      <c r="C75" s="15"/>
      <c r="D75" s="15"/>
      <c r="E75" s="15"/>
      <c r="F75" s="15"/>
      <c r="G75" s="14" t="s">
        <v>96</v>
      </c>
      <c r="H75" s="14" t="s">
        <v>102</v>
      </c>
      <c r="I75" s="14" t="s">
        <v>88</v>
      </c>
      <c r="J75" s="14" t="s">
        <v>150</v>
      </c>
      <c r="K75" s="14" t="s">
        <v>87</v>
      </c>
      <c r="L75" s="14" t="s">
        <v>87</v>
      </c>
      <c r="M75" s="14"/>
      <c r="N75" s="14"/>
      <c r="O75" s="1" t="s">
        <v>165</v>
      </c>
      <c r="P75" s="1" t="s">
        <v>165</v>
      </c>
      <c r="Q75" s="1" t="s">
        <v>165</v>
      </c>
      <c r="S75" s="1" t="s">
        <v>165</v>
      </c>
      <c r="U75" s="1" t="s">
        <v>165</v>
      </c>
    </row>
    <row r="76" spans="2:22">
      <c r="B76" s="15"/>
      <c r="C76" s="15"/>
      <c r="D76" s="15"/>
      <c r="E76" s="15"/>
      <c r="F76" s="15"/>
      <c r="G76" s="14" t="s">
        <v>97</v>
      </c>
      <c r="H76" s="15" t="s">
        <v>103</v>
      </c>
      <c r="I76" s="15" t="s">
        <v>92</v>
      </c>
      <c r="J76" s="15" t="s">
        <v>151</v>
      </c>
      <c r="K76" s="14" t="s">
        <v>153</v>
      </c>
      <c r="L76" s="14" t="s">
        <v>153</v>
      </c>
      <c r="M76" s="14"/>
      <c r="N76" s="14"/>
    </row>
    <row r="77" spans="2:22">
      <c r="B77" s="15"/>
      <c r="C77" s="15"/>
      <c r="D77" s="15"/>
      <c r="E77" s="15"/>
      <c r="F77" s="15"/>
      <c r="G77" s="14" t="s">
        <v>98</v>
      </c>
      <c r="H77" s="15" t="s">
        <v>104</v>
      </c>
      <c r="I77" s="15" t="s">
        <v>93</v>
      </c>
      <c r="J77" s="17" t="s">
        <v>152</v>
      </c>
      <c r="K77" s="15" t="s">
        <v>151</v>
      </c>
      <c r="L77" s="15" t="s">
        <v>151</v>
      </c>
      <c r="M77" s="15"/>
      <c r="N77" s="15"/>
    </row>
    <row r="78" spans="2:22">
      <c r="B78" s="15"/>
      <c r="C78" s="15"/>
      <c r="D78" s="15"/>
      <c r="E78" s="15"/>
      <c r="F78" s="15"/>
      <c r="G78" s="15" t="s">
        <v>99</v>
      </c>
      <c r="H78" s="15" t="s">
        <v>66</v>
      </c>
      <c r="I78" s="15" t="s">
        <v>66</v>
      </c>
      <c r="J78" s="15"/>
      <c r="K78" s="17" t="s">
        <v>152</v>
      </c>
      <c r="L78" s="17" t="s">
        <v>152</v>
      </c>
      <c r="M78" s="17"/>
      <c r="N78" s="17"/>
    </row>
    <row r="79" spans="2:22">
      <c r="B79" s="15"/>
      <c r="C79" s="15"/>
      <c r="D79" s="15"/>
      <c r="E79" s="15"/>
      <c r="F79" s="15"/>
      <c r="G79" s="15" t="s">
        <v>100</v>
      </c>
      <c r="H79" s="15" t="s">
        <v>105</v>
      </c>
      <c r="I79" s="15" t="s">
        <v>89</v>
      </c>
      <c r="J79" s="15"/>
      <c r="K79" s="1"/>
      <c r="L79" s="1"/>
      <c r="M79" s="1"/>
      <c r="N79" s="1"/>
    </row>
    <row r="80" spans="2:22">
      <c r="B80" s="15"/>
      <c r="C80" s="15"/>
      <c r="D80" s="15"/>
      <c r="E80" s="15"/>
      <c r="F80" s="15"/>
      <c r="G80" s="15" t="s">
        <v>66</v>
      </c>
      <c r="H80" s="15"/>
      <c r="I80" s="15"/>
      <c r="K80" s="1"/>
      <c r="L80" s="1"/>
      <c r="M80" s="1"/>
      <c r="N80" s="1"/>
    </row>
    <row r="81" spans="2:14">
      <c r="B81" s="15"/>
      <c r="C81" s="15"/>
      <c r="D81" s="15"/>
      <c r="E81" s="15"/>
      <c r="F81" s="15"/>
      <c r="G81" s="15" t="s">
        <v>101</v>
      </c>
      <c r="H81" s="15"/>
      <c r="I81" s="15"/>
      <c r="K81" s="1"/>
      <c r="L81" s="1"/>
      <c r="M81" s="1"/>
      <c r="N81" s="1"/>
    </row>
    <row r="82" spans="2:14">
      <c r="K82" s="1"/>
      <c r="L82" s="1"/>
      <c r="M82" s="1"/>
      <c r="N82" s="1"/>
    </row>
    <row r="83" spans="2:14">
      <c r="K83" s="1"/>
      <c r="L83" s="1"/>
      <c r="M83" s="1"/>
      <c r="N83" s="1"/>
    </row>
    <row r="84" spans="2:14">
      <c r="K84" s="1"/>
      <c r="L84" s="1"/>
      <c r="M84" s="1"/>
      <c r="N84" s="1"/>
    </row>
    <row r="85" spans="2:14">
      <c r="G85" s="12"/>
      <c r="H85" s="12"/>
      <c r="K85" s="1"/>
      <c r="L85" s="1"/>
      <c r="M85" s="1"/>
      <c r="N85" s="1"/>
    </row>
    <row r="86" spans="2:14">
      <c r="K86" s="1"/>
      <c r="L86" s="1"/>
      <c r="M86" s="1"/>
      <c r="N86" s="1"/>
    </row>
    <row r="87" spans="2:14">
      <c r="K87" s="1"/>
      <c r="L87" s="1"/>
      <c r="M87" s="1"/>
      <c r="N87" s="1"/>
    </row>
    <row r="88" spans="2:14">
      <c r="K88" s="1"/>
      <c r="L88" s="1"/>
      <c r="M88" s="1"/>
      <c r="N88" s="1"/>
    </row>
  </sheetData>
  <phoneticPr fontId="11" type="noConversion"/>
  <hyperlinks>
    <hyperlink ref="J77" r:id="rId1" xr:uid="{00000000-0004-0000-0200-000000000000}"/>
    <hyperlink ref="K78" r:id="rId2" xr:uid="{00000000-0004-0000-0200-000001000000}"/>
    <hyperlink ref="L78" r:id="rId3" xr:uid="{00000000-0004-0000-0200-000002000000}"/>
    <hyperlink ref="O75" r:id="rId4" display="www.nces.ed.gov" xr:uid="{00000000-0004-0000-0200-000003000000}"/>
    <hyperlink ref="S75" r:id="rId5" display="www.nces.ed.gov" xr:uid="{00000000-0004-0000-0200-000004000000}"/>
    <hyperlink ref="U75" r:id="rId6" display="www.nces.ed.gov" xr:uid="{00000000-0004-0000-0200-000005000000}"/>
    <hyperlink ref="P75" r:id="rId7" display="www.nces.ed.gov" xr:uid="{00000000-0004-0000-0200-000006000000}"/>
    <hyperlink ref="Q75" r:id="rId8" display="www.nces.ed.gov" xr:uid="{00000000-0004-0000-0200-000007000000}"/>
  </hyperlinks>
  <pageMargins left="0.75" right="0.75" top="1" bottom="1" header="0.5" footer="0.5"/>
  <pageSetup orientation="portrait" r:id="rId9"/>
  <headerFooter alignWithMargins="0"/>
  <legacyDrawing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Q274"/>
  <sheetViews>
    <sheetView zoomScale="80" zoomScaleNormal="80" workbookViewId="0">
      <pane xSplit="1" ySplit="3" topLeftCell="BQ4" activePane="bottomRight" state="frozen"/>
      <selection pane="topRight" activeCell="B1" sqref="B1"/>
      <selection pane="bottomLeft" activeCell="A4" sqref="A4"/>
      <selection pane="bottomRight" activeCell="CS37" sqref="CS37"/>
    </sheetView>
  </sheetViews>
  <sheetFormatPr defaultColWidth="9.7109375" defaultRowHeight="12.75"/>
  <cols>
    <col min="1" max="1" width="21" style="1" customWidth="1"/>
    <col min="2" max="12" width="10.5703125" style="1" bestFit="1" customWidth="1"/>
    <col min="13" max="13" width="10.7109375" style="1" bestFit="1" customWidth="1"/>
    <col min="14" max="16" width="10.5703125" style="1" bestFit="1" customWidth="1"/>
    <col min="17" max="17" width="10.42578125" style="1" customWidth="1"/>
    <col min="18" max="19" width="11.140625" style="1" bestFit="1" customWidth="1"/>
    <col min="20" max="22" width="10.5703125" style="1" bestFit="1" customWidth="1"/>
    <col min="23" max="29" width="11.140625" style="1" bestFit="1" customWidth="1"/>
    <col min="30" max="30" width="10.5703125" style="1" bestFit="1" customWidth="1"/>
    <col min="31" max="31" width="11.140625" style="1" bestFit="1" customWidth="1"/>
    <col min="32" max="38" width="10.5703125" style="1" bestFit="1" customWidth="1"/>
    <col min="39" max="48" width="10.5703125" style="1" customWidth="1"/>
    <col min="49" max="50" width="10.5703125" style="1" bestFit="1" customWidth="1"/>
    <col min="51" max="52" width="11.140625" style="1" bestFit="1" customWidth="1"/>
    <col min="53" max="54" width="10.5703125" style="1" bestFit="1" customWidth="1"/>
    <col min="55" max="61" width="11.140625" style="1" bestFit="1" customWidth="1"/>
    <col min="62" max="63" width="10.5703125" style="1" bestFit="1" customWidth="1"/>
    <col min="64" max="64" width="10.42578125" style="1" customWidth="1"/>
    <col min="65" max="85" width="10.5703125" style="1" bestFit="1" customWidth="1"/>
    <col min="86" max="86" width="10.5703125" style="1" customWidth="1"/>
    <col min="87" max="16384" width="9.7109375" style="1"/>
  </cols>
  <sheetData>
    <row r="1" spans="1:95">
      <c r="A1" s="32" t="s">
        <v>217</v>
      </c>
      <c r="B1" s="98"/>
      <c r="C1" s="4"/>
      <c r="D1" s="4"/>
      <c r="E1" s="4"/>
      <c r="F1" s="4"/>
      <c r="G1" s="4"/>
      <c r="H1" s="4"/>
      <c r="I1" s="4"/>
      <c r="J1" s="4"/>
      <c r="K1" s="4"/>
      <c r="L1" s="4"/>
      <c r="AW1" s="84"/>
    </row>
    <row r="2" spans="1:95" s="4" customFormat="1">
      <c r="B2" s="99" t="s">
        <v>47</v>
      </c>
      <c r="C2" s="160" t="s">
        <v>47</v>
      </c>
      <c r="D2" s="160" t="s">
        <v>47</v>
      </c>
      <c r="E2" s="160" t="s">
        <v>47</v>
      </c>
      <c r="F2" s="160" t="s">
        <v>47</v>
      </c>
      <c r="G2" s="160" t="s">
        <v>47</v>
      </c>
      <c r="H2" s="160" t="s">
        <v>47</v>
      </c>
      <c r="I2" s="160" t="s">
        <v>47</v>
      </c>
      <c r="J2" s="160" t="s">
        <v>47</v>
      </c>
      <c r="K2" s="160" t="s">
        <v>47</v>
      </c>
      <c r="L2" s="160" t="s">
        <v>47</v>
      </c>
      <c r="M2" s="160" t="s">
        <v>47</v>
      </c>
      <c r="N2" s="160" t="s">
        <v>47</v>
      </c>
      <c r="O2" s="160" t="s">
        <v>47</v>
      </c>
      <c r="P2" s="160" t="s">
        <v>47</v>
      </c>
      <c r="Q2" s="160" t="s">
        <v>47</v>
      </c>
      <c r="R2" s="160" t="s">
        <v>47</v>
      </c>
      <c r="S2" s="160" t="s">
        <v>47</v>
      </c>
      <c r="T2" s="160" t="s">
        <v>47</v>
      </c>
      <c r="U2" s="160" t="s">
        <v>47</v>
      </c>
      <c r="V2" s="160" t="s">
        <v>47</v>
      </c>
      <c r="W2" s="160" t="s">
        <v>47</v>
      </c>
      <c r="X2" s="160" t="s">
        <v>47</v>
      </c>
      <c r="Y2" s="160" t="s">
        <v>47</v>
      </c>
      <c r="Z2" s="160" t="s">
        <v>47</v>
      </c>
      <c r="AA2" s="160" t="s">
        <v>47</v>
      </c>
      <c r="AB2" s="160" t="s">
        <v>47</v>
      </c>
      <c r="AC2" s="160" t="s">
        <v>47</v>
      </c>
      <c r="AD2" s="160" t="s">
        <v>47</v>
      </c>
      <c r="AE2" s="160" t="s">
        <v>47</v>
      </c>
      <c r="AF2" s="160" t="s">
        <v>47</v>
      </c>
      <c r="AG2" s="160" t="s">
        <v>47</v>
      </c>
      <c r="AH2" s="160" t="s">
        <v>47</v>
      </c>
      <c r="AI2" s="160" t="s">
        <v>47</v>
      </c>
      <c r="AJ2" s="160" t="s">
        <v>47</v>
      </c>
      <c r="AK2" s="160" t="s">
        <v>47</v>
      </c>
      <c r="AL2" s="160" t="s">
        <v>47</v>
      </c>
      <c r="AM2" s="160" t="s">
        <v>47</v>
      </c>
      <c r="AN2" s="160" t="s">
        <v>47</v>
      </c>
      <c r="AO2" s="160" t="s">
        <v>47</v>
      </c>
      <c r="AP2" s="160" t="s">
        <v>47</v>
      </c>
      <c r="AQ2" s="160" t="s">
        <v>47</v>
      </c>
      <c r="AR2" s="160" t="s">
        <v>47</v>
      </c>
      <c r="AS2" s="160" t="s">
        <v>47</v>
      </c>
      <c r="AT2" s="160" t="s">
        <v>47</v>
      </c>
      <c r="AU2" s="160" t="s">
        <v>47</v>
      </c>
      <c r="AV2" s="160" t="s">
        <v>47</v>
      </c>
      <c r="AW2" s="85" t="s">
        <v>48</v>
      </c>
      <c r="AX2" s="160" t="s">
        <v>48</v>
      </c>
      <c r="AY2" s="160" t="s">
        <v>48</v>
      </c>
      <c r="AZ2" s="160" t="s">
        <v>48</v>
      </c>
      <c r="BA2" s="160" t="s">
        <v>48</v>
      </c>
      <c r="BB2" s="160" t="s">
        <v>48</v>
      </c>
      <c r="BC2" s="160" t="s">
        <v>48</v>
      </c>
      <c r="BD2" s="160" t="s">
        <v>48</v>
      </c>
      <c r="BE2" s="160" t="s">
        <v>48</v>
      </c>
      <c r="BF2" s="160" t="s">
        <v>48</v>
      </c>
      <c r="BG2" s="160" t="s">
        <v>48</v>
      </c>
      <c r="BH2" s="160" t="s">
        <v>48</v>
      </c>
      <c r="BI2" s="160" t="s">
        <v>48</v>
      </c>
      <c r="BJ2" s="160" t="s">
        <v>48</v>
      </c>
      <c r="BK2" s="160" t="s">
        <v>48</v>
      </c>
      <c r="BL2" s="160" t="s">
        <v>48</v>
      </c>
      <c r="BM2" s="160" t="s">
        <v>48</v>
      </c>
      <c r="BN2" s="160" t="s">
        <v>48</v>
      </c>
      <c r="BO2" s="160" t="s">
        <v>48</v>
      </c>
      <c r="BP2" s="160" t="s">
        <v>48</v>
      </c>
      <c r="BQ2" s="160" t="s">
        <v>48</v>
      </c>
      <c r="BR2" s="160" t="s">
        <v>48</v>
      </c>
      <c r="BS2" s="160" t="s">
        <v>48</v>
      </c>
      <c r="BT2" s="160" t="s">
        <v>48</v>
      </c>
      <c r="BU2" s="160" t="s">
        <v>48</v>
      </c>
      <c r="BV2" s="160" t="s">
        <v>48</v>
      </c>
      <c r="BW2" s="160" t="s">
        <v>48</v>
      </c>
      <c r="BX2" s="160" t="s">
        <v>48</v>
      </c>
      <c r="BY2" s="160" t="s">
        <v>48</v>
      </c>
      <c r="BZ2" s="160" t="s">
        <v>48</v>
      </c>
      <c r="CA2" s="160" t="s">
        <v>48</v>
      </c>
      <c r="CB2" s="160" t="s">
        <v>48</v>
      </c>
      <c r="CC2" s="160" t="s">
        <v>48</v>
      </c>
      <c r="CD2" s="160" t="s">
        <v>48</v>
      </c>
      <c r="CE2" s="160" t="s">
        <v>48</v>
      </c>
      <c r="CF2" s="160" t="s">
        <v>48</v>
      </c>
      <c r="CG2" s="160" t="s">
        <v>48</v>
      </c>
      <c r="CH2" s="160" t="s">
        <v>48</v>
      </c>
      <c r="CI2" s="160" t="s">
        <v>48</v>
      </c>
      <c r="CJ2" s="160" t="s">
        <v>48</v>
      </c>
      <c r="CK2" s="160" t="s">
        <v>48</v>
      </c>
      <c r="CL2" s="160" t="s">
        <v>48</v>
      </c>
      <c r="CM2" s="160" t="s">
        <v>48</v>
      </c>
      <c r="CN2" s="160" t="s">
        <v>48</v>
      </c>
      <c r="CO2" s="160" t="s">
        <v>48</v>
      </c>
      <c r="CP2" s="160" t="s">
        <v>48</v>
      </c>
      <c r="CQ2" s="160" t="s">
        <v>48</v>
      </c>
    </row>
    <row r="3" spans="1:95" s="4" customFormat="1">
      <c r="A3" s="75"/>
      <c r="B3" s="106" t="s">
        <v>54</v>
      </c>
      <c r="C3" s="107" t="s">
        <v>55</v>
      </c>
      <c r="D3" s="107" t="s">
        <v>0</v>
      </c>
      <c r="E3" s="107" t="s">
        <v>56</v>
      </c>
      <c r="F3" s="107" t="s">
        <v>1</v>
      </c>
      <c r="G3" s="107" t="s">
        <v>57</v>
      </c>
      <c r="H3" s="107" t="s">
        <v>2</v>
      </c>
      <c r="I3" s="107" t="s">
        <v>58</v>
      </c>
      <c r="J3" s="107" t="s">
        <v>3</v>
      </c>
      <c r="K3" s="107" t="s">
        <v>59</v>
      </c>
      <c r="L3" s="107" t="s">
        <v>4</v>
      </c>
      <c r="M3" s="107" t="s">
        <v>5</v>
      </c>
      <c r="N3" s="107" t="s">
        <v>6</v>
      </c>
      <c r="O3" s="107" t="s">
        <v>60</v>
      </c>
      <c r="P3" s="107" t="s">
        <v>7</v>
      </c>
      <c r="Q3" s="107" t="s">
        <v>61</v>
      </c>
      <c r="R3" s="107" t="s">
        <v>8</v>
      </c>
      <c r="S3" s="107" t="s">
        <v>62</v>
      </c>
      <c r="T3" s="107" t="s">
        <v>9</v>
      </c>
      <c r="U3" s="107" t="s">
        <v>10</v>
      </c>
      <c r="V3" s="107" t="s">
        <v>63</v>
      </c>
      <c r="W3" s="107" t="s">
        <v>11</v>
      </c>
      <c r="X3" s="107" t="s">
        <v>64</v>
      </c>
      <c r="Y3" s="107" t="s">
        <v>12</v>
      </c>
      <c r="Z3" s="107" t="s">
        <v>65</v>
      </c>
      <c r="AA3" s="107" t="s">
        <v>51</v>
      </c>
      <c r="AB3" s="107" t="s">
        <v>79</v>
      </c>
      <c r="AC3" s="107" t="s">
        <v>108</v>
      </c>
      <c r="AD3" s="107" t="s">
        <v>146</v>
      </c>
      <c r="AE3" s="107" t="s">
        <v>147</v>
      </c>
      <c r="AF3" s="55" t="s">
        <v>170</v>
      </c>
      <c r="AG3" s="55" t="s">
        <v>171</v>
      </c>
      <c r="AH3" s="55" t="s">
        <v>156</v>
      </c>
      <c r="AI3" s="55" t="s">
        <v>168</v>
      </c>
      <c r="AJ3" s="55" t="s">
        <v>169</v>
      </c>
      <c r="AK3" s="55" t="s">
        <v>180</v>
      </c>
      <c r="AL3" s="55" t="s">
        <v>182</v>
      </c>
      <c r="AM3" s="55" t="s">
        <v>184</v>
      </c>
      <c r="AN3" s="55" t="s">
        <v>190</v>
      </c>
      <c r="AO3" s="55" t="s">
        <v>204</v>
      </c>
      <c r="AP3" s="55" t="s">
        <v>205</v>
      </c>
      <c r="AQ3" s="202" t="s">
        <v>208</v>
      </c>
      <c r="AR3" s="202" t="s">
        <v>210</v>
      </c>
      <c r="AS3" s="202" t="s">
        <v>221</v>
      </c>
      <c r="AT3" s="202" t="s">
        <v>222</v>
      </c>
      <c r="AU3" s="202" t="s">
        <v>225</v>
      </c>
      <c r="AV3" s="202" t="s">
        <v>226</v>
      </c>
      <c r="AW3" s="108" t="s">
        <v>54</v>
      </c>
      <c r="AX3" s="107" t="s">
        <v>55</v>
      </c>
      <c r="AY3" s="107" t="s">
        <v>0</v>
      </c>
      <c r="AZ3" s="107" t="s">
        <v>56</v>
      </c>
      <c r="BA3" s="107" t="s">
        <v>1</v>
      </c>
      <c r="BB3" s="107" t="s">
        <v>57</v>
      </c>
      <c r="BC3" s="107" t="s">
        <v>2</v>
      </c>
      <c r="BD3" s="107" t="s">
        <v>58</v>
      </c>
      <c r="BE3" s="107" t="s">
        <v>3</v>
      </c>
      <c r="BF3" s="107" t="s">
        <v>59</v>
      </c>
      <c r="BG3" s="107" t="s">
        <v>4</v>
      </c>
      <c r="BH3" s="107" t="s">
        <v>5</v>
      </c>
      <c r="BI3" s="107" t="s">
        <v>6</v>
      </c>
      <c r="BJ3" s="107" t="s">
        <v>60</v>
      </c>
      <c r="BK3" s="107" t="s">
        <v>7</v>
      </c>
      <c r="BL3" s="107" t="s">
        <v>61</v>
      </c>
      <c r="BM3" s="107" t="s">
        <v>8</v>
      </c>
      <c r="BN3" s="107" t="s">
        <v>62</v>
      </c>
      <c r="BO3" s="107" t="s">
        <v>9</v>
      </c>
      <c r="BP3" s="107" t="s">
        <v>10</v>
      </c>
      <c r="BQ3" s="107" t="s">
        <v>63</v>
      </c>
      <c r="BR3" s="107" t="s">
        <v>11</v>
      </c>
      <c r="BS3" s="107" t="s">
        <v>64</v>
      </c>
      <c r="BT3" s="107" t="s">
        <v>12</v>
      </c>
      <c r="BU3" s="107" t="s">
        <v>65</v>
      </c>
      <c r="BV3" s="107" t="s">
        <v>51</v>
      </c>
      <c r="BW3" s="107" t="s">
        <v>79</v>
      </c>
      <c r="BX3" s="107" t="s">
        <v>108</v>
      </c>
      <c r="BY3" s="107" t="s">
        <v>146</v>
      </c>
      <c r="BZ3" s="107" t="s">
        <v>147</v>
      </c>
      <c r="CA3" s="55" t="s">
        <v>170</v>
      </c>
      <c r="CB3" s="55" t="s">
        <v>171</v>
      </c>
      <c r="CC3" s="55" t="s">
        <v>156</v>
      </c>
      <c r="CD3" s="55" t="s">
        <v>168</v>
      </c>
      <c r="CE3" s="55" t="s">
        <v>169</v>
      </c>
      <c r="CF3" s="55" t="s">
        <v>180</v>
      </c>
      <c r="CG3" s="55" t="s">
        <v>182</v>
      </c>
      <c r="CH3" s="55" t="s">
        <v>184</v>
      </c>
      <c r="CI3" s="55" t="s">
        <v>190</v>
      </c>
      <c r="CJ3" s="55" t="s">
        <v>204</v>
      </c>
      <c r="CK3" s="55" t="s">
        <v>205</v>
      </c>
      <c r="CL3" s="4" t="s">
        <v>208</v>
      </c>
      <c r="CM3" s="4" t="s">
        <v>210</v>
      </c>
      <c r="CN3" s="4" t="s">
        <v>221</v>
      </c>
      <c r="CO3" s="4" t="s">
        <v>222</v>
      </c>
      <c r="CP3" s="4" t="s">
        <v>225</v>
      </c>
      <c r="CQ3" s="4" t="s">
        <v>226</v>
      </c>
    </row>
    <row r="4" spans="1:95">
      <c r="A4" s="45" t="s">
        <v>188</v>
      </c>
      <c r="B4" s="80">
        <f t="shared" ref="B4:BU4" si="0">B5+B23+B38+B52+B63</f>
        <v>144144</v>
      </c>
      <c r="C4" s="56">
        <f t="shared" si="0"/>
        <v>166227</v>
      </c>
      <c r="D4" s="56">
        <f t="shared" si="0"/>
        <v>175413</v>
      </c>
      <c r="E4" s="56">
        <f t="shared" si="0"/>
        <v>188591</v>
      </c>
      <c r="F4" s="56">
        <f t="shared" si="0"/>
        <v>191017</v>
      </c>
      <c r="G4" s="56">
        <f t="shared" si="0"/>
        <v>209996</v>
      </c>
      <c r="H4" s="56">
        <f t="shared" si="0"/>
        <v>210512</v>
      </c>
      <c r="I4" s="56">
        <f t="shared" si="0"/>
        <v>202500</v>
      </c>
      <c r="J4" s="56">
        <f t="shared" si="0"/>
        <v>188847</v>
      </c>
      <c r="K4" s="56">
        <f t="shared" si="0"/>
        <v>180129</v>
      </c>
      <c r="L4" s="56">
        <f t="shared" si="0"/>
        <v>184780</v>
      </c>
      <c r="M4" s="56">
        <f t="shared" si="0"/>
        <v>192815</v>
      </c>
      <c r="N4" s="56">
        <f t="shared" si="0"/>
        <v>199404</v>
      </c>
      <c r="O4" s="56">
        <f t="shared" si="0"/>
        <v>198117</v>
      </c>
      <c r="P4" s="56">
        <f t="shared" si="0"/>
        <v>197093</v>
      </c>
      <c r="Q4" s="56">
        <f t="shared" si="0"/>
        <v>189217</v>
      </c>
      <c r="R4" s="56">
        <f t="shared" si="0"/>
        <v>189217</v>
      </c>
      <c r="S4" s="56">
        <f t="shared" si="0"/>
        <v>182716</v>
      </c>
      <c r="T4" s="56">
        <f t="shared" si="0"/>
        <v>182775</v>
      </c>
      <c r="U4" s="56">
        <f t="shared" si="0"/>
        <v>179903</v>
      </c>
      <c r="V4" s="56">
        <f t="shared" si="0"/>
        <v>183552</v>
      </c>
      <c r="W4" s="56">
        <f t="shared" si="0"/>
        <v>190463</v>
      </c>
      <c r="X4" s="56">
        <f t="shared" si="0"/>
        <v>198836</v>
      </c>
      <c r="Y4" s="56">
        <f t="shared" si="0"/>
        <v>203319</v>
      </c>
      <c r="Z4" s="56">
        <f t="shared" si="0"/>
        <v>206123</v>
      </c>
      <c r="AA4" s="56">
        <f t="shared" si="0"/>
        <v>208449</v>
      </c>
      <c r="AB4" s="56">
        <f t="shared" si="0"/>
        <v>209918</v>
      </c>
      <c r="AC4" s="56">
        <f t="shared" si="0"/>
        <v>214761</v>
      </c>
      <c r="AD4" s="56">
        <f t="shared" si="0"/>
        <v>217613</v>
      </c>
      <c r="AE4" s="56">
        <f t="shared" si="0"/>
        <v>218417</v>
      </c>
      <c r="AF4" s="56">
        <f t="shared" si="0"/>
        <v>224721</v>
      </c>
      <c r="AG4" s="56">
        <f t="shared" si="0"/>
        <v>231645</v>
      </c>
      <c r="AH4" s="56">
        <f t="shared" si="0"/>
        <v>238109</v>
      </c>
      <c r="AI4" s="56">
        <f t="shared" si="0"/>
        <v>259780</v>
      </c>
      <c r="AJ4" s="56">
        <f t="shared" si="0"/>
        <v>260033</v>
      </c>
      <c r="AK4" s="56">
        <f t="shared" si="0"/>
        <v>267532</v>
      </c>
      <c r="AL4" s="56">
        <f t="shared" si="0"/>
        <v>275187</v>
      </c>
      <c r="AM4" s="56">
        <f t="shared" si="0"/>
        <v>282521</v>
      </c>
      <c r="AN4" s="56">
        <f t="shared" si="0"/>
        <v>298141</v>
      </c>
      <c r="AO4" s="56">
        <f t="shared" ref="AO4:AP4" si="1">AO5+AO23+AO38+AO52+AO63</f>
        <v>322220</v>
      </c>
      <c r="AP4" s="56">
        <f t="shared" si="1"/>
        <v>344573</v>
      </c>
      <c r="AQ4" s="56">
        <f t="shared" ref="AQ4:AR4" si="2">AQ5+AQ23+AQ38+AQ52+AQ63</f>
        <v>387209</v>
      </c>
      <c r="AR4" s="56">
        <f t="shared" si="2"/>
        <v>384764</v>
      </c>
      <c r="AS4" s="56">
        <f t="shared" ref="AS4:AT4" si="3">AS5+AS23+AS38+AS52+AS63</f>
        <v>0</v>
      </c>
      <c r="AT4" s="56">
        <f t="shared" si="3"/>
        <v>390713</v>
      </c>
      <c r="AU4" s="56">
        <f t="shared" ref="AU4:AV4" si="4">AU5+AU23+AU38+AU52+AU63</f>
        <v>386964</v>
      </c>
      <c r="AV4" s="56">
        <f t="shared" si="4"/>
        <v>389038</v>
      </c>
      <c r="AW4" s="86">
        <f t="shared" si="0"/>
        <v>108167</v>
      </c>
      <c r="AX4" s="56">
        <f t="shared" si="0"/>
        <v>125787</v>
      </c>
      <c r="AY4" s="56">
        <f t="shared" si="0"/>
        <v>140761</v>
      </c>
      <c r="AZ4" s="56">
        <f t="shared" si="0"/>
        <v>155333</v>
      </c>
      <c r="BA4" s="56">
        <f t="shared" si="0"/>
        <v>169154</v>
      </c>
      <c r="BB4" s="56">
        <f t="shared" si="0"/>
        <v>181458</v>
      </c>
      <c r="BC4" s="56">
        <f t="shared" si="0"/>
        <v>195535</v>
      </c>
      <c r="BD4" s="56">
        <f t="shared" si="0"/>
        <v>207496</v>
      </c>
      <c r="BE4" s="56">
        <f t="shared" si="0"/>
        <v>210522</v>
      </c>
      <c r="BF4" s="56">
        <f t="shared" si="0"/>
        <v>217062</v>
      </c>
      <c r="BG4" s="56">
        <f t="shared" si="0"/>
        <v>227578</v>
      </c>
      <c r="BH4" s="56">
        <f t="shared" si="0"/>
        <v>237352</v>
      </c>
      <c r="BI4" s="56">
        <f t="shared" si="0"/>
        <v>245196</v>
      </c>
      <c r="BJ4" s="56">
        <f t="shared" si="0"/>
        <v>249103</v>
      </c>
      <c r="BK4" s="56">
        <f t="shared" si="0"/>
        <v>251115</v>
      </c>
      <c r="BL4" s="56">
        <f t="shared" si="0"/>
        <v>247584</v>
      </c>
      <c r="BM4" s="56">
        <f t="shared" si="0"/>
        <v>244404</v>
      </c>
      <c r="BN4" s="56">
        <f t="shared" si="0"/>
        <v>244053</v>
      </c>
      <c r="BO4" s="56">
        <f t="shared" si="0"/>
        <v>248883</v>
      </c>
      <c r="BP4" s="56">
        <f t="shared" si="0"/>
        <v>262482</v>
      </c>
      <c r="BQ4" s="56">
        <f t="shared" si="0"/>
        <v>281675</v>
      </c>
      <c r="BR4" s="56">
        <f t="shared" si="0"/>
        <v>295169</v>
      </c>
      <c r="BS4" s="56">
        <f t="shared" si="0"/>
        <v>301211</v>
      </c>
      <c r="BT4" s="56">
        <f t="shared" si="0"/>
        <v>313499</v>
      </c>
      <c r="BU4" s="56">
        <f t="shared" si="0"/>
        <v>319265</v>
      </c>
      <c r="BV4" s="56">
        <f t="shared" ref="BV4:CI4" si="5">BV5+BV23+BV38+BV52+BV63</f>
        <v>333674</v>
      </c>
      <c r="BW4" s="56">
        <f t="shared" si="5"/>
        <v>345098</v>
      </c>
      <c r="BX4" s="56">
        <f t="shared" si="5"/>
        <v>340942</v>
      </c>
      <c r="BY4" s="56">
        <f t="shared" si="5"/>
        <v>341537</v>
      </c>
      <c r="BZ4" s="56">
        <f t="shared" si="5"/>
        <v>340212</v>
      </c>
      <c r="CA4" s="56">
        <f t="shared" si="5"/>
        <v>347220</v>
      </c>
      <c r="CB4" s="56">
        <f t="shared" si="5"/>
        <v>357024</v>
      </c>
      <c r="CC4" s="56">
        <f t="shared" si="5"/>
        <v>380565</v>
      </c>
      <c r="CD4" s="56">
        <f t="shared" si="5"/>
        <v>404892</v>
      </c>
      <c r="CE4" s="56">
        <f t="shared" si="5"/>
        <v>429124</v>
      </c>
      <c r="CF4" s="56">
        <f t="shared" si="5"/>
        <v>438871</v>
      </c>
      <c r="CG4" s="56">
        <f t="shared" si="5"/>
        <v>452927</v>
      </c>
      <c r="CH4" s="56">
        <f t="shared" si="5"/>
        <v>467643</v>
      </c>
      <c r="CI4" s="56">
        <f t="shared" si="5"/>
        <v>489184</v>
      </c>
      <c r="CJ4" s="56">
        <f t="shared" ref="CJ4:CK4" si="6">CJ5+CJ23+CJ38+CJ52+CJ63</f>
        <v>524844</v>
      </c>
      <c r="CK4" s="56">
        <f t="shared" si="6"/>
        <v>543881</v>
      </c>
      <c r="CL4" s="56">
        <f t="shared" ref="CL4:CM4" si="7">CL5+CL23+CL38+CL52+CL63</f>
        <v>616699</v>
      </c>
      <c r="CM4" s="56">
        <f t="shared" si="7"/>
        <v>612034</v>
      </c>
      <c r="CN4" s="56">
        <f t="shared" ref="CN4:CO4" si="8">CN5+CN23+CN38+CN52+CN63</f>
        <v>0</v>
      </c>
      <c r="CO4" s="56">
        <f t="shared" si="8"/>
        <v>610930</v>
      </c>
      <c r="CP4" s="56">
        <f t="shared" ref="CP4:CQ4" si="9">CP5+CP23+CP38+CP52+CP63</f>
        <v>610907</v>
      </c>
      <c r="CQ4" s="56">
        <f t="shared" si="9"/>
        <v>606701</v>
      </c>
    </row>
    <row r="5" spans="1:95">
      <c r="A5" s="46" t="s">
        <v>70</v>
      </c>
      <c r="B5" s="81">
        <f>SUM(B7:B22)</f>
        <v>32786</v>
      </c>
      <c r="C5" s="59">
        <f t="shared" ref="C5:BV5" si="10">SUM(C7:C22)</f>
        <v>39344</v>
      </c>
      <c r="D5" s="59">
        <f t="shared" si="10"/>
        <v>43282</v>
      </c>
      <c r="E5" s="59">
        <f t="shared" si="10"/>
        <v>47192</v>
      </c>
      <c r="F5" s="59">
        <f t="shared" si="10"/>
        <v>47299</v>
      </c>
      <c r="G5" s="59">
        <f t="shared" si="10"/>
        <v>56598</v>
      </c>
      <c r="H5" s="59">
        <f t="shared" si="10"/>
        <v>57854</v>
      </c>
      <c r="I5" s="59">
        <f t="shared" si="10"/>
        <v>56961</v>
      </c>
      <c r="J5" s="59">
        <f t="shared" si="10"/>
        <v>53778</v>
      </c>
      <c r="K5" s="59">
        <f t="shared" si="10"/>
        <v>51843</v>
      </c>
      <c r="L5" s="59">
        <f t="shared" si="10"/>
        <v>51489</v>
      </c>
      <c r="M5" s="59">
        <f t="shared" si="10"/>
        <v>54376</v>
      </c>
      <c r="N5" s="59">
        <f t="shared" si="10"/>
        <v>55561</v>
      </c>
      <c r="O5" s="59">
        <f t="shared" si="10"/>
        <v>53778</v>
      </c>
      <c r="P5" s="59">
        <f t="shared" si="10"/>
        <v>54555</v>
      </c>
      <c r="Q5" s="59">
        <f t="shared" si="10"/>
        <v>53570</v>
      </c>
      <c r="R5" s="59">
        <f t="shared" si="10"/>
        <v>53570</v>
      </c>
      <c r="S5" s="59">
        <f t="shared" si="10"/>
        <v>50930</v>
      </c>
      <c r="T5" s="59">
        <f t="shared" si="10"/>
        <v>52610</v>
      </c>
      <c r="U5" s="59">
        <f t="shared" si="10"/>
        <v>52599</v>
      </c>
      <c r="V5" s="59">
        <f t="shared" si="10"/>
        <v>53602</v>
      </c>
      <c r="W5" s="59">
        <f t="shared" si="10"/>
        <v>54011</v>
      </c>
      <c r="X5" s="59">
        <f t="shared" si="10"/>
        <v>56476</v>
      </c>
      <c r="Y5" s="59">
        <f t="shared" si="10"/>
        <v>58598</v>
      </c>
      <c r="Z5" s="59">
        <f t="shared" si="10"/>
        <v>60859</v>
      </c>
      <c r="AA5" s="59">
        <f t="shared" si="10"/>
        <v>60672</v>
      </c>
      <c r="AB5" s="59">
        <f t="shared" si="10"/>
        <v>61658</v>
      </c>
      <c r="AC5" s="59">
        <f t="shared" si="10"/>
        <v>64258</v>
      </c>
      <c r="AD5" s="59">
        <f t="shared" si="10"/>
        <v>65430</v>
      </c>
      <c r="AE5" s="59">
        <f t="shared" si="10"/>
        <v>64522</v>
      </c>
      <c r="AF5" s="59">
        <f t="shared" si="10"/>
        <v>66238</v>
      </c>
      <c r="AG5" s="59">
        <f t="shared" si="10"/>
        <v>71008</v>
      </c>
      <c r="AH5" s="59">
        <f t="shared" si="10"/>
        <v>70948</v>
      </c>
      <c r="AI5" s="59">
        <f t="shared" si="10"/>
        <v>81690</v>
      </c>
      <c r="AJ5" s="59">
        <f t="shared" si="10"/>
        <v>81869</v>
      </c>
      <c r="AK5" s="59">
        <f t="shared" si="10"/>
        <v>85317</v>
      </c>
      <c r="AL5" s="59">
        <f t="shared" si="10"/>
        <v>86905</v>
      </c>
      <c r="AM5" s="59">
        <f t="shared" si="10"/>
        <v>88455</v>
      </c>
      <c r="AN5" s="59">
        <f t="shared" si="10"/>
        <v>94466</v>
      </c>
      <c r="AO5" s="59">
        <f t="shared" ref="AO5:AP5" si="11">SUM(AO7:AO22)</f>
        <v>105195</v>
      </c>
      <c r="AP5" s="59">
        <f t="shared" si="11"/>
        <v>118320</v>
      </c>
      <c r="AQ5" s="59">
        <f t="shared" ref="AQ5:AR5" si="12">SUM(AQ7:AQ22)</f>
        <v>133157</v>
      </c>
      <c r="AR5" s="59">
        <f t="shared" si="12"/>
        <v>133078</v>
      </c>
      <c r="AS5" s="59">
        <f t="shared" ref="AS5:AT5" si="13">SUM(AS7:AS22)</f>
        <v>0</v>
      </c>
      <c r="AT5" s="59">
        <f t="shared" si="13"/>
        <v>137708</v>
      </c>
      <c r="AU5" s="59">
        <f t="shared" ref="AU5:AV5" si="14">SUM(AU7:AU22)</f>
        <v>138040</v>
      </c>
      <c r="AV5" s="59">
        <f t="shared" si="14"/>
        <v>139771</v>
      </c>
      <c r="AW5" s="87">
        <f t="shared" si="10"/>
        <v>25694</v>
      </c>
      <c r="AX5" s="59">
        <f t="shared" si="10"/>
        <v>31327</v>
      </c>
      <c r="AY5" s="59">
        <f t="shared" si="10"/>
        <v>36271</v>
      </c>
      <c r="AZ5" s="59">
        <f t="shared" si="10"/>
        <v>39434</v>
      </c>
      <c r="BA5" s="59">
        <f t="shared" si="10"/>
        <v>44192</v>
      </c>
      <c r="BB5" s="59">
        <f t="shared" si="10"/>
        <v>49463</v>
      </c>
      <c r="BC5" s="59">
        <f t="shared" si="10"/>
        <v>53510</v>
      </c>
      <c r="BD5" s="59">
        <f t="shared" si="10"/>
        <v>57537</v>
      </c>
      <c r="BE5" s="59">
        <f t="shared" si="10"/>
        <v>59759</v>
      </c>
      <c r="BF5" s="59">
        <f t="shared" si="10"/>
        <v>62776</v>
      </c>
      <c r="BG5" s="59">
        <f t="shared" si="10"/>
        <v>64145</v>
      </c>
      <c r="BH5" s="59">
        <f t="shared" si="10"/>
        <v>68533</v>
      </c>
      <c r="BI5" s="59">
        <f t="shared" si="10"/>
        <v>71523</v>
      </c>
      <c r="BJ5" s="59">
        <f t="shared" si="10"/>
        <v>71933</v>
      </c>
      <c r="BK5" s="59">
        <f t="shared" si="10"/>
        <v>73518</v>
      </c>
      <c r="BL5" s="59">
        <f t="shared" si="10"/>
        <v>73310</v>
      </c>
      <c r="BM5" s="59">
        <f t="shared" si="10"/>
        <v>70783</v>
      </c>
      <c r="BN5" s="59">
        <f t="shared" si="10"/>
        <v>72551</v>
      </c>
      <c r="BO5" s="59">
        <f t="shared" si="10"/>
        <v>74691</v>
      </c>
      <c r="BP5" s="59">
        <f t="shared" si="10"/>
        <v>79902</v>
      </c>
      <c r="BQ5" s="59">
        <f t="shared" si="10"/>
        <v>84526</v>
      </c>
      <c r="BR5" s="59">
        <f t="shared" si="10"/>
        <v>90740</v>
      </c>
      <c r="BS5" s="59">
        <f t="shared" si="10"/>
        <v>93126</v>
      </c>
      <c r="BT5" s="59">
        <f t="shared" si="10"/>
        <v>98069</v>
      </c>
      <c r="BU5" s="59">
        <f t="shared" si="10"/>
        <v>98164</v>
      </c>
      <c r="BV5" s="59">
        <f t="shared" si="10"/>
        <v>101287</v>
      </c>
      <c r="BW5" s="59">
        <f t="shared" ref="BW5:CI5" si="15">SUM(BW7:BW22)</f>
        <v>107456</v>
      </c>
      <c r="BX5" s="59">
        <f t="shared" si="15"/>
        <v>106917</v>
      </c>
      <c r="BY5" s="59">
        <f t="shared" si="15"/>
        <v>105779</v>
      </c>
      <c r="BZ5" s="59">
        <f t="shared" si="15"/>
        <v>105930</v>
      </c>
      <c r="CA5" s="59">
        <f t="shared" si="15"/>
        <v>110240</v>
      </c>
      <c r="CB5" s="59">
        <f t="shared" si="15"/>
        <v>112613</v>
      </c>
      <c r="CC5" s="59">
        <f t="shared" si="15"/>
        <v>124154</v>
      </c>
      <c r="CD5" s="59">
        <f t="shared" si="15"/>
        <v>135123</v>
      </c>
      <c r="CE5" s="59">
        <f t="shared" si="15"/>
        <v>143695</v>
      </c>
      <c r="CF5" s="59">
        <f t="shared" si="15"/>
        <v>149219</v>
      </c>
      <c r="CG5" s="59">
        <f t="shared" si="15"/>
        <v>151912</v>
      </c>
      <c r="CH5" s="59">
        <f t="shared" si="15"/>
        <v>156441</v>
      </c>
      <c r="CI5" s="59">
        <f t="shared" si="15"/>
        <v>163632</v>
      </c>
      <c r="CJ5" s="59">
        <f t="shared" ref="CJ5:CK5" si="16">SUM(CJ7:CJ22)</f>
        <v>179913</v>
      </c>
      <c r="CK5" s="59">
        <f t="shared" si="16"/>
        <v>199201</v>
      </c>
      <c r="CL5" s="59">
        <f t="shared" ref="CL5:CM5" si="17">SUM(CL7:CL22)</f>
        <v>222702</v>
      </c>
      <c r="CM5" s="59">
        <f t="shared" si="17"/>
        <v>223061</v>
      </c>
      <c r="CN5" s="59">
        <f t="shared" ref="CN5:CO5" si="18">SUM(CN7:CN22)</f>
        <v>0</v>
      </c>
      <c r="CO5" s="59">
        <f t="shared" si="18"/>
        <v>227463</v>
      </c>
      <c r="CP5" s="59">
        <f t="shared" ref="CP5:CQ5" si="19">SUM(CP7:CP22)</f>
        <v>231756</v>
      </c>
      <c r="CQ5" s="59">
        <f t="shared" si="19"/>
        <v>233450</v>
      </c>
    </row>
    <row r="6" spans="1:95">
      <c r="A6" s="47" t="s">
        <v>189</v>
      </c>
      <c r="B6" s="82">
        <f>(B5/B$4)*100</f>
        <v>22.745310245310247</v>
      </c>
      <c r="C6" s="58">
        <f t="shared" ref="C6:BV6" si="20">(C5/C$4)*100</f>
        <v>23.668838395687825</v>
      </c>
      <c r="D6" s="58">
        <f t="shared" si="20"/>
        <v>24.674339986203986</v>
      </c>
      <c r="E6" s="58">
        <f t="shared" si="20"/>
        <v>25.023463473866727</v>
      </c>
      <c r="F6" s="58">
        <f t="shared" si="20"/>
        <v>24.761670427239459</v>
      </c>
      <c r="G6" s="58">
        <f t="shared" si="20"/>
        <v>26.951941941751272</v>
      </c>
      <c r="H6" s="58">
        <f t="shared" si="20"/>
        <v>27.482518811279167</v>
      </c>
      <c r="I6" s="58">
        <f t="shared" si="20"/>
        <v>28.128888888888888</v>
      </c>
      <c r="J6" s="58">
        <f t="shared" si="20"/>
        <v>28.477021080557275</v>
      </c>
      <c r="K6" s="58">
        <f t="shared" si="20"/>
        <v>28.781040254484285</v>
      </c>
      <c r="L6" s="58">
        <f t="shared" si="20"/>
        <v>27.865028682757874</v>
      </c>
      <c r="M6" s="58">
        <f t="shared" si="20"/>
        <v>28.201125431112722</v>
      </c>
      <c r="N6" s="58">
        <f t="shared" si="20"/>
        <v>27.863533329321378</v>
      </c>
      <c r="O6" s="58">
        <f t="shared" si="20"/>
        <v>27.144566089734855</v>
      </c>
      <c r="P6" s="58">
        <f t="shared" si="20"/>
        <v>27.679826274905757</v>
      </c>
      <c r="Q6" s="58">
        <f t="shared" si="20"/>
        <v>28.311409651352683</v>
      </c>
      <c r="R6" s="58">
        <f t="shared" si="20"/>
        <v>28.311409651352683</v>
      </c>
      <c r="S6" s="58">
        <f t="shared" si="20"/>
        <v>27.873858884826724</v>
      </c>
      <c r="T6" s="58">
        <f t="shared" si="20"/>
        <v>28.784024073314185</v>
      </c>
      <c r="U6" s="58">
        <f t="shared" si="20"/>
        <v>29.237422388731705</v>
      </c>
      <c r="V6" s="58">
        <f t="shared" si="20"/>
        <v>29.202623779637378</v>
      </c>
      <c r="W6" s="58">
        <f t="shared" si="20"/>
        <v>28.357738773410055</v>
      </c>
      <c r="X6" s="58">
        <f t="shared" si="20"/>
        <v>28.403307248184433</v>
      </c>
      <c r="Y6" s="58">
        <f t="shared" si="20"/>
        <v>28.820720149125268</v>
      </c>
      <c r="Z6" s="58">
        <f t="shared" si="20"/>
        <v>29.525574535592824</v>
      </c>
      <c r="AA6" s="58">
        <f t="shared" si="20"/>
        <v>29.106400126649685</v>
      </c>
      <c r="AB6" s="58">
        <f t="shared" si="20"/>
        <v>29.372421612248594</v>
      </c>
      <c r="AC6" s="58">
        <f t="shared" si="20"/>
        <v>29.920702548414287</v>
      </c>
      <c r="AD6" s="58">
        <f t="shared" si="20"/>
        <v>30.067137533143701</v>
      </c>
      <c r="AE6" s="58">
        <f t="shared" si="20"/>
        <v>29.540740876396981</v>
      </c>
      <c r="AF6" s="58">
        <f t="shared" si="20"/>
        <v>29.475660930665136</v>
      </c>
      <c r="AG6" s="58">
        <f t="shared" si="20"/>
        <v>30.653802154158306</v>
      </c>
      <c r="AH6" s="58">
        <f t="shared" si="20"/>
        <v>29.796437765897132</v>
      </c>
      <c r="AI6" s="58">
        <f t="shared" si="20"/>
        <v>31.445838786665643</v>
      </c>
      <c r="AJ6" s="58">
        <f t="shared" si="20"/>
        <v>31.48408086665923</v>
      </c>
      <c r="AK6" s="58">
        <f t="shared" si="20"/>
        <v>31.890390682236141</v>
      </c>
      <c r="AL6" s="58">
        <f t="shared" si="20"/>
        <v>31.580343548205402</v>
      </c>
      <c r="AM6" s="58">
        <f t="shared" si="20"/>
        <v>31.309177016929713</v>
      </c>
      <c r="AN6" s="58">
        <f t="shared" si="20"/>
        <v>31.685008100194199</v>
      </c>
      <c r="AO6" s="58">
        <f t="shared" ref="AO6:AP6" si="21">(AO5/AO$4)*100</f>
        <v>32.646949289305446</v>
      </c>
      <c r="AP6" s="58">
        <f t="shared" si="21"/>
        <v>34.338151857516401</v>
      </c>
      <c r="AQ6" s="58">
        <f t="shared" ref="AQ6:AR6" si="22">(AQ5/AQ$4)*100</f>
        <v>34.388921745104071</v>
      </c>
      <c r="AR6" s="58">
        <f t="shared" si="22"/>
        <v>34.586915615806049</v>
      </c>
      <c r="AS6" s="58" t="e">
        <f t="shared" ref="AS6:AT6" si="23">(AS5/AS$4)*100</f>
        <v>#DIV/0!</v>
      </c>
      <c r="AT6" s="58">
        <f t="shared" si="23"/>
        <v>35.245307937027945</v>
      </c>
      <c r="AU6" s="58">
        <f t="shared" ref="AU6:AV6" si="24">(AU5/AU$4)*100</f>
        <v>35.672569024508739</v>
      </c>
      <c r="AV6" s="58">
        <f t="shared" si="24"/>
        <v>35.927338717554584</v>
      </c>
      <c r="AW6" s="88">
        <f t="shared" si="20"/>
        <v>23.754010003050837</v>
      </c>
      <c r="AX6" s="58">
        <f t="shared" si="20"/>
        <v>24.904799383084104</v>
      </c>
      <c r="AY6" s="58">
        <f t="shared" si="20"/>
        <v>25.767790794325133</v>
      </c>
      <c r="AZ6" s="58">
        <f t="shared" si="20"/>
        <v>25.386749756973725</v>
      </c>
      <c r="BA6" s="58">
        <f t="shared" si="20"/>
        <v>26.125305934237442</v>
      </c>
      <c r="BB6" s="58">
        <f t="shared" si="20"/>
        <v>27.258649384430555</v>
      </c>
      <c r="BC6" s="58">
        <f t="shared" si="20"/>
        <v>27.365944715779783</v>
      </c>
      <c r="BD6" s="58">
        <f t="shared" si="20"/>
        <v>27.729209237768437</v>
      </c>
      <c r="BE6" s="58">
        <f t="shared" si="20"/>
        <v>28.38610691519176</v>
      </c>
      <c r="BF6" s="58">
        <f t="shared" si="20"/>
        <v>28.920769181155613</v>
      </c>
      <c r="BG6" s="58">
        <f t="shared" si="20"/>
        <v>28.185940644526276</v>
      </c>
      <c r="BH6" s="58">
        <f t="shared" si="20"/>
        <v>28.873993056725876</v>
      </c>
      <c r="BI6" s="58">
        <f t="shared" si="20"/>
        <v>29.169725444134485</v>
      </c>
      <c r="BJ6" s="58">
        <f t="shared" si="20"/>
        <v>28.8768099942594</v>
      </c>
      <c r="BK6" s="58">
        <f t="shared" si="20"/>
        <v>29.276626246938655</v>
      </c>
      <c r="BL6" s="58">
        <f t="shared" si="20"/>
        <v>29.61015251389427</v>
      </c>
      <c r="BM6" s="58">
        <f t="shared" si="20"/>
        <v>28.961473625636241</v>
      </c>
      <c r="BN6" s="58">
        <f t="shared" si="20"/>
        <v>29.727559177719591</v>
      </c>
      <c r="BO6" s="58">
        <f t="shared" si="20"/>
        <v>30.010486855269342</v>
      </c>
      <c r="BP6" s="58">
        <f t="shared" si="20"/>
        <v>30.440944521910072</v>
      </c>
      <c r="BQ6" s="58">
        <f t="shared" si="20"/>
        <v>30.00834294843348</v>
      </c>
      <c r="BR6" s="58">
        <f t="shared" si="20"/>
        <v>30.741710680999702</v>
      </c>
      <c r="BS6" s="58">
        <f t="shared" si="20"/>
        <v>30.917197579105675</v>
      </c>
      <c r="BT6" s="58">
        <f t="shared" si="20"/>
        <v>31.282077454792518</v>
      </c>
      <c r="BU6" s="58">
        <f t="shared" si="20"/>
        <v>30.746871720984139</v>
      </c>
      <c r="BV6" s="58">
        <f t="shared" si="20"/>
        <v>30.355077111192365</v>
      </c>
      <c r="BW6" s="58">
        <f t="shared" ref="BW6:CI6" si="25">(BW5/BW$4)*100</f>
        <v>31.137821720207015</v>
      </c>
      <c r="BX6" s="58">
        <f t="shared" si="25"/>
        <v>31.359292782936688</v>
      </c>
      <c r="BY6" s="58">
        <f t="shared" si="25"/>
        <v>30.971461364361698</v>
      </c>
      <c r="BZ6" s="58">
        <f t="shared" si="25"/>
        <v>31.136467849458572</v>
      </c>
      <c r="CA6" s="58">
        <f t="shared" si="25"/>
        <v>31.749323195668449</v>
      </c>
      <c r="CB6" s="58">
        <f t="shared" si="25"/>
        <v>31.5421372232679</v>
      </c>
      <c r="CC6" s="58">
        <f t="shared" si="25"/>
        <v>32.623599122357547</v>
      </c>
      <c r="CD6" s="58">
        <f t="shared" si="25"/>
        <v>33.372603064520909</v>
      </c>
      <c r="CE6" s="58">
        <f t="shared" si="25"/>
        <v>33.485659156793837</v>
      </c>
      <c r="CF6" s="58">
        <f t="shared" si="25"/>
        <v>34.000651672131447</v>
      </c>
      <c r="CG6" s="58">
        <f t="shared" si="25"/>
        <v>33.54006274741846</v>
      </c>
      <c r="CH6" s="58">
        <f t="shared" si="25"/>
        <v>33.453082800341285</v>
      </c>
      <c r="CI6" s="58">
        <f t="shared" si="25"/>
        <v>33.449990187741221</v>
      </c>
      <c r="CJ6" s="58">
        <f t="shared" ref="CJ6:CK6" si="26">(CJ5/CJ$4)*100</f>
        <v>34.279328714818121</v>
      </c>
      <c r="CK6" s="58">
        <f t="shared" si="26"/>
        <v>36.625842785462261</v>
      </c>
      <c r="CL6" s="58">
        <f t="shared" ref="CL6:CM6" si="27">(CL5/CL$4)*100</f>
        <v>36.111944400753046</v>
      </c>
      <c r="CM6" s="58">
        <f t="shared" si="27"/>
        <v>36.445851047490827</v>
      </c>
      <c r="CN6" s="58" t="e">
        <f t="shared" ref="CN6:CO6" si="28">(CN5/CN$4)*100</f>
        <v>#DIV/0!</v>
      </c>
      <c r="CO6" s="58">
        <f t="shared" si="28"/>
        <v>37.232252467549479</v>
      </c>
      <c r="CP6" s="58">
        <f t="shared" ref="CP6:CQ6" si="29">(CP5/CP$4)*100</f>
        <v>37.936379841776244</v>
      </c>
      <c r="CQ6" s="58">
        <f t="shared" si="29"/>
        <v>38.478591596189887</v>
      </c>
    </row>
    <row r="7" spans="1:95">
      <c r="A7" s="64" t="s">
        <v>14</v>
      </c>
      <c r="B7" s="69">
        <v>1092</v>
      </c>
      <c r="C7" s="68">
        <v>1406</v>
      </c>
      <c r="D7" s="68">
        <v>1641</v>
      </c>
      <c r="E7" s="68">
        <v>1621</v>
      </c>
      <c r="F7" s="68">
        <v>1823</v>
      </c>
      <c r="G7" s="68">
        <v>2746</v>
      </c>
      <c r="H7" s="68">
        <v>2894</v>
      </c>
      <c r="I7" s="68">
        <v>2842</v>
      </c>
      <c r="J7" s="68">
        <v>2328</v>
      </c>
      <c r="K7" s="68">
        <v>2096</v>
      </c>
      <c r="L7" s="68">
        <v>1816</v>
      </c>
      <c r="M7" s="68">
        <v>1979</v>
      </c>
      <c r="N7" s="68">
        <v>1786</v>
      </c>
      <c r="O7" s="68">
        <v>1824</v>
      </c>
      <c r="P7" s="68">
        <v>2515</v>
      </c>
      <c r="Q7" s="68">
        <v>2485</v>
      </c>
      <c r="R7" s="68">
        <v>2485</v>
      </c>
      <c r="S7" s="68">
        <v>2675</v>
      </c>
      <c r="T7" s="68">
        <v>2602</v>
      </c>
      <c r="U7" s="68">
        <v>2255</v>
      </c>
      <c r="V7" s="68">
        <v>2498</v>
      </c>
      <c r="W7" s="68">
        <v>2445</v>
      </c>
      <c r="X7" s="68">
        <v>2591</v>
      </c>
      <c r="Y7" s="68">
        <v>2736</v>
      </c>
      <c r="Z7" s="68">
        <v>2813</v>
      </c>
      <c r="AA7" s="68">
        <v>2848</v>
      </c>
      <c r="AB7" s="68">
        <v>2946</v>
      </c>
      <c r="AC7" s="68">
        <v>3072</v>
      </c>
      <c r="AD7" s="68">
        <v>3087</v>
      </c>
      <c r="AE7" s="68">
        <v>2867</v>
      </c>
      <c r="AF7" s="68">
        <v>3240</v>
      </c>
      <c r="AG7" s="68">
        <v>3035</v>
      </c>
      <c r="AH7" s="68">
        <v>3014</v>
      </c>
      <c r="AI7" s="68">
        <v>3099</v>
      </c>
      <c r="AJ7" s="68">
        <v>3099</v>
      </c>
      <c r="AK7" s="68">
        <v>3001</v>
      </c>
      <c r="AL7" s="68">
        <v>2748</v>
      </c>
      <c r="AM7" s="68">
        <v>3075</v>
      </c>
      <c r="AN7" s="68">
        <v>3223</v>
      </c>
      <c r="AO7" s="68">
        <v>3672</v>
      </c>
      <c r="AP7" s="68">
        <v>3755</v>
      </c>
      <c r="AQ7" s="68">
        <v>4755</v>
      </c>
      <c r="AR7" s="68">
        <v>5471</v>
      </c>
      <c r="AS7" s="68"/>
      <c r="AT7" s="68">
        <v>4089</v>
      </c>
      <c r="AU7" s="68">
        <v>3857</v>
      </c>
      <c r="AV7" s="68">
        <v>3926</v>
      </c>
      <c r="AW7" s="89">
        <v>1023</v>
      </c>
      <c r="AX7" s="68">
        <v>1116</v>
      </c>
      <c r="AY7" s="68">
        <v>1550</v>
      </c>
      <c r="AZ7" s="68">
        <v>1540</v>
      </c>
      <c r="BA7" s="68">
        <v>1602</v>
      </c>
      <c r="BB7" s="68">
        <v>2085</v>
      </c>
      <c r="BC7" s="68">
        <v>2297</v>
      </c>
      <c r="BD7" s="68">
        <v>2758</v>
      </c>
      <c r="BE7" s="68">
        <v>2626</v>
      </c>
      <c r="BF7" s="68">
        <v>3050</v>
      </c>
      <c r="BG7" s="68">
        <v>3023</v>
      </c>
      <c r="BH7" s="68">
        <v>3057</v>
      </c>
      <c r="BI7" s="68">
        <v>3034</v>
      </c>
      <c r="BJ7" s="68">
        <v>3243</v>
      </c>
      <c r="BK7" s="68">
        <v>3497</v>
      </c>
      <c r="BL7" s="68">
        <v>3622</v>
      </c>
      <c r="BM7" s="68">
        <v>3537</v>
      </c>
      <c r="BN7" s="68">
        <v>3372</v>
      </c>
      <c r="BO7" s="68">
        <v>3622</v>
      </c>
      <c r="BP7" s="68">
        <v>3767</v>
      </c>
      <c r="BQ7" s="68">
        <v>4139</v>
      </c>
      <c r="BR7" s="68">
        <v>4666</v>
      </c>
      <c r="BS7" s="68">
        <v>4748</v>
      </c>
      <c r="BT7" s="68">
        <v>4968</v>
      </c>
      <c r="BU7" s="68">
        <v>4987</v>
      </c>
      <c r="BV7" s="68">
        <v>5314</v>
      </c>
      <c r="BW7" s="68">
        <v>5591</v>
      </c>
      <c r="BX7" s="68">
        <v>5990</v>
      </c>
      <c r="BY7" s="68">
        <v>5189</v>
      </c>
      <c r="BZ7" s="68">
        <v>5525</v>
      </c>
      <c r="CA7" s="68">
        <v>5105</v>
      </c>
      <c r="CB7" s="68">
        <v>4913</v>
      </c>
      <c r="CC7" s="68">
        <v>5567</v>
      </c>
      <c r="CD7" s="68">
        <v>5815</v>
      </c>
      <c r="CE7" s="68">
        <v>6067</v>
      </c>
      <c r="CF7" s="68">
        <v>5894</v>
      </c>
      <c r="CG7" s="68">
        <v>5517</v>
      </c>
      <c r="CH7" s="68">
        <v>6096</v>
      </c>
      <c r="CI7" s="68">
        <v>6091</v>
      </c>
      <c r="CJ7" s="68">
        <v>6521</v>
      </c>
      <c r="CK7" s="31">
        <v>7431</v>
      </c>
      <c r="CL7" s="190">
        <v>8397</v>
      </c>
      <c r="CM7" s="190">
        <v>8287</v>
      </c>
      <c r="CN7" s="190"/>
      <c r="CO7" s="190">
        <v>7473</v>
      </c>
      <c r="CP7" s="190">
        <v>7128</v>
      </c>
      <c r="CQ7" s="190">
        <v>7094</v>
      </c>
    </row>
    <row r="8" spans="1:95">
      <c r="A8" s="64" t="s">
        <v>15</v>
      </c>
      <c r="B8" s="69">
        <v>252</v>
      </c>
      <c r="C8" s="68">
        <v>253</v>
      </c>
      <c r="D8" s="68">
        <v>225</v>
      </c>
      <c r="E8" s="68">
        <v>343</v>
      </c>
      <c r="F8" s="68">
        <v>432</v>
      </c>
      <c r="G8" s="68">
        <v>468</v>
      </c>
      <c r="H8" s="68">
        <v>572</v>
      </c>
      <c r="I8" s="68">
        <v>640</v>
      </c>
      <c r="J8" s="68">
        <v>653</v>
      </c>
      <c r="K8" s="68">
        <v>692</v>
      </c>
      <c r="L8" s="68">
        <v>753</v>
      </c>
      <c r="M8" s="68">
        <v>883</v>
      </c>
      <c r="N8" s="68">
        <v>941</v>
      </c>
      <c r="O8" s="68">
        <v>846</v>
      </c>
      <c r="P8" s="68">
        <v>809</v>
      </c>
      <c r="Q8" s="68">
        <v>764</v>
      </c>
      <c r="R8" s="68">
        <v>764</v>
      </c>
      <c r="S8" s="68">
        <v>891</v>
      </c>
      <c r="T8" s="68">
        <v>990</v>
      </c>
      <c r="U8" s="68">
        <v>933</v>
      </c>
      <c r="V8" s="68">
        <v>989</v>
      </c>
      <c r="W8" s="68">
        <v>1003</v>
      </c>
      <c r="X8" s="68">
        <v>786</v>
      </c>
      <c r="Y8" s="68">
        <v>816</v>
      </c>
      <c r="Z8" s="68">
        <v>912</v>
      </c>
      <c r="AA8" s="68">
        <v>764</v>
      </c>
      <c r="AB8" s="68">
        <v>914</v>
      </c>
      <c r="AC8" s="68">
        <v>1072</v>
      </c>
      <c r="AD8" s="68">
        <v>1027</v>
      </c>
      <c r="AE8" s="68">
        <v>1030</v>
      </c>
      <c r="AF8" s="68">
        <v>1183</v>
      </c>
      <c r="AG8" s="68">
        <v>1243</v>
      </c>
      <c r="AH8" s="68">
        <v>1292</v>
      </c>
      <c r="AI8" s="68">
        <v>1514</v>
      </c>
      <c r="AJ8" s="68">
        <v>1514</v>
      </c>
      <c r="AK8" s="68">
        <v>1654</v>
      </c>
      <c r="AL8" s="68">
        <v>1689</v>
      </c>
      <c r="AM8" s="68">
        <v>1647</v>
      </c>
      <c r="AN8" s="68">
        <v>1977</v>
      </c>
      <c r="AO8" s="68">
        <v>2215</v>
      </c>
      <c r="AP8" s="68">
        <v>3313</v>
      </c>
      <c r="AQ8" s="68">
        <v>2795</v>
      </c>
      <c r="AR8" s="68">
        <v>2715</v>
      </c>
      <c r="AS8" s="68"/>
      <c r="AT8" s="68">
        <v>2954</v>
      </c>
      <c r="AU8" s="68">
        <v>2832</v>
      </c>
      <c r="AV8" s="68">
        <v>2828</v>
      </c>
      <c r="AW8" s="89">
        <v>375</v>
      </c>
      <c r="AX8" s="68">
        <v>403</v>
      </c>
      <c r="AY8" s="68">
        <v>556</v>
      </c>
      <c r="AZ8" s="68">
        <v>650</v>
      </c>
      <c r="BA8" s="68">
        <v>698</v>
      </c>
      <c r="BB8" s="68">
        <v>680</v>
      </c>
      <c r="BC8" s="68">
        <v>838</v>
      </c>
      <c r="BD8" s="68">
        <v>996</v>
      </c>
      <c r="BE8" s="68">
        <v>946</v>
      </c>
      <c r="BF8" s="68">
        <v>1074</v>
      </c>
      <c r="BG8" s="68">
        <v>1032</v>
      </c>
      <c r="BH8" s="68">
        <v>1052</v>
      </c>
      <c r="BI8" s="68">
        <v>1419</v>
      </c>
      <c r="BJ8" s="68">
        <v>1218</v>
      </c>
      <c r="BK8" s="68">
        <v>1310</v>
      </c>
      <c r="BL8" s="68">
        <v>1226</v>
      </c>
      <c r="BM8" s="68">
        <v>1372</v>
      </c>
      <c r="BN8" s="68">
        <v>1422</v>
      </c>
      <c r="BO8" s="68">
        <v>1499</v>
      </c>
      <c r="BP8" s="68">
        <v>1616</v>
      </c>
      <c r="BQ8" s="68">
        <v>1738</v>
      </c>
      <c r="BR8" s="68">
        <v>1806</v>
      </c>
      <c r="BS8" s="68">
        <v>1802</v>
      </c>
      <c r="BT8" s="68">
        <v>1896</v>
      </c>
      <c r="BU8" s="68">
        <v>1728</v>
      </c>
      <c r="BV8" s="68">
        <v>2060</v>
      </c>
      <c r="BW8" s="68">
        <v>2267</v>
      </c>
      <c r="BX8" s="68">
        <v>2128</v>
      </c>
      <c r="BY8" s="68">
        <v>2275</v>
      </c>
      <c r="BZ8" s="68">
        <v>2702</v>
      </c>
      <c r="CA8" s="68">
        <v>2771</v>
      </c>
      <c r="CB8" s="68">
        <v>2921</v>
      </c>
      <c r="CC8" s="68">
        <v>3198</v>
      </c>
      <c r="CD8" s="68">
        <v>3373</v>
      </c>
      <c r="CE8" s="68">
        <v>3544</v>
      </c>
      <c r="CF8" s="68">
        <v>3808</v>
      </c>
      <c r="CG8" s="68">
        <v>4032</v>
      </c>
      <c r="CH8" s="68">
        <v>3920</v>
      </c>
      <c r="CI8" s="68">
        <v>4508</v>
      </c>
      <c r="CJ8" s="68">
        <v>4957</v>
      </c>
      <c r="CK8" s="31">
        <v>6868</v>
      </c>
      <c r="CL8" s="190">
        <v>5850</v>
      </c>
      <c r="CM8" s="190">
        <v>5783</v>
      </c>
      <c r="CN8" s="190"/>
      <c r="CO8" s="190">
        <v>6141</v>
      </c>
      <c r="CP8" s="190">
        <v>5935</v>
      </c>
      <c r="CQ8" s="190">
        <v>5772</v>
      </c>
    </row>
    <row r="9" spans="1:95">
      <c r="A9" s="64" t="s">
        <v>50</v>
      </c>
      <c r="B9" s="69">
        <v>572</v>
      </c>
      <c r="C9" s="68">
        <v>653</v>
      </c>
      <c r="D9" s="68">
        <v>556</v>
      </c>
      <c r="E9" s="68">
        <v>536</v>
      </c>
      <c r="F9" s="68">
        <v>503</v>
      </c>
      <c r="G9" s="68">
        <v>786</v>
      </c>
      <c r="H9" s="68">
        <v>835</v>
      </c>
      <c r="I9" s="68">
        <v>741</v>
      </c>
      <c r="J9" s="68">
        <v>512</v>
      </c>
      <c r="K9" s="68">
        <v>439</v>
      </c>
      <c r="L9" s="68">
        <v>424</v>
      </c>
      <c r="M9" s="68">
        <v>440</v>
      </c>
      <c r="N9" s="68">
        <v>431</v>
      </c>
      <c r="O9" s="68">
        <v>459</v>
      </c>
      <c r="P9" s="68">
        <v>394</v>
      </c>
      <c r="Q9" s="68">
        <v>366</v>
      </c>
      <c r="R9" s="68">
        <v>366</v>
      </c>
      <c r="S9" s="68">
        <v>370</v>
      </c>
      <c r="T9" s="68">
        <v>347</v>
      </c>
      <c r="U9" s="68">
        <v>364</v>
      </c>
      <c r="V9" s="68">
        <v>410</v>
      </c>
      <c r="W9" s="68">
        <v>417</v>
      </c>
      <c r="X9" s="68">
        <v>378</v>
      </c>
      <c r="Y9" s="68">
        <v>446</v>
      </c>
      <c r="Z9" s="68">
        <v>427</v>
      </c>
      <c r="AA9" s="68">
        <v>382</v>
      </c>
      <c r="AB9" s="68">
        <v>406</v>
      </c>
      <c r="AC9" s="68">
        <v>327</v>
      </c>
      <c r="AD9" s="68">
        <v>354</v>
      </c>
      <c r="AE9" s="68">
        <v>335</v>
      </c>
      <c r="AF9" s="68">
        <v>389</v>
      </c>
      <c r="AG9" s="68">
        <v>389</v>
      </c>
      <c r="AH9" s="68">
        <v>385</v>
      </c>
      <c r="AI9" s="68">
        <v>376</v>
      </c>
      <c r="AJ9" s="68">
        <v>376</v>
      </c>
      <c r="AK9" s="68">
        <v>490</v>
      </c>
      <c r="AL9" s="68">
        <v>501</v>
      </c>
      <c r="AM9" s="68">
        <v>484</v>
      </c>
      <c r="AN9" s="68">
        <v>562</v>
      </c>
      <c r="AO9" s="68">
        <v>644</v>
      </c>
      <c r="AP9" s="68">
        <v>697</v>
      </c>
      <c r="AQ9" s="68">
        <v>779</v>
      </c>
      <c r="AR9" s="68">
        <v>786</v>
      </c>
      <c r="AS9" s="68"/>
      <c r="AT9" s="68">
        <v>797</v>
      </c>
      <c r="AU9" s="68">
        <v>833</v>
      </c>
      <c r="AV9" s="68">
        <v>767</v>
      </c>
      <c r="AW9" s="89">
        <v>554</v>
      </c>
      <c r="AX9" s="68">
        <v>612</v>
      </c>
      <c r="AY9" s="68">
        <v>624</v>
      </c>
      <c r="AZ9" s="68">
        <v>629</v>
      </c>
      <c r="BA9" s="68">
        <v>690</v>
      </c>
      <c r="BB9" s="68">
        <v>664</v>
      </c>
      <c r="BC9" s="68">
        <v>831</v>
      </c>
      <c r="BD9" s="68">
        <v>923</v>
      </c>
      <c r="BE9" s="68">
        <v>839</v>
      </c>
      <c r="BF9" s="68">
        <v>770</v>
      </c>
      <c r="BG9" s="68">
        <v>771</v>
      </c>
      <c r="BH9" s="68">
        <v>900</v>
      </c>
      <c r="BI9" s="68">
        <v>871</v>
      </c>
      <c r="BJ9" s="68">
        <v>832</v>
      </c>
      <c r="BK9" s="68">
        <v>802</v>
      </c>
      <c r="BL9" s="68">
        <v>809</v>
      </c>
      <c r="BM9" s="68">
        <v>783</v>
      </c>
      <c r="BN9" s="68">
        <v>787</v>
      </c>
      <c r="BO9" s="68">
        <v>774</v>
      </c>
      <c r="BP9" s="68">
        <v>878</v>
      </c>
      <c r="BQ9" s="68">
        <v>887</v>
      </c>
      <c r="BR9" s="68">
        <v>774</v>
      </c>
      <c r="BS9" s="68">
        <v>867</v>
      </c>
      <c r="BT9" s="68">
        <v>764</v>
      </c>
      <c r="BU9" s="68">
        <v>759</v>
      </c>
      <c r="BV9" s="68">
        <v>776</v>
      </c>
      <c r="BW9" s="68">
        <v>698</v>
      </c>
      <c r="BX9" s="68">
        <v>733</v>
      </c>
      <c r="BY9" s="68">
        <v>696</v>
      </c>
      <c r="BZ9" s="68">
        <v>730</v>
      </c>
      <c r="CA9" s="68">
        <v>708</v>
      </c>
      <c r="CB9" s="68">
        <v>778</v>
      </c>
      <c r="CC9" s="68">
        <v>758</v>
      </c>
      <c r="CD9" s="68">
        <v>783</v>
      </c>
      <c r="CE9" s="68">
        <v>838</v>
      </c>
      <c r="CF9" s="68">
        <v>838</v>
      </c>
      <c r="CG9" s="68">
        <v>895</v>
      </c>
      <c r="CH9" s="68">
        <v>991</v>
      </c>
      <c r="CI9" s="68">
        <v>1083</v>
      </c>
      <c r="CJ9" s="68">
        <v>1052</v>
      </c>
      <c r="CK9" s="31">
        <v>1123</v>
      </c>
      <c r="CL9" s="190">
        <v>1168</v>
      </c>
      <c r="CM9" s="190">
        <v>1286</v>
      </c>
      <c r="CN9" s="190"/>
      <c r="CO9" s="190">
        <v>1242</v>
      </c>
      <c r="CP9" s="190">
        <v>1226</v>
      </c>
      <c r="CQ9" s="190">
        <v>1324</v>
      </c>
    </row>
    <row r="10" spans="1:95">
      <c r="A10" s="64" t="s">
        <v>16</v>
      </c>
      <c r="B10" s="69">
        <v>10963</v>
      </c>
      <c r="C10" s="68">
        <v>13391</v>
      </c>
      <c r="D10" s="68">
        <v>13557</v>
      </c>
      <c r="E10" s="68">
        <v>13561</v>
      </c>
      <c r="F10" s="68">
        <v>13834</v>
      </c>
      <c r="G10" s="68">
        <v>15425</v>
      </c>
      <c r="H10" s="68">
        <v>14549</v>
      </c>
      <c r="I10" s="68">
        <v>13698</v>
      </c>
      <c r="J10" s="68">
        <v>14165</v>
      </c>
      <c r="K10" s="68">
        <v>13572</v>
      </c>
      <c r="L10" s="68">
        <v>14138</v>
      </c>
      <c r="M10" s="68">
        <v>15947</v>
      </c>
      <c r="N10" s="68">
        <v>16533</v>
      </c>
      <c r="O10" s="68">
        <v>14625</v>
      </c>
      <c r="P10" s="68">
        <v>14875</v>
      </c>
      <c r="Q10" s="68">
        <v>15275</v>
      </c>
      <c r="R10" s="68">
        <v>15275</v>
      </c>
      <c r="S10" s="68">
        <v>13408</v>
      </c>
      <c r="T10" s="68">
        <v>13817</v>
      </c>
      <c r="U10" s="68">
        <v>14127</v>
      </c>
      <c r="V10" s="68">
        <v>14189</v>
      </c>
      <c r="W10" s="68">
        <v>14990</v>
      </c>
      <c r="X10" s="68">
        <v>16132</v>
      </c>
      <c r="Y10" s="68">
        <v>16327</v>
      </c>
      <c r="Z10" s="68">
        <v>16481</v>
      </c>
      <c r="AA10" s="68">
        <v>16525</v>
      </c>
      <c r="AB10" s="68">
        <v>17379</v>
      </c>
      <c r="AC10" s="68">
        <v>18238</v>
      </c>
      <c r="AD10" s="68">
        <v>19534</v>
      </c>
      <c r="AE10" s="68">
        <v>19001</v>
      </c>
      <c r="AF10" s="68">
        <v>18116</v>
      </c>
      <c r="AG10" s="68">
        <v>20729</v>
      </c>
      <c r="AH10" s="68">
        <v>20087</v>
      </c>
      <c r="AI10" s="68">
        <v>23702</v>
      </c>
      <c r="AJ10" s="68">
        <v>23702</v>
      </c>
      <c r="AK10" s="68">
        <v>25022</v>
      </c>
      <c r="AL10" s="68">
        <v>24931</v>
      </c>
      <c r="AM10" s="68">
        <v>25078</v>
      </c>
      <c r="AN10" s="68">
        <v>27110</v>
      </c>
      <c r="AO10" s="68">
        <v>30386</v>
      </c>
      <c r="AP10" s="68">
        <v>33073</v>
      </c>
      <c r="AQ10" s="68">
        <v>38609</v>
      </c>
      <c r="AR10" s="68">
        <v>37023</v>
      </c>
      <c r="AS10" s="68"/>
      <c r="AT10" s="68">
        <v>35192</v>
      </c>
      <c r="AU10" s="68">
        <v>33948</v>
      </c>
      <c r="AV10" s="68">
        <v>33256</v>
      </c>
      <c r="AW10" s="89">
        <v>7877</v>
      </c>
      <c r="AX10" s="68">
        <v>10168</v>
      </c>
      <c r="AY10" s="68">
        <v>10685</v>
      </c>
      <c r="AZ10" s="68">
        <v>10834</v>
      </c>
      <c r="BA10" s="68">
        <v>12564</v>
      </c>
      <c r="BB10" s="68">
        <v>13387</v>
      </c>
      <c r="BC10" s="68">
        <v>13540</v>
      </c>
      <c r="BD10" s="68">
        <v>14538</v>
      </c>
      <c r="BE10" s="68">
        <v>15760</v>
      </c>
      <c r="BF10" s="68">
        <v>16270</v>
      </c>
      <c r="BG10" s="68">
        <v>17365</v>
      </c>
      <c r="BH10" s="68">
        <v>19243</v>
      </c>
      <c r="BI10" s="68">
        <v>18984</v>
      </c>
      <c r="BJ10" s="68">
        <v>17917</v>
      </c>
      <c r="BK10" s="68">
        <v>17892</v>
      </c>
      <c r="BL10" s="68">
        <v>18126</v>
      </c>
      <c r="BM10" s="68">
        <v>15988</v>
      </c>
      <c r="BN10" s="68">
        <v>16844</v>
      </c>
      <c r="BO10" s="68">
        <v>18069</v>
      </c>
      <c r="BP10" s="68">
        <v>19567</v>
      </c>
      <c r="BQ10" s="68">
        <v>20886</v>
      </c>
      <c r="BR10" s="68">
        <v>22930</v>
      </c>
      <c r="BS10" s="68">
        <v>23078</v>
      </c>
      <c r="BT10" s="68">
        <v>24139</v>
      </c>
      <c r="BU10" s="68">
        <v>24208</v>
      </c>
      <c r="BV10" s="68">
        <v>25125</v>
      </c>
      <c r="BW10" s="68">
        <v>26817</v>
      </c>
      <c r="BX10" s="68">
        <v>28675</v>
      </c>
      <c r="BY10" s="68">
        <v>27066</v>
      </c>
      <c r="BZ10" s="68">
        <v>26432</v>
      </c>
      <c r="CA10" s="68">
        <v>29320</v>
      </c>
      <c r="CB10" s="68">
        <v>28865</v>
      </c>
      <c r="CC10" s="68">
        <v>32317</v>
      </c>
      <c r="CD10" s="68">
        <v>34224</v>
      </c>
      <c r="CE10" s="68">
        <v>36298</v>
      </c>
      <c r="CF10" s="68">
        <v>38467</v>
      </c>
      <c r="CG10" s="68">
        <v>38149</v>
      </c>
      <c r="CH10" s="68">
        <v>40870</v>
      </c>
      <c r="CI10" s="68">
        <v>43773</v>
      </c>
      <c r="CJ10" s="68">
        <v>49224</v>
      </c>
      <c r="CK10" s="31">
        <v>52982</v>
      </c>
      <c r="CL10" s="190">
        <v>63581</v>
      </c>
      <c r="CM10" s="190">
        <v>63457</v>
      </c>
      <c r="CN10" s="190"/>
      <c r="CO10" s="190">
        <v>59183</v>
      </c>
      <c r="CP10" s="190">
        <v>59117</v>
      </c>
      <c r="CQ10" s="190">
        <v>59262</v>
      </c>
    </row>
    <row r="11" spans="1:95">
      <c r="A11" s="64" t="s">
        <v>17</v>
      </c>
      <c r="B11" s="69">
        <v>2203</v>
      </c>
      <c r="C11" s="68">
        <v>2351</v>
      </c>
      <c r="D11" s="68">
        <v>2589</v>
      </c>
      <c r="E11" s="68">
        <v>2605</v>
      </c>
      <c r="F11" s="68">
        <v>2509</v>
      </c>
      <c r="G11" s="68">
        <v>3049</v>
      </c>
      <c r="H11" s="68">
        <v>2847</v>
      </c>
      <c r="I11" s="68">
        <v>3118</v>
      </c>
      <c r="J11" s="68">
        <v>2786</v>
      </c>
      <c r="K11" s="68">
        <v>2577</v>
      </c>
      <c r="L11" s="68">
        <v>2652</v>
      </c>
      <c r="M11" s="68">
        <v>2906</v>
      </c>
      <c r="N11" s="68">
        <v>2894</v>
      </c>
      <c r="O11" s="68">
        <v>2698</v>
      </c>
      <c r="P11" s="68">
        <v>2425</v>
      </c>
      <c r="Q11" s="68">
        <v>2557</v>
      </c>
      <c r="R11" s="68">
        <v>2557</v>
      </c>
      <c r="S11" s="68">
        <v>2689</v>
      </c>
      <c r="T11" s="68">
        <v>2675</v>
      </c>
      <c r="U11" s="68">
        <v>2849</v>
      </c>
      <c r="V11" s="68">
        <v>2911</v>
      </c>
      <c r="W11" s="68">
        <v>3184</v>
      </c>
      <c r="X11" s="68">
        <v>3209</v>
      </c>
      <c r="Y11" s="68">
        <v>3156</v>
      </c>
      <c r="Z11" s="68">
        <v>3567</v>
      </c>
      <c r="AA11" s="68">
        <v>3390</v>
      </c>
      <c r="AB11" s="68">
        <v>3443</v>
      </c>
      <c r="AC11" s="68">
        <v>3196</v>
      </c>
      <c r="AD11" s="68">
        <v>3217</v>
      </c>
      <c r="AE11" s="68">
        <v>2905</v>
      </c>
      <c r="AF11" s="68">
        <v>2807</v>
      </c>
      <c r="AG11" s="68">
        <v>2980</v>
      </c>
      <c r="AH11" s="68">
        <v>3227</v>
      </c>
      <c r="AI11" s="68">
        <v>4407</v>
      </c>
      <c r="AJ11" s="68">
        <v>4407</v>
      </c>
      <c r="AK11" s="68">
        <v>4295</v>
      </c>
      <c r="AL11" s="68">
        <v>4348</v>
      </c>
      <c r="AM11" s="68">
        <v>4770</v>
      </c>
      <c r="AN11" s="68">
        <v>4982</v>
      </c>
      <c r="AO11" s="68">
        <v>5323</v>
      </c>
      <c r="AP11" s="68">
        <v>6219</v>
      </c>
      <c r="AQ11" s="68">
        <v>6432</v>
      </c>
      <c r="AR11" s="68">
        <v>6296</v>
      </c>
      <c r="AS11" s="68"/>
      <c r="AT11" s="68">
        <v>6545</v>
      </c>
      <c r="AU11" s="68">
        <v>6655</v>
      </c>
      <c r="AV11" s="68">
        <v>6419</v>
      </c>
      <c r="AW11" s="89">
        <v>1470</v>
      </c>
      <c r="AX11" s="68">
        <v>1703</v>
      </c>
      <c r="AY11" s="68">
        <v>2246</v>
      </c>
      <c r="AZ11" s="68">
        <v>2358</v>
      </c>
      <c r="BA11" s="68">
        <v>2624</v>
      </c>
      <c r="BB11" s="68">
        <v>2913</v>
      </c>
      <c r="BC11" s="68">
        <v>3066</v>
      </c>
      <c r="BD11" s="68">
        <v>3162</v>
      </c>
      <c r="BE11" s="68">
        <v>3144</v>
      </c>
      <c r="BF11" s="68">
        <v>3086</v>
      </c>
      <c r="BG11" s="68">
        <v>3326</v>
      </c>
      <c r="BH11" s="68">
        <v>3727</v>
      </c>
      <c r="BI11" s="68">
        <v>3602</v>
      </c>
      <c r="BJ11" s="68">
        <v>3920</v>
      </c>
      <c r="BK11" s="68">
        <v>3975</v>
      </c>
      <c r="BL11" s="68">
        <v>3964</v>
      </c>
      <c r="BM11" s="68">
        <v>4043</v>
      </c>
      <c r="BN11" s="68">
        <v>3978</v>
      </c>
      <c r="BO11" s="68">
        <v>4277</v>
      </c>
      <c r="BP11" s="68">
        <v>4478</v>
      </c>
      <c r="BQ11" s="68">
        <v>4754</v>
      </c>
      <c r="BR11" s="68">
        <v>5271</v>
      </c>
      <c r="BS11" s="68">
        <v>5160</v>
      </c>
      <c r="BT11" s="68">
        <v>5852</v>
      </c>
      <c r="BU11" s="68">
        <v>5753</v>
      </c>
      <c r="BV11" s="68">
        <v>6019</v>
      </c>
      <c r="BW11" s="68">
        <v>5980</v>
      </c>
      <c r="BX11" s="68">
        <v>6050</v>
      </c>
      <c r="BY11" s="68">
        <v>5374</v>
      </c>
      <c r="BZ11" s="68">
        <v>4996</v>
      </c>
      <c r="CA11" s="68">
        <v>5193</v>
      </c>
      <c r="CB11" s="68">
        <v>5834</v>
      </c>
      <c r="CC11" s="68">
        <v>6907</v>
      </c>
      <c r="CD11" s="68">
        <v>8520</v>
      </c>
      <c r="CE11" s="68">
        <v>8417</v>
      </c>
      <c r="CF11" s="68">
        <v>8695</v>
      </c>
      <c r="CG11" s="68">
        <v>8750</v>
      </c>
      <c r="CH11" s="68">
        <v>8914</v>
      </c>
      <c r="CI11" s="68">
        <v>9376</v>
      </c>
      <c r="CJ11" s="68">
        <v>10180</v>
      </c>
      <c r="CK11" s="31">
        <v>11526</v>
      </c>
      <c r="CL11" s="190">
        <v>11981</v>
      </c>
      <c r="CM11" s="190">
        <v>12077</v>
      </c>
      <c r="CN11" s="190"/>
      <c r="CO11" s="190">
        <v>12274</v>
      </c>
      <c r="CP11" s="190">
        <v>12686</v>
      </c>
      <c r="CQ11" s="190">
        <v>12639</v>
      </c>
    </row>
    <row r="12" spans="1:95">
      <c r="A12" s="64" t="s">
        <v>18</v>
      </c>
      <c r="B12" s="69">
        <v>682</v>
      </c>
      <c r="C12" s="68">
        <v>695</v>
      </c>
      <c r="D12" s="68">
        <v>826</v>
      </c>
      <c r="E12" s="68">
        <v>848</v>
      </c>
      <c r="F12" s="68">
        <v>1104</v>
      </c>
      <c r="G12" s="68">
        <v>1289</v>
      </c>
      <c r="H12" s="68">
        <v>1674</v>
      </c>
      <c r="I12" s="68">
        <v>2069</v>
      </c>
      <c r="J12" s="68">
        <v>1927</v>
      </c>
      <c r="K12" s="68">
        <v>1906</v>
      </c>
      <c r="L12" s="68">
        <v>1994</v>
      </c>
      <c r="M12" s="68">
        <v>2119</v>
      </c>
      <c r="N12" s="68">
        <v>1966</v>
      </c>
      <c r="O12" s="68">
        <v>2153</v>
      </c>
      <c r="P12" s="68">
        <v>2444</v>
      </c>
      <c r="Q12" s="68">
        <v>2215</v>
      </c>
      <c r="R12" s="68">
        <v>2215</v>
      </c>
      <c r="S12" s="68">
        <v>1892</v>
      </c>
      <c r="T12" s="68">
        <v>1747</v>
      </c>
      <c r="U12" s="68">
        <v>1607</v>
      </c>
      <c r="V12" s="68">
        <v>1788</v>
      </c>
      <c r="W12" s="68">
        <v>1840</v>
      </c>
      <c r="X12" s="68">
        <v>1811</v>
      </c>
      <c r="Y12" s="68">
        <v>2019</v>
      </c>
      <c r="Z12" s="68">
        <v>1950</v>
      </c>
      <c r="AA12" s="68">
        <v>1895</v>
      </c>
      <c r="AB12" s="68">
        <v>1811</v>
      </c>
      <c r="AC12" s="68">
        <v>2054</v>
      </c>
      <c r="AD12" s="68">
        <v>1853</v>
      </c>
      <c r="AE12" s="68">
        <v>1874</v>
      </c>
      <c r="AF12" s="68">
        <v>1893</v>
      </c>
      <c r="AG12" s="68">
        <v>2218</v>
      </c>
      <c r="AH12" s="68">
        <v>2334</v>
      </c>
      <c r="AI12" s="68">
        <v>2890</v>
      </c>
      <c r="AJ12" s="68">
        <v>2890</v>
      </c>
      <c r="AK12" s="68">
        <v>3024</v>
      </c>
      <c r="AL12" s="68">
        <v>3211</v>
      </c>
      <c r="AM12" s="68">
        <v>3152</v>
      </c>
      <c r="AN12" s="68">
        <v>3365</v>
      </c>
      <c r="AO12" s="68">
        <v>3652</v>
      </c>
      <c r="AP12" s="68">
        <v>4336</v>
      </c>
      <c r="AQ12" s="68">
        <v>4821</v>
      </c>
      <c r="AR12" s="68">
        <v>4465</v>
      </c>
      <c r="AS12" s="68"/>
      <c r="AT12" s="68">
        <v>4465</v>
      </c>
      <c r="AU12" s="68">
        <v>4211</v>
      </c>
      <c r="AV12" s="68">
        <v>4326</v>
      </c>
      <c r="AW12" s="89">
        <v>920</v>
      </c>
      <c r="AX12" s="68">
        <v>1010</v>
      </c>
      <c r="AY12" s="68">
        <v>1447</v>
      </c>
      <c r="AZ12" s="68">
        <v>1579</v>
      </c>
      <c r="BA12" s="68">
        <v>1909</v>
      </c>
      <c r="BB12" s="68">
        <v>2001</v>
      </c>
      <c r="BC12" s="68">
        <v>2263</v>
      </c>
      <c r="BD12" s="68">
        <v>2987</v>
      </c>
      <c r="BE12" s="68">
        <v>2612</v>
      </c>
      <c r="BF12" s="68">
        <v>2850</v>
      </c>
      <c r="BG12" s="68">
        <v>2824</v>
      </c>
      <c r="BH12" s="68">
        <v>3164</v>
      </c>
      <c r="BI12" s="68">
        <v>3372</v>
      </c>
      <c r="BJ12" s="68">
        <v>3567</v>
      </c>
      <c r="BK12" s="68">
        <v>3678</v>
      </c>
      <c r="BL12" s="68">
        <v>3498</v>
      </c>
      <c r="BM12" s="68">
        <v>3258</v>
      </c>
      <c r="BN12" s="68">
        <v>3168</v>
      </c>
      <c r="BO12" s="68">
        <v>3331</v>
      </c>
      <c r="BP12" s="68">
        <v>3599</v>
      </c>
      <c r="BQ12" s="68">
        <v>3919</v>
      </c>
      <c r="BR12" s="68">
        <v>4119</v>
      </c>
      <c r="BS12" s="68">
        <v>4527</v>
      </c>
      <c r="BT12" s="68">
        <v>4466</v>
      </c>
      <c r="BU12" s="68">
        <v>4551</v>
      </c>
      <c r="BV12" s="68">
        <v>4729</v>
      </c>
      <c r="BW12" s="68">
        <v>4711</v>
      </c>
      <c r="BX12" s="68">
        <v>4533</v>
      </c>
      <c r="BY12" s="68">
        <v>4664</v>
      </c>
      <c r="BZ12" s="68">
        <v>4599</v>
      </c>
      <c r="CA12" s="68">
        <v>4342</v>
      </c>
      <c r="CB12" s="68">
        <v>4971</v>
      </c>
      <c r="CC12" s="68">
        <v>5270</v>
      </c>
      <c r="CD12" s="68">
        <v>5770</v>
      </c>
      <c r="CE12" s="68">
        <v>6160</v>
      </c>
      <c r="CF12" s="68">
        <v>6554</v>
      </c>
      <c r="CG12" s="68">
        <v>6765</v>
      </c>
      <c r="CH12" s="68">
        <v>6996</v>
      </c>
      <c r="CI12" s="68">
        <v>7448</v>
      </c>
      <c r="CJ12" s="68">
        <v>8039</v>
      </c>
      <c r="CK12" s="31">
        <v>8679</v>
      </c>
      <c r="CL12" s="190">
        <v>9832</v>
      </c>
      <c r="CM12" s="190">
        <v>9334</v>
      </c>
      <c r="CN12" s="190"/>
      <c r="CO12" s="190">
        <v>8590</v>
      </c>
      <c r="CP12" s="190">
        <v>8065</v>
      </c>
      <c r="CQ12" s="190">
        <v>8024</v>
      </c>
    </row>
    <row r="13" spans="1:95">
      <c r="A13" s="64" t="s">
        <v>19</v>
      </c>
      <c r="B13" s="69">
        <v>197</v>
      </c>
      <c r="C13" s="68">
        <v>223</v>
      </c>
      <c r="D13" s="68">
        <v>339</v>
      </c>
      <c r="E13" s="68">
        <v>506</v>
      </c>
      <c r="F13" s="68">
        <v>533</v>
      </c>
      <c r="G13" s="68">
        <v>847</v>
      </c>
      <c r="H13" s="68">
        <v>850</v>
      </c>
      <c r="I13" s="68">
        <v>821</v>
      </c>
      <c r="J13" s="68">
        <v>890</v>
      </c>
      <c r="K13" s="68">
        <v>857</v>
      </c>
      <c r="L13" s="68">
        <v>842</v>
      </c>
      <c r="M13" s="68">
        <v>917</v>
      </c>
      <c r="N13" s="68">
        <v>935</v>
      </c>
      <c r="O13" s="68">
        <v>1012</v>
      </c>
      <c r="P13" s="68">
        <v>1073</v>
      </c>
      <c r="Q13" s="68">
        <v>1040</v>
      </c>
      <c r="R13" s="68">
        <v>1040</v>
      </c>
      <c r="S13" s="68">
        <v>1121</v>
      </c>
      <c r="T13" s="68">
        <v>1023</v>
      </c>
      <c r="U13" s="68">
        <v>1077</v>
      </c>
      <c r="V13" s="68">
        <v>1076</v>
      </c>
      <c r="W13" s="68">
        <v>1131</v>
      </c>
      <c r="X13" s="68">
        <v>973</v>
      </c>
      <c r="Y13" s="68">
        <v>1047</v>
      </c>
      <c r="Z13" s="68">
        <v>1178</v>
      </c>
      <c r="AA13" s="68">
        <v>1200</v>
      </c>
      <c r="AB13" s="68">
        <v>1597</v>
      </c>
      <c r="AC13" s="68">
        <v>1754</v>
      </c>
      <c r="AD13" s="68">
        <v>1434</v>
      </c>
      <c r="AE13" s="68">
        <v>1775</v>
      </c>
      <c r="AF13" s="68">
        <v>1793</v>
      </c>
      <c r="AG13" s="68">
        <v>2182</v>
      </c>
      <c r="AH13" s="68">
        <v>1863</v>
      </c>
      <c r="AI13" s="68">
        <v>2011</v>
      </c>
      <c r="AJ13" s="68">
        <v>1960</v>
      </c>
      <c r="AK13" s="68">
        <v>1424</v>
      </c>
      <c r="AL13" s="68">
        <v>1556</v>
      </c>
      <c r="AM13" s="68">
        <v>1727</v>
      </c>
      <c r="AN13" s="68">
        <v>1874</v>
      </c>
      <c r="AO13" s="68">
        <v>2057</v>
      </c>
      <c r="AP13" s="68">
        <v>2587</v>
      </c>
      <c r="AQ13" s="68">
        <v>2964</v>
      </c>
      <c r="AR13" s="68">
        <v>2546</v>
      </c>
      <c r="AS13" s="68"/>
      <c r="AT13" s="68">
        <v>2769</v>
      </c>
      <c r="AU13" s="68">
        <v>2723</v>
      </c>
      <c r="AV13" s="68">
        <v>2609</v>
      </c>
      <c r="AW13" s="89">
        <v>167</v>
      </c>
      <c r="AX13" s="68">
        <v>210</v>
      </c>
      <c r="AY13" s="68">
        <v>326</v>
      </c>
      <c r="AZ13" s="68">
        <v>477</v>
      </c>
      <c r="BA13" s="68">
        <v>533</v>
      </c>
      <c r="BB13" s="68">
        <v>814</v>
      </c>
      <c r="BC13" s="68">
        <v>846</v>
      </c>
      <c r="BD13" s="68">
        <v>963</v>
      </c>
      <c r="BE13" s="68">
        <v>961</v>
      </c>
      <c r="BF13" s="68">
        <v>1087</v>
      </c>
      <c r="BG13" s="68">
        <v>1224</v>
      </c>
      <c r="BH13" s="68">
        <v>1298</v>
      </c>
      <c r="BI13" s="68">
        <v>1323</v>
      </c>
      <c r="BJ13" s="68">
        <v>1316</v>
      </c>
      <c r="BK13" s="68">
        <v>1572</v>
      </c>
      <c r="BL13" s="68">
        <v>1610</v>
      </c>
      <c r="BM13" s="68">
        <v>1482</v>
      </c>
      <c r="BN13" s="68">
        <v>1509</v>
      </c>
      <c r="BO13" s="68">
        <v>1465</v>
      </c>
      <c r="BP13" s="68">
        <v>1566</v>
      </c>
      <c r="BQ13" s="68">
        <v>1735</v>
      </c>
      <c r="BR13" s="68">
        <v>1687</v>
      </c>
      <c r="BS13" s="68">
        <v>1818</v>
      </c>
      <c r="BT13" s="68">
        <v>2125</v>
      </c>
      <c r="BU13" s="68">
        <v>2169</v>
      </c>
      <c r="BV13" s="68">
        <v>2661</v>
      </c>
      <c r="BW13" s="68">
        <v>3896</v>
      </c>
      <c r="BX13" s="68">
        <v>3351</v>
      </c>
      <c r="BY13" s="68">
        <v>3925</v>
      </c>
      <c r="BZ13" s="68">
        <v>3780</v>
      </c>
      <c r="CA13" s="68">
        <v>4635</v>
      </c>
      <c r="CB13" s="68">
        <v>3507</v>
      </c>
      <c r="CC13" s="68">
        <v>3659</v>
      </c>
      <c r="CD13" s="68">
        <v>4002</v>
      </c>
      <c r="CE13" s="68">
        <v>3849</v>
      </c>
      <c r="CF13" s="68">
        <v>3005</v>
      </c>
      <c r="CG13" s="68">
        <v>3418</v>
      </c>
      <c r="CH13" s="68">
        <v>3270</v>
      </c>
      <c r="CI13" s="68">
        <v>3545</v>
      </c>
      <c r="CJ13" s="68">
        <v>3744</v>
      </c>
      <c r="CK13" s="31">
        <v>4649</v>
      </c>
      <c r="CL13" s="190">
        <v>4742</v>
      </c>
      <c r="CM13" s="190">
        <v>4604</v>
      </c>
      <c r="CN13" s="190"/>
      <c r="CO13" s="190">
        <v>4377</v>
      </c>
      <c r="CP13" s="190">
        <v>4673</v>
      </c>
      <c r="CQ13" s="190">
        <v>4322</v>
      </c>
    </row>
    <row r="14" spans="1:95">
      <c r="A14" s="64" t="s">
        <v>20</v>
      </c>
      <c r="B14" s="69">
        <v>1997</v>
      </c>
      <c r="C14" s="68">
        <v>2305</v>
      </c>
      <c r="D14" s="68">
        <v>2839</v>
      </c>
      <c r="E14" s="68">
        <v>3623</v>
      </c>
      <c r="F14" s="68">
        <v>2213</v>
      </c>
      <c r="G14" s="68">
        <v>4210</v>
      </c>
      <c r="H14" s="68">
        <v>4054</v>
      </c>
      <c r="I14" s="68">
        <v>3966</v>
      </c>
      <c r="J14" s="68">
        <v>2981</v>
      </c>
      <c r="K14" s="68">
        <v>2902</v>
      </c>
      <c r="L14" s="68">
        <v>2703</v>
      </c>
      <c r="M14" s="68">
        <v>2739</v>
      </c>
      <c r="N14" s="68">
        <v>2666</v>
      </c>
      <c r="O14" s="68">
        <v>2756</v>
      </c>
      <c r="P14" s="68">
        <v>2759</v>
      </c>
      <c r="Q14" s="68">
        <v>2564</v>
      </c>
      <c r="R14" s="68">
        <v>2564</v>
      </c>
      <c r="S14" s="68">
        <v>2618</v>
      </c>
      <c r="T14" s="68">
        <v>2613</v>
      </c>
      <c r="U14" s="68">
        <v>2625</v>
      </c>
      <c r="V14" s="68">
        <v>2761</v>
      </c>
      <c r="W14" s="68">
        <v>2821</v>
      </c>
      <c r="X14" s="68">
        <v>3068</v>
      </c>
      <c r="Y14" s="68">
        <v>3145</v>
      </c>
      <c r="Z14" s="68">
        <v>3063</v>
      </c>
      <c r="AA14" s="68">
        <v>3026</v>
      </c>
      <c r="AB14" s="68">
        <v>3008</v>
      </c>
      <c r="AC14" s="68">
        <v>2735</v>
      </c>
      <c r="AD14" s="68">
        <v>2626</v>
      </c>
      <c r="AE14" s="68">
        <v>2548</v>
      </c>
      <c r="AF14" s="68">
        <v>2533</v>
      </c>
      <c r="AG14" s="68">
        <v>2527</v>
      </c>
      <c r="AH14" s="68">
        <v>2753</v>
      </c>
      <c r="AI14" s="68">
        <v>3052</v>
      </c>
      <c r="AJ14" s="68">
        <v>3052</v>
      </c>
      <c r="AK14" s="68">
        <v>3446</v>
      </c>
      <c r="AL14" s="68">
        <v>3596</v>
      </c>
      <c r="AM14" s="68">
        <v>3978</v>
      </c>
      <c r="AN14" s="68">
        <v>4480</v>
      </c>
      <c r="AO14" s="68">
        <v>4640</v>
      </c>
      <c r="AP14" s="68">
        <v>5262</v>
      </c>
      <c r="AQ14" s="68">
        <v>5832</v>
      </c>
      <c r="AR14" s="68">
        <v>6073</v>
      </c>
      <c r="AS14" s="68"/>
      <c r="AT14" s="68">
        <v>6984</v>
      </c>
      <c r="AU14" s="68">
        <v>6875</v>
      </c>
      <c r="AV14" s="68">
        <v>7046</v>
      </c>
      <c r="AW14" s="89">
        <v>1430</v>
      </c>
      <c r="AX14" s="68">
        <v>1990</v>
      </c>
      <c r="AY14" s="68">
        <v>2291</v>
      </c>
      <c r="AZ14" s="68">
        <v>3003</v>
      </c>
      <c r="BA14" s="68">
        <v>2397</v>
      </c>
      <c r="BB14" s="68">
        <v>3571</v>
      </c>
      <c r="BC14" s="68">
        <v>3974</v>
      </c>
      <c r="BD14" s="68">
        <v>4190</v>
      </c>
      <c r="BE14" s="68">
        <v>4242</v>
      </c>
      <c r="BF14" s="68">
        <v>4050</v>
      </c>
      <c r="BG14" s="68">
        <v>4075</v>
      </c>
      <c r="BH14" s="68">
        <v>4418</v>
      </c>
      <c r="BI14" s="68">
        <v>4354</v>
      </c>
      <c r="BJ14" s="68">
        <v>4589</v>
      </c>
      <c r="BK14" s="68">
        <v>4555</v>
      </c>
      <c r="BL14" s="68">
        <v>4474</v>
      </c>
      <c r="BM14" s="68">
        <v>4511</v>
      </c>
      <c r="BN14" s="68">
        <v>4448</v>
      </c>
      <c r="BO14" s="68">
        <v>4313</v>
      </c>
      <c r="BP14" s="68">
        <v>4668</v>
      </c>
      <c r="BQ14" s="68">
        <v>4835</v>
      </c>
      <c r="BR14" s="68">
        <v>5098</v>
      </c>
      <c r="BS14" s="68">
        <v>5280</v>
      </c>
      <c r="BT14" s="68">
        <v>5229</v>
      </c>
      <c r="BU14" s="68">
        <v>5606</v>
      </c>
      <c r="BV14" s="68">
        <v>5581</v>
      </c>
      <c r="BW14" s="68">
        <v>5333</v>
      </c>
      <c r="BX14" s="68">
        <v>5241</v>
      </c>
      <c r="BY14" s="68">
        <v>5170</v>
      </c>
      <c r="BZ14" s="68">
        <v>4905</v>
      </c>
      <c r="CA14" s="68">
        <v>4904</v>
      </c>
      <c r="CB14" s="68">
        <v>4997</v>
      </c>
      <c r="CC14" s="68">
        <v>5196</v>
      </c>
      <c r="CD14" s="68">
        <v>5971</v>
      </c>
      <c r="CE14" s="68">
        <v>6418</v>
      </c>
      <c r="CF14" s="68">
        <v>6685</v>
      </c>
      <c r="CG14" s="68">
        <v>6825</v>
      </c>
      <c r="CH14" s="68">
        <v>6986</v>
      </c>
      <c r="CI14" s="68">
        <v>6825</v>
      </c>
      <c r="CJ14" s="68">
        <v>7611</v>
      </c>
      <c r="CK14" s="31">
        <v>8659</v>
      </c>
      <c r="CL14" s="190">
        <v>9324</v>
      </c>
      <c r="CM14" s="190">
        <v>9314</v>
      </c>
      <c r="CN14" s="190"/>
      <c r="CO14" s="190">
        <v>9935</v>
      </c>
      <c r="CP14" s="190">
        <v>10124</v>
      </c>
      <c r="CQ14" s="190">
        <v>9831</v>
      </c>
    </row>
    <row r="15" spans="1:95">
      <c r="A15" s="64" t="s">
        <v>21</v>
      </c>
      <c r="B15" s="69">
        <v>1485</v>
      </c>
      <c r="C15" s="68">
        <v>1758</v>
      </c>
      <c r="D15" s="68">
        <v>1825</v>
      </c>
      <c r="E15" s="68">
        <v>1803</v>
      </c>
      <c r="F15" s="68">
        <v>1599</v>
      </c>
      <c r="G15" s="68">
        <v>1784</v>
      </c>
      <c r="H15" s="68">
        <v>1813</v>
      </c>
      <c r="I15" s="68">
        <v>1775</v>
      </c>
      <c r="J15" s="68">
        <v>1634</v>
      </c>
      <c r="K15" s="68">
        <v>1732</v>
      </c>
      <c r="L15" s="68">
        <v>1688</v>
      </c>
      <c r="M15" s="68">
        <v>1738</v>
      </c>
      <c r="N15" s="68">
        <v>1784</v>
      </c>
      <c r="O15" s="68">
        <v>1779</v>
      </c>
      <c r="P15" s="68">
        <v>1609</v>
      </c>
      <c r="Q15" s="68">
        <v>1613</v>
      </c>
      <c r="R15" s="68">
        <v>1613</v>
      </c>
      <c r="S15" s="68">
        <v>1565</v>
      </c>
      <c r="T15" s="68">
        <v>1558</v>
      </c>
      <c r="U15" s="68">
        <v>1590</v>
      </c>
      <c r="V15" s="68">
        <v>1623</v>
      </c>
      <c r="W15" s="68">
        <v>1623</v>
      </c>
      <c r="X15" s="68">
        <v>1778</v>
      </c>
      <c r="Y15" s="68">
        <v>1826</v>
      </c>
      <c r="Z15" s="68">
        <v>1774</v>
      </c>
      <c r="AA15" s="68">
        <v>1787</v>
      </c>
      <c r="AB15" s="68">
        <v>1849</v>
      </c>
      <c r="AC15" s="68">
        <v>1932</v>
      </c>
      <c r="AD15" s="68">
        <v>1958</v>
      </c>
      <c r="AE15" s="68">
        <v>2196</v>
      </c>
      <c r="AF15" s="68">
        <v>2395</v>
      </c>
      <c r="AG15" s="68">
        <v>2405</v>
      </c>
      <c r="AH15" s="68">
        <v>2495</v>
      </c>
      <c r="AI15" s="68">
        <v>2568</v>
      </c>
      <c r="AJ15" s="68">
        <v>2568</v>
      </c>
      <c r="AK15" s="68">
        <v>2515</v>
      </c>
      <c r="AL15" s="68">
        <v>2702</v>
      </c>
      <c r="AM15" s="68">
        <v>2707</v>
      </c>
      <c r="AN15" s="68">
        <v>2822</v>
      </c>
      <c r="AO15" s="68">
        <v>3138</v>
      </c>
      <c r="AP15" s="68">
        <v>3489</v>
      </c>
      <c r="AQ15" s="68">
        <v>4216</v>
      </c>
      <c r="AR15" s="68">
        <v>4025</v>
      </c>
      <c r="AS15" s="68"/>
      <c r="AT15" s="68">
        <v>4794</v>
      </c>
      <c r="AU15" s="68">
        <v>4845</v>
      </c>
      <c r="AV15" s="68">
        <v>5009</v>
      </c>
      <c r="AW15" s="89">
        <v>1634</v>
      </c>
      <c r="AX15" s="68">
        <v>1776</v>
      </c>
      <c r="AY15" s="68">
        <v>1895</v>
      </c>
      <c r="AZ15" s="68">
        <v>1942</v>
      </c>
      <c r="BA15" s="68">
        <v>2067</v>
      </c>
      <c r="BB15" s="68">
        <v>2135</v>
      </c>
      <c r="BC15" s="68">
        <v>2241</v>
      </c>
      <c r="BD15" s="68">
        <v>2166</v>
      </c>
      <c r="BE15" s="68">
        <v>2405</v>
      </c>
      <c r="BF15" s="68">
        <v>2595</v>
      </c>
      <c r="BG15" s="68">
        <v>2502</v>
      </c>
      <c r="BH15" s="68">
        <v>2710</v>
      </c>
      <c r="BI15" s="68">
        <v>2980</v>
      </c>
      <c r="BJ15" s="68">
        <v>2845</v>
      </c>
      <c r="BK15" s="68">
        <v>2863</v>
      </c>
      <c r="BL15" s="68">
        <v>2703</v>
      </c>
      <c r="BM15" s="68">
        <v>2767</v>
      </c>
      <c r="BN15" s="68">
        <v>2946</v>
      </c>
      <c r="BO15" s="68">
        <v>3220</v>
      </c>
      <c r="BP15" s="68">
        <v>3372</v>
      </c>
      <c r="BQ15" s="68">
        <v>3496</v>
      </c>
      <c r="BR15" s="68">
        <v>3653</v>
      </c>
      <c r="BS15" s="68">
        <v>3749</v>
      </c>
      <c r="BT15" s="68">
        <v>3764</v>
      </c>
      <c r="BU15" s="68">
        <v>3732</v>
      </c>
      <c r="BV15" s="68">
        <v>4060</v>
      </c>
      <c r="BW15" s="68">
        <v>3830</v>
      </c>
      <c r="BX15" s="68">
        <v>3784</v>
      </c>
      <c r="BY15" s="68">
        <v>4370</v>
      </c>
      <c r="BZ15" s="68">
        <v>4369</v>
      </c>
      <c r="CA15" s="68">
        <v>4753</v>
      </c>
      <c r="CB15" s="68">
        <v>5107</v>
      </c>
      <c r="CC15" s="68">
        <v>5085</v>
      </c>
      <c r="CD15" s="68">
        <v>5656</v>
      </c>
      <c r="CE15" s="68">
        <v>6034</v>
      </c>
      <c r="CF15" s="68">
        <v>5965</v>
      </c>
      <c r="CG15" s="68">
        <v>5921</v>
      </c>
      <c r="CH15" s="68">
        <v>6115</v>
      </c>
      <c r="CI15" s="68">
        <v>6223</v>
      </c>
      <c r="CJ15" s="68">
        <v>6686</v>
      </c>
      <c r="CK15" s="31">
        <v>7951</v>
      </c>
      <c r="CL15" s="190">
        <v>8780</v>
      </c>
      <c r="CM15" s="190">
        <v>7972</v>
      </c>
      <c r="CN15" s="190"/>
      <c r="CO15" s="190">
        <v>8526</v>
      </c>
      <c r="CP15" s="190">
        <v>8914</v>
      </c>
      <c r="CQ15" s="190">
        <v>8488</v>
      </c>
    </row>
    <row r="16" spans="1:95">
      <c r="A16" s="64" t="s">
        <v>22</v>
      </c>
      <c r="B16" s="69">
        <v>3522</v>
      </c>
      <c r="C16" s="68">
        <v>3951</v>
      </c>
      <c r="D16" s="68">
        <v>4216</v>
      </c>
      <c r="E16" s="68">
        <v>4325</v>
      </c>
      <c r="F16" s="68">
        <v>4352</v>
      </c>
      <c r="G16" s="68">
        <v>5293</v>
      </c>
      <c r="H16" s="68">
        <v>6084</v>
      </c>
      <c r="I16" s="68">
        <v>5960</v>
      </c>
      <c r="J16" s="68">
        <v>5575</v>
      </c>
      <c r="K16" s="68">
        <v>5022</v>
      </c>
      <c r="L16" s="68">
        <v>4668</v>
      </c>
      <c r="M16" s="68">
        <v>4669</v>
      </c>
      <c r="N16" s="68">
        <v>4587</v>
      </c>
      <c r="O16" s="68">
        <v>4709</v>
      </c>
      <c r="P16" s="68">
        <v>4403</v>
      </c>
      <c r="Q16" s="68">
        <v>4109</v>
      </c>
      <c r="R16" s="68">
        <v>4109</v>
      </c>
      <c r="S16" s="68">
        <v>3922</v>
      </c>
      <c r="T16" s="68">
        <v>3745</v>
      </c>
      <c r="U16" s="68">
        <v>3487</v>
      </c>
      <c r="V16" s="68">
        <v>3693</v>
      </c>
      <c r="W16" s="68">
        <v>3923</v>
      </c>
      <c r="X16" s="68">
        <v>4100</v>
      </c>
      <c r="Y16" s="68">
        <v>4333</v>
      </c>
      <c r="Z16" s="68">
        <v>4786</v>
      </c>
      <c r="AA16" s="68">
        <v>4882</v>
      </c>
      <c r="AB16" s="68">
        <v>4641</v>
      </c>
      <c r="AC16" s="68">
        <v>5093</v>
      </c>
      <c r="AD16" s="68">
        <v>4840</v>
      </c>
      <c r="AE16" s="68">
        <v>4427</v>
      </c>
      <c r="AF16" s="68">
        <v>4764</v>
      </c>
      <c r="AG16" s="68">
        <v>5286</v>
      </c>
      <c r="AH16" s="68">
        <v>5257</v>
      </c>
      <c r="AI16" s="68">
        <v>6135</v>
      </c>
      <c r="AJ16" s="68">
        <v>6138</v>
      </c>
      <c r="AK16" s="68">
        <v>6308</v>
      </c>
      <c r="AL16" s="68">
        <v>6535</v>
      </c>
      <c r="AM16" s="68">
        <v>6406</v>
      </c>
      <c r="AN16" s="68">
        <v>6869</v>
      </c>
      <c r="AO16" s="68">
        <v>7916</v>
      </c>
      <c r="AP16" s="68">
        <v>9241</v>
      </c>
      <c r="AQ16" s="68">
        <v>10211</v>
      </c>
      <c r="AR16" s="68">
        <v>10465</v>
      </c>
      <c r="AS16" s="68"/>
      <c r="AT16" s="68">
        <v>11771</v>
      </c>
      <c r="AU16" s="68">
        <v>12129</v>
      </c>
      <c r="AV16" s="68">
        <v>12785</v>
      </c>
      <c r="AW16" s="89">
        <v>2330</v>
      </c>
      <c r="AX16" s="68">
        <v>2765</v>
      </c>
      <c r="AY16" s="68">
        <v>3274</v>
      </c>
      <c r="AZ16" s="68">
        <v>3551</v>
      </c>
      <c r="BA16" s="68">
        <v>3880</v>
      </c>
      <c r="BB16" s="68">
        <v>4633</v>
      </c>
      <c r="BC16" s="68">
        <v>4938</v>
      </c>
      <c r="BD16" s="68">
        <v>5432</v>
      </c>
      <c r="BE16" s="68">
        <v>5513</v>
      </c>
      <c r="BF16" s="68">
        <v>5887</v>
      </c>
      <c r="BG16" s="68">
        <v>5940</v>
      </c>
      <c r="BH16" s="68">
        <v>6265</v>
      </c>
      <c r="BI16" s="68">
        <v>6373</v>
      </c>
      <c r="BJ16" s="68">
        <v>6599</v>
      </c>
      <c r="BK16" s="68">
        <v>6650</v>
      </c>
      <c r="BL16" s="68">
        <v>6745</v>
      </c>
      <c r="BM16" s="68">
        <v>6733</v>
      </c>
      <c r="BN16" s="68">
        <v>6588</v>
      </c>
      <c r="BO16" s="68">
        <v>6407</v>
      </c>
      <c r="BP16" s="68">
        <v>6954</v>
      </c>
      <c r="BQ16" s="68">
        <v>7546</v>
      </c>
      <c r="BR16" s="68">
        <v>7765</v>
      </c>
      <c r="BS16" s="68">
        <v>7831</v>
      </c>
      <c r="BT16" s="68">
        <v>8835</v>
      </c>
      <c r="BU16" s="68">
        <v>9225</v>
      </c>
      <c r="BV16" s="68">
        <v>9267</v>
      </c>
      <c r="BW16" s="68">
        <v>10574</v>
      </c>
      <c r="BX16" s="68">
        <v>9245</v>
      </c>
      <c r="BY16" s="68">
        <v>8524</v>
      </c>
      <c r="BZ16" s="68">
        <v>8741</v>
      </c>
      <c r="CA16" s="68">
        <v>8978</v>
      </c>
      <c r="CB16" s="68">
        <v>9482</v>
      </c>
      <c r="CC16" s="68">
        <v>10498</v>
      </c>
      <c r="CD16" s="68">
        <v>11379</v>
      </c>
      <c r="CE16" s="68">
        <v>12127</v>
      </c>
      <c r="CF16" s="68">
        <v>13112</v>
      </c>
      <c r="CG16" s="68">
        <v>13155</v>
      </c>
      <c r="CH16" s="68">
        <v>13216</v>
      </c>
      <c r="CI16" s="68">
        <v>13730</v>
      </c>
      <c r="CJ16" s="68">
        <v>14779</v>
      </c>
      <c r="CK16" s="31">
        <v>15913</v>
      </c>
      <c r="CL16" s="190">
        <v>17461</v>
      </c>
      <c r="CM16" s="190">
        <v>18110</v>
      </c>
      <c r="CN16" s="190"/>
      <c r="CO16" s="190">
        <v>20105</v>
      </c>
      <c r="CP16" s="190">
        <v>19979</v>
      </c>
      <c r="CQ16" s="190">
        <v>21102</v>
      </c>
    </row>
    <row r="17" spans="1:95">
      <c r="A17" s="64" t="s">
        <v>23</v>
      </c>
      <c r="B17" s="69">
        <v>1528</v>
      </c>
      <c r="C17" s="68">
        <v>1915</v>
      </c>
      <c r="D17" s="68">
        <v>1958</v>
      </c>
      <c r="E17" s="68">
        <v>1964</v>
      </c>
      <c r="F17" s="68">
        <v>2040</v>
      </c>
      <c r="G17" s="68">
        <v>2137</v>
      </c>
      <c r="H17" s="68">
        <v>2333</v>
      </c>
      <c r="I17" s="68">
        <v>2110</v>
      </c>
      <c r="J17" s="68">
        <v>1895</v>
      </c>
      <c r="K17" s="68">
        <v>1896</v>
      </c>
      <c r="L17" s="68">
        <v>1843</v>
      </c>
      <c r="M17" s="68">
        <v>1895</v>
      </c>
      <c r="N17" s="68">
        <v>1932</v>
      </c>
      <c r="O17" s="68">
        <v>1985</v>
      </c>
      <c r="P17" s="68">
        <v>2103</v>
      </c>
      <c r="Q17" s="68">
        <v>2987</v>
      </c>
      <c r="R17" s="68">
        <v>2987</v>
      </c>
      <c r="S17" s="68">
        <v>2640</v>
      </c>
      <c r="T17" s="68">
        <v>2466</v>
      </c>
      <c r="U17" s="68">
        <v>3024</v>
      </c>
      <c r="V17" s="68">
        <v>2828</v>
      </c>
      <c r="W17" s="68">
        <v>2665</v>
      </c>
      <c r="X17" s="68">
        <v>2289</v>
      </c>
      <c r="Y17" s="68">
        <v>2585</v>
      </c>
      <c r="Z17" s="68">
        <v>2558</v>
      </c>
      <c r="AA17" s="68">
        <v>2729</v>
      </c>
      <c r="AB17" s="68">
        <v>2338</v>
      </c>
      <c r="AC17" s="68">
        <v>2519</v>
      </c>
      <c r="AD17" s="68">
        <v>2577</v>
      </c>
      <c r="AE17" s="68">
        <v>2461</v>
      </c>
      <c r="AF17" s="68">
        <v>2378</v>
      </c>
      <c r="AG17" s="68">
        <v>2768</v>
      </c>
      <c r="AH17" s="68">
        <v>2886</v>
      </c>
      <c r="AI17" s="68">
        <v>3366</v>
      </c>
      <c r="AJ17" s="68">
        <v>3366</v>
      </c>
      <c r="AK17" s="68">
        <v>3388</v>
      </c>
      <c r="AL17" s="68">
        <v>3432</v>
      </c>
      <c r="AM17" s="68">
        <v>3396</v>
      </c>
      <c r="AN17" s="68">
        <v>3488</v>
      </c>
      <c r="AO17" s="68">
        <v>3478</v>
      </c>
      <c r="AP17" s="68">
        <v>4055</v>
      </c>
      <c r="AQ17" s="68">
        <v>4361</v>
      </c>
      <c r="AR17" s="68">
        <v>4670</v>
      </c>
      <c r="AS17" s="68"/>
      <c r="AT17" s="68">
        <v>5033</v>
      </c>
      <c r="AU17" s="68">
        <v>4484</v>
      </c>
      <c r="AV17" s="68">
        <v>4453</v>
      </c>
      <c r="AW17" s="89">
        <v>824</v>
      </c>
      <c r="AX17" s="68">
        <v>921</v>
      </c>
      <c r="AY17" s="68">
        <v>1116</v>
      </c>
      <c r="AZ17" s="68">
        <v>1229</v>
      </c>
      <c r="BA17" s="68">
        <v>1360</v>
      </c>
      <c r="BB17" s="68">
        <v>1536</v>
      </c>
      <c r="BC17" s="68">
        <v>1841</v>
      </c>
      <c r="BD17" s="68">
        <v>1837</v>
      </c>
      <c r="BE17" s="68">
        <v>1900</v>
      </c>
      <c r="BF17" s="68">
        <v>1954</v>
      </c>
      <c r="BG17" s="68">
        <v>2104</v>
      </c>
      <c r="BH17" s="68">
        <v>2201</v>
      </c>
      <c r="BI17" s="68">
        <v>2252</v>
      </c>
      <c r="BJ17" s="68">
        <v>2292</v>
      </c>
      <c r="BK17" s="68">
        <v>2339</v>
      </c>
      <c r="BL17" s="68">
        <v>2620</v>
      </c>
      <c r="BM17" s="68">
        <v>2698</v>
      </c>
      <c r="BN17" s="68">
        <v>2875</v>
      </c>
      <c r="BO17" s="68">
        <v>3148</v>
      </c>
      <c r="BP17" s="68">
        <v>3376</v>
      </c>
      <c r="BQ17" s="68">
        <v>3710</v>
      </c>
      <c r="BR17" s="68">
        <v>3886</v>
      </c>
      <c r="BS17" s="68">
        <v>3719</v>
      </c>
      <c r="BT17" s="68">
        <v>4131</v>
      </c>
      <c r="BU17" s="68">
        <v>4282</v>
      </c>
      <c r="BV17" s="68">
        <v>3771</v>
      </c>
      <c r="BW17" s="68">
        <v>4041</v>
      </c>
      <c r="BX17" s="68">
        <v>4173</v>
      </c>
      <c r="BY17" s="68">
        <v>3985</v>
      </c>
      <c r="BZ17" s="68">
        <v>4030</v>
      </c>
      <c r="CA17" s="68">
        <v>4234</v>
      </c>
      <c r="CB17" s="68">
        <v>4364</v>
      </c>
      <c r="CC17" s="68">
        <v>4853</v>
      </c>
      <c r="CD17" s="68">
        <v>5335</v>
      </c>
      <c r="CE17" s="68">
        <v>5796</v>
      </c>
      <c r="CF17" s="68">
        <v>5816</v>
      </c>
      <c r="CG17" s="68">
        <v>6369</v>
      </c>
      <c r="CH17" s="68">
        <v>6061</v>
      </c>
      <c r="CI17" s="68">
        <v>6024</v>
      </c>
      <c r="CJ17" s="68">
        <v>6245</v>
      </c>
      <c r="CK17" s="31">
        <v>6655</v>
      </c>
      <c r="CL17" s="190">
        <v>7152</v>
      </c>
      <c r="CM17" s="190">
        <v>7735</v>
      </c>
      <c r="CN17" s="190"/>
      <c r="CO17" s="190">
        <v>8014</v>
      </c>
      <c r="CP17" s="190">
        <v>7543</v>
      </c>
      <c r="CQ17" s="190">
        <v>7108</v>
      </c>
    </row>
    <row r="18" spans="1:95">
      <c r="A18" s="64" t="s">
        <v>24</v>
      </c>
      <c r="B18" s="69">
        <v>1063</v>
      </c>
      <c r="C18" s="68">
        <v>1387</v>
      </c>
      <c r="D18" s="68">
        <v>1822</v>
      </c>
      <c r="E18" s="68">
        <v>1839</v>
      </c>
      <c r="F18" s="68">
        <v>2025</v>
      </c>
      <c r="G18" s="68">
        <v>2525</v>
      </c>
      <c r="H18" s="68">
        <v>3038</v>
      </c>
      <c r="I18" s="68">
        <v>2586</v>
      </c>
      <c r="J18" s="68">
        <v>2849</v>
      </c>
      <c r="K18" s="68">
        <v>2900</v>
      </c>
      <c r="L18" s="68">
        <v>2732</v>
      </c>
      <c r="M18" s="68">
        <v>2513</v>
      </c>
      <c r="N18" s="68">
        <v>2482</v>
      </c>
      <c r="O18" s="68">
        <v>2422</v>
      </c>
      <c r="P18" s="68">
        <v>2149</v>
      </c>
      <c r="Q18" s="68">
        <v>2060</v>
      </c>
      <c r="R18" s="68">
        <v>2060</v>
      </c>
      <c r="S18" s="68">
        <v>1868</v>
      </c>
      <c r="T18" s="68">
        <v>2003</v>
      </c>
      <c r="U18" s="68">
        <v>2013</v>
      </c>
      <c r="V18" s="68">
        <v>2082</v>
      </c>
      <c r="W18" s="68">
        <v>2001</v>
      </c>
      <c r="X18" s="68">
        <v>2521</v>
      </c>
      <c r="Y18" s="68">
        <v>2340</v>
      </c>
      <c r="Z18" s="68">
        <v>2558</v>
      </c>
      <c r="AA18" s="68">
        <v>2534</v>
      </c>
      <c r="AB18" s="68">
        <v>2646</v>
      </c>
      <c r="AC18" s="68">
        <v>2596</v>
      </c>
      <c r="AD18" s="68">
        <v>2641</v>
      </c>
      <c r="AE18" s="68">
        <v>2618</v>
      </c>
      <c r="AF18" s="68">
        <v>2777</v>
      </c>
      <c r="AG18" s="68">
        <v>2713</v>
      </c>
      <c r="AH18" s="68">
        <v>2747</v>
      </c>
      <c r="AI18" s="68">
        <v>2929</v>
      </c>
      <c r="AJ18" s="68">
        <v>2929</v>
      </c>
      <c r="AK18" s="68">
        <v>2783</v>
      </c>
      <c r="AL18" s="68">
        <v>2757</v>
      </c>
      <c r="AM18" s="68">
        <v>2830</v>
      </c>
      <c r="AN18" s="68">
        <v>2924</v>
      </c>
      <c r="AO18" s="68">
        <v>3100</v>
      </c>
      <c r="AP18" s="68">
        <v>3679</v>
      </c>
      <c r="AQ18" s="68">
        <v>4042</v>
      </c>
      <c r="AR18" s="68">
        <v>4290</v>
      </c>
      <c r="AS18" s="68"/>
      <c r="AT18" s="68">
        <v>4380</v>
      </c>
      <c r="AU18" s="68">
        <v>4208</v>
      </c>
      <c r="AV18" s="68">
        <v>4178</v>
      </c>
      <c r="AW18" s="89">
        <v>718</v>
      </c>
      <c r="AX18" s="68">
        <v>1080</v>
      </c>
      <c r="AY18" s="68">
        <v>1494</v>
      </c>
      <c r="AZ18" s="68">
        <v>1541</v>
      </c>
      <c r="BA18" s="68">
        <v>1941</v>
      </c>
      <c r="BB18" s="68">
        <v>2105</v>
      </c>
      <c r="BC18" s="68">
        <v>2503</v>
      </c>
      <c r="BD18" s="68">
        <v>2307</v>
      </c>
      <c r="BE18" s="68">
        <v>2624</v>
      </c>
      <c r="BF18" s="68">
        <v>3294</v>
      </c>
      <c r="BG18" s="68">
        <v>2769</v>
      </c>
      <c r="BH18" s="68">
        <v>2872</v>
      </c>
      <c r="BI18" s="68">
        <v>3398</v>
      </c>
      <c r="BJ18" s="68">
        <v>3409</v>
      </c>
      <c r="BK18" s="68">
        <v>3096</v>
      </c>
      <c r="BL18" s="68">
        <v>3054</v>
      </c>
      <c r="BM18" s="68">
        <v>2898</v>
      </c>
      <c r="BN18" s="68">
        <v>2773</v>
      </c>
      <c r="BO18" s="68">
        <v>2936</v>
      </c>
      <c r="BP18" s="68">
        <v>3120</v>
      </c>
      <c r="BQ18" s="68">
        <v>3096</v>
      </c>
      <c r="BR18" s="68">
        <v>3670</v>
      </c>
      <c r="BS18" s="68">
        <v>3613</v>
      </c>
      <c r="BT18" s="68">
        <v>3660</v>
      </c>
      <c r="BU18" s="68">
        <v>3631</v>
      </c>
      <c r="BV18" s="68">
        <v>3729</v>
      </c>
      <c r="BW18" s="68">
        <v>3838</v>
      </c>
      <c r="BX18" s="68">
        <v>3757</v>
      </c>
      <c r="BY18" s="68">
        <v>3920</v>
      </c>
      <c r="BZ18" s="68">
        <v>4019</v>
      </c>
      <c r="CA18" s="68">
        <v>4225</v>
      </c>
      <c r="CB18" s="68">
        <v>4385</v>
      </c>
      <c r="CC18" s="68">
        <v>4733</v>
      </c>
      <c r="CD18" s="68">
        <v>5110</v>
      </c>
      <c r="CE18" s="68">
        <v>5199</v>
      </c>
      <c r="CF18" s="68">
        <v>5102</v>
      </c>
      <c r="CG18" s="68">
        <v>5034</v>
      </c>
      <c r="CH18" s="68">
        <v>5113</v>
      </c>
      <c r="CI18" s="68">
        <v>5507</v>
      </c>
      <c r="CJ18" s="68">
        <v>5541</v>
      </c>
      <c r="CK18" s="31">
        <v>6092</v>
      </c>
      <c r="CL18" s="190">
        <v>6748</v>
      </c>
      <c r="CM18" s="190">
        <v>7338</v>
      </c>
      <c r="CN18" s="190"/>
      <c r="CO18" s="190">
        <v>7387</v>
      </c>
      <c r="CP18" s="190">
        <v>7309</v>
      </c>
      <c r="CQ18" s="190">
        <v>7081</v>
      </c>
    </row>
    <row r="19" spans="1:95">
      <c r="A19" s="64" t="s">
        <v>25</v>
      </c>
      <c r="B19" s="69">
        <v>845</v>
      </c>
      <c r="C19" s="68">
        <v>1150</v>
      </c>
      <c r="D19" s="68">
        <v>1304</v>
      </c>
      <c r="E19" s="68">
        <v>1637</v>
      </c>
      <c r="F19" s="68">
        <v>1538</v>
      </c>
      <c r="G19" s="68">
        <v>2017</v>
      </c>
      <c r="H19" s="68">
        <v>2127</v>
      </c>
      <c r="I19" s="68">
        <v>2544</v>
      </c>
      <c r="J19" s="68">
        <v>2623</v>
      </c>
      <c r="K19" s="68">
        <v>2437</v>
      </c>
      <c r="L19" s="68">
        <v>2491</v>
      </c>
      <c r="M19" s="68">
        <v>2819</v>
      </c>
      <c r="N19" s="68">
        <v>2987</v>
      </c>
      <c r="O19" s="68">
        <v>2805</v>
      </c>
      <c r="P19" s="68">
        <v>2542</v>
      </c>
      <c r="Q19" s="68">
        <v>2352</v>
      </c>
      <c r="R19" s="68">
        <v>2352</v>
      </c>
      <c r="S19" s="68">
        <v>1965</v>
      </c>
      <c r="T19" s="68">
        <v>2172</v>
      </c>
      <c r="U19" s="68">
        <v>2088</v>
      </c>
      <c r="V19" s="68">
        <v>2168</v>
      </c>
      <c r="W19" s="68">
        <v>3019</v>
      </c>
      <c r="X19" s="68">
        <v>2700</v>
      </c>
      <c r="Y19" s="68">
        <v>2626</v>
      </c>
      <c r="Z19" s="68">
        <v>2675</v>
      </c>
      <c r="AA19" s="68">
        <v>2372</v>
      </c>
      <c r="AB19" s="68">
        <v>2525</v>
      </c>
      <c r="AC19" s="68">
        <v>2563</v>
      </c>
      <c r="AD19" s="68">
        <v>2582</v>
      </c>
      <c r="AE19" s="68">
        <v>2842</v>
      </c>
      <c r="AF19" s="68">
        <v>2936</v>
      </c>
      <c r="AG19" s="68">
        <v>2768</v>
      </c>
      <c r="AH19" s="68">
        <v>2978</v>
      </c>
      <c r="AI19" s="68">
        <v>3132</v>
      </c>
      <c r="AJ19" s="68">
        <v>3132</v>
      </c>
      <c r="AK19" s="68">
        <v>3505</v>
      </c>
      <c r="AL19" s="68">
        <v>3518</v>
      </c>
      <c r="AM19" s="68">
        <v>3276</v>
      </c>
      <c r="AN19" s="68">
        <v>3450</v>
      </c>
      <c r="AO19" s="68">
        <v>3754</v>
      </c>
      <c r="AP19" s="68">
        <v>4647</v>
      </c>
      <c r="AQ19" s="68">
        <v>5261</v>
      </c>
      <c r="AR19" s="68">
        <v>5089</v>
      </c>
      <c r="AS19" s="68"/>
      <c r="AT19" s="68">
        <v>4871</v>
      </c>
      <c r="AU19" s="68">
        <v>4875</v>
      </c>
      <c r="AV19" s="68">
        <v>4973</v>
      </c>
      <c r="AW19" s="89">
        <v>876</v>
      </c>
      <c r="AX19" s="68">
        <v>1030</v>
      </c>
      <c r="AY19" s="68">
        <v>1428</v>
      </c>
      <c r="AZ19" s="68">
        <v>1488</v>
      </c>
      <c r="BA19" s="68">
        <v>1789</v>
      </c>
      <c r="BB19" s="68">
        <v>1969</v>
      </c>
      <c r="BC19" s="68">
        <v>2127</v>
      </c>
      <c r="BD19" s="68">
        <v>2305</v>
      </c>
      <c r="BE19" s="68">
        <v>3004</v>
      </c>
      <c r="BF19" s="68">
        <v>2942</v>
      </c>
      <c r="BG19" s="68">
        <v>3168</v>
      </c>
      <c r="BH19" s="68">
        <v>3454</v>
      </c>
      <c r="BI19" s="68">
        <v>3829</v>
      </c>
      <c r="BJ19" s="68">
        <v>3665</v>
      </c>
      <c r="BK19" s="68">
        <v>3961</v>
      </c>
      <c r="BL19" s="68">
        <v>3585</v>
      </c>
      <c r="BM19" s="68">
        <v>3603</v>
      </c>
      <c r="BN19" s="68">
        <v>3736</v>
      </c>
      <c r="BO19" s="68">
        <v>3517</v>
      </c>
      <c r="BP19" s="68">
        <v>3474</v>
      </c>
      <c r="BQ19" s="68">
        <v>3698</v>
      </c>
      <c r="BR19" s="68">
        <v>3961</v>
      </c>
      <c r="BS19" s="68">
        <v>4175</v>
      </c>
      <c r="BT19" s="68">
        <v>4219</v>
      </c>
      <c r="BU19" s="68">
        <v>4349</v>
      </c>
      <c r="BV19" s="68">
        <v>4535</v>
      </c>
      <c r="BW19" s="68">
        <v>4707</v>
      </c>
      <c r="BX19" s="68">
        <v>4498</v>
      </c>
      <c r="BY19" s="68">
        <v>4658</v>
      </c>
      <c r="BZ19" s="68">
        <v>4772</v>
      </c>
      <c r="CA19" s="68">
        <v>4816</v>
      </c>
      <c r="CB19" s="68">
        <v>5107</v>
      </c>
      <c r="CC19" s="68">
        <v>5579</v>
      </c>
      <c r="CD19" s="68">
        <v>5601</v>
      </c>
      <c r="CE19" s="68">
        <v>6332</v>
      </c>
      <c r="CF19" s="68">
        <v>6671</v>
      </c>
      <c r="CG19" s="68">
        <v>7074</v>
      </c>
      <c r="CH19" s="68">
        <v>6436</v>
      </c>
      <c r="CI19" s="68">
        <v>6306</v>
      </c>
      <c r="CJ19" s="68">
        <v>6846</v>
      </c>
      <c r="CK19" s="31">
        <v>7831</v>
      </c>
      <c r="CL19" s="190">
        <v>8287</v>
      </c>
      <c r="CM19" s="190">
        <v>8141</v>
      </c>
      <c r="CN19" s="190"/>
      <c r="CO19" s="190">
        <v>7951</v>
      </c>
      <c r="CP19" s="190">
        <v>8347</v>
      </c>
      <c r="CQ19" s="190">
        <v>8562</v>
      </c>
    </row>
    <row r="20" spans="1:95">
      <c r="A20" s="64" t="s">
        <v>26</v>
      </c>
      <c r="B20" s="69">
        <v>4502</v>
      </c>
      <c r="C20" s="68">
        <v>5515</v>
      </c>
      <c r="D20" s="68">
        <v>6397</v>
      </c>
      <c r="E20" s="68">
        <v>8114</v>
      </c>
      <c r="F20" s="68">
        <v>8572</v>
      </c>
      <c r="G20" s="68">
        <v>9777</v>
      </c>
      <c r="H20" s="68">
        <v>9906</v>
      </c>
      <c r="I20" s="68">
        <v>9933</v>
      </c>
      <c r="J20" s="68">
        <v>8960</v>
      </c>
      <c r="K20" s="68">
        <v>9091</v>
      </c>
      <c r="L20" s="68">
        <v>8741</v>
      </c>
      <c r="M20" s="68">
        <v>8911</v>
      </c>
      <c r="N20" s="68">
        <v>9400</v>
      </c>
      <c r="O20" s="68">
        <v>9648</v>
      </c>
      <c r="P20" s="68">
        <v>10288</v>
      </c>
      <c r="Q20" s="68">
        <v>9437</v>
      </c>
      <c r="R20" s="68">
        <v>9437</v>
      </c>
      <c r="S20" s="68">
        <v>9581</v>
      </c>
      <c r="T20" s="68">
        <v>10774</v>
      </c>
      <c r="U20" s="68">
        <v>10766</v>
      </c>
      <c r="V20" s="68">
        <v>10457</v>
      </c>
      <c r="W20" s="68">
        <v>8859</v>
      </c>
      <c r="X20" s="68">
        <v>9594</v>
      </c>
      <c r="Y20" s="68">
        <v>10384</v>
      </c>
      <c r="Z20" s="68">
        <v>10790</v>
      </c>
      <c r="AA20" s="68">
        <v>11075</v>
      </c>
      <c r="AB20" s="68">
        <v>11001</v>
      </c>
      <c r="AC20" s="68">
        <v>11381</v>
      </c>
      <c r="AD20" s="68">
        <v>12300</v>
      </c>
      <c r="AE20" s="68">
        <v>12201</v>
      </c>
      <c r="AF20" s="68">
        <v>13621</v>
      </c>
      <c r="AG20" s="68">
        <v>14386</v>
      </c>
      <c r="AH20" s="68">
        <v>13730</v>
      </c>
      <c r="AI20" s="68">
        <v>16174</v>
      </c>
      <c r="AJ20" s="68">
        <v>16174</v>
      </c>
      <c r="AK20" s="68">
        <v>17562</v>
      </c>
      <c r="AL20" s="68">
        <v>17897</v>
      </c>
      <c r="AM20" s="68">
        <v>18187</v>
      </c>
      <c r="AN20" s="68">
        <v>19204</v>
      </c>
      <c r="AO20" s="68">
        <v>21934</v>
      </c>
      <c r="AP20" s="68">
        <v>23607</v>
      </c>
      <c r="AQ20" s="68">
        <v>26762</v>
      </c>
      <c r="AR20" s="68">
        <v>27746</v>
      </c>
      <c r="AS20" s="68"/>
      <c r="AT20" s="68">
        <v>31591</v>
      </c>
      <c r="AU20" s="68">
        <v>34475</v>
      </c>
      <c r="AV20" s="68">
        <v>36295</v>
      </c>
      <c r="AW20" s="89">
        <v>3411</v>
      </c>
      <c r="AX20" s="68">
        <v>4058</v>
      </c>
      <c r="AY20" s="68">
        <v>4695</v>
      </c>
      <c r="AZ20" s="68">
        <v>5326</v>
      </c>
      <c r="BA20" s="68">
        <v>6288</v>
      </c>
      <c r="BB20" s="68">
        <v>6788</v>
      </c>
      <c r="BC20" s="68">
        <v>7714</v>
      </c>
      <c r="BD20" s="68">
        <v>8375</v>
      </c>
      <c r="BE20" s="68">
        <v>8404</v>
      </c>
      <c r="BF20" s="68">
        <v>8952</v>
      </c>
      <c r="BG20" s="68">
        <v>8885</v>
      </c>
      <c r="BH20" s="68">
        <v>8840</v>
      </c>
      <c r="BI20" s="68">
        <v>9831</v>
      </c>
      <c r="BJ20" s="68">
        <v>10600</v>
      </c>
      <c r="BK20" s="68">
        <v>11233</v>
      </c>
      <c r="BL20" s="68">
        <v>11428</v>
      </c>
      <c r="BM20" s="68">
        <v>11235</v>
      </c>
      <c r="BN20" s="68">
        <v>11572</v>
      </c>
      <c r="BO20" s="68">
        <v>11829</v>
      </c>
      <c r="BP20" s="68">
        <v>12377</v>
      </c>
      <c r="BQ20" s="68">
        <v>12662</v>
      </c>
      <c r="BR20" s="68">
        <v>13462</v>
      </c>
      <c r="BS20" s="68">
        <v>14420</v>
      </c>
      <c r="BT20" s="68">
        <v>14997</v>
      </c>
      <c r="BU20" s="68">
        <v>14725</v>
      </c>
      <c r="BV20" s="68">
        <v>14911</v>
      </c>
      <c r="BW20" s="68">
        <v>15503</v>
      </c>
      <c r="BX20" s="68">
        <v>15863</v>
      </c>
      <c r="BY20" s="68">
        <v>16460</v>
      </c>
      <c r="BZ20" s="68">
        <v>17195</v>
      </c>
      <c r="CA20" s="68">
        <v>17174</v>
      </c>
      <c r="CB20" s="68">
        <v>18101</v>
      </c>
      <c r="CC20" s="68">
        <v>20325</v>
      </c>
      <c r="CD20" s="68">
        <v>23128</v>
      </c>
      <c r="CE20" s="68">
        <v>24754</v>
      </c>
      <c r="CF20" s="68">
        <v>26223</v>
      </c>
      <c r="CG20" s="68">
        <v>26804</v>
      </c>
      <c r="CH20" s="68">
        <v>27680</v>
      </c>
      <c r="CI20" s="68">
        <v>28732</v>
      </c>
      <c r="CJ20" s="68">
        <v>33114</v>
      </c>
      <c r="CK20" s="31">
        <v>35002</v>
      </c>
      <c r="CL20" s="190">
        <v>40590</v>
      </c>
      <c r="CM20" s="190">
        <v>41182</v>
      </c>
      <c r="CN20" s="190"/>
      <c r="CO20" s="190">
        <v>47738</v>
      </c>
      <c r="CP20" s="190">
        <v>52318</v>
      </c>
      <c r="CQ20" s="190">
        <v>55250</v>
      </c>
    </row>
    <row r="21" spans="1:95" ht="13.5" customHeight="1">
      <c r="A21" s="64" t="s">
        <v>27</v>
      </c>
      <c r="B21" s="69">
        <v>1413</v>
      </c>
      <c r="C21" s="68">
        <v>1878</v>
      </c>
      <c r="D21" s="68">
        <v>2582</v>
      </c>
      <c r="E21" s="68">
        <v>3241</v>
      </c>
      <c r="F21" s="68">
        <v>3582</v>
      </c>
      <c r="G21" s="68">
        <v>3477</v>
      </c>
      <c r="H21" s="68">
        <v>3529</v>
      </c>
      <c r="I21" s="68">
        <v>3344</v>
      </c>
      <c r="J21" s="68">
        <v>3159</v>
      </c>
      <c r="K21" s="68">
        <v>2896</v>
      </c>
      <c r="L21" s="68">
        <v>3021</v>
      </c>
      <c r="M21" s="68">
        <v>3038</v>
      </c>
      <c r="N21" s="68">
        <v>3267</v>
      </c>
      <c r="O21" s="68">
        <v>3141</v>
      </c>
      <c r="P21" s="68">
        <v>3074</v>
      </c>
      <c r="Q21" s="68">
        <v>2733</v>
      </c>
      <c r="R21" s="68">
        <v>2733</v>
      </c>
      <c r="S21" s="68">
        <v>2832</v>
      </c>
      <c r="T21" s="68">
        <v>3210</v>
      </c>
      <c r="U21" s="68">
        <v>2773</v>
      </c>
      <c r="V21" s="68">
        <v>3017</v>
      </c>
      <c r="W21" s="68">
        <v>3220</v>
      </c>
      <c r="X21" s="68">
        <v>3591</v>
      </c>
      <c r="Y21" s="68">
        <v>3815</v>
      </c>
      <c r="Z21" s="68">
        <v>4194</v>
      </c>
      <c r="AA21" s="68">
        <v>4183</v>
      </c>
      <c r="AB21" s="68">
        <v>4180</v>
      </c>
      <c r="AC21" s="68">
        <v>4320</v>
      </c>
      <c r="AD21" s="68">
        <v>4370</v>
      </c>
      <c r="AE21" s="68">
        <v>4434</v>
      </c>
      <c r="AF21" s="68">
        <v>4323</v>
      </c>
      <c r="AG21" s="68">
        <v>4298</v>
      </c>
      <c r="AH21" s="68">
        <v>4861</v>
      </c>
      <c r="AI21" s="68">
        <v>5457</v>
      </c>
      <c r="AJ21" s="68">
        <v>5458</v>
      </c>
      <c r="AK21" s="68">
        <v>5809</v>
      </c>
      <c r="AL21" s="68">
        <v>6139</v>
      </c>
      <c r="AM21" s="68">
        <v>6437</v>
      </c>
      <c r="AN21" s="68">
        <v>6927</v>
      </c>
      <c r="AO21" s="68">
        <v>7892</v>
      </c>
      <c r="AP21" s="68">
        <v>9029</v>
      </c>
      <c r="AQ21" s="68">
        <v>10052</v>
      </c>
      <c r="AR21" s="68">
        <v>10090</v>
      </c>
      <c r="AS21" s="68"/>
      <c r="AT21" s="68">
        <v>9931</v>
      </c>
      <c r="AU21" s="68">
        <v>9599</v>
      </c>
      <c r="AV21" s="68">
        <v>9315</v>
      </c>
      <c r="AW21" s="89">
        <v>1570</v>
      </c>
      <c r="AX21" s="68">
        <v>1876</v>
      </c>
      <c r="AY21" s="68">
        <v>1861</v>
      </c>
      <c r="AZ21" s="68">
        <v>2410</v>
      </c>
      <c r="BA21" s="68">
        <v>2800</v>
      </c>
      <c r="BB21" s="68">
        <v>2997</v>
      </c>
      <c r="BC21" s="68">
        <v>3283</v>
      </c>
      <c r="BD21" s="68">
        <v>3371</v>
      </c>
      <c r="BE21" s="68">
        <v>3516</v>
      </c>
      <c r="BF21" s="68">
        <v>3564</v>
      </c>
      <c r="BG21" s="68">
        <v>3734</v>
      </c>
      <c r="BH21" s="68">
        <v>3818</v>
      </c>
      <c r="BI21" s="68">
        <v>4337</v>
      </c>
      <c r="BJ21" s="68">
        <v>4310</v>
      </c>
      <c r="BK21" s="68">
        <v>4307</v>
      </c>
      <c r="BL21" s="68">
        <v>4068</v>
      </c>
      <c r="BM21" s="68">
        <v>4205</v>
      </c>
      <c r="BN21" s="68">
        <v>4982</v>
      </c>
      <c r="BO21" s="68">
        <v>4665</v>
      </c>
      <c r="BP21" s="68">
        <v>5361</v>
      </c>
      <c r="BQ21" s="68">
        <v>5663</v>
      </c>
      <c r="BR21" s="68">
        <v>6144</v>
      </c>
      <c r="BS21" s="68">
        <v>6417</v>
      </c>
      <c r="BT21" s="68">
        <v>7145</v>
      </c>
      <c r="BU21" s="68">
        <v>6699</v>
      </c>
      <c r="BV21" s="68">
        <v>6911</v>
      </c>
      <c r="BW21" s="68">
        <v>7324</v>
      </c>
      <c r="BX21" s="68">
        <v>7008</v>
      </c>
      <c r="BY21" s="68">
        <v>7536</v>
      </c>
      <c r="BZ21" s="68">
        <v>7176</v>
      </c>
      <c r="CA21" s="68">
        <v>7204</v>
      </c>
      <c r="CB21" s="68">
        <v>7394</v>
      </c>
      <c r="CC21" s="68">
        <v>8160</v>
      </c>
      <c r="CD21" s="68">
        <v>8547</v>
      </c>
      <c r="CE21" s="68">
        <v>9315</v>
      </c>
      <c r="CF21" s="68">
        <v>10178</v>
      </c>
      <c r="CG21" s="68">
        <v>10807</v>
      </c>
      <c r="CH21" s="68">
        <v>11238</v>
      </c>
      <c r="CI21" s="68">
        <v>11842</v>
      </c>
      <c r="CJ21" s="68">
        <v>12779</v>
      </c>
      <c r="CK21" s="31">
        <v>15164</v>
      </c>
      <c r="CL21" s="190">
        <v>16147</v>
      </c>
      <c r="CM21" s="190">
        <v>15699</v>
      </c>
      <c r="CN21" s="190"/>
      <c r="CO21" s="190">
        <v>15623</v>
      </c>
      <c r="CP21" s="190">
        <v>15524</v>
      </c>
      <c r="CQ21" s="190">
        <v>14872</v>
      </c>
    </row>
    <row r="22" spans="1:95">
      <c r="A22" s="67" t="s">
        <v>28</v>
      </c>
      <c r="B22" s="69">
        <v>470</v>
      </c>
      <c r="C22" s="68">
        <v>513</v>
      </c>
      <c r="D22" s="68">
        <v>606</v>
      </c>
      <c r="E22" s="68">
        <v>626</v>
      </c>
      <c r="F22" s="68">
        <v>640</v>
      </c>
      <c r="G22" s="68">
        <v>768</v>
      </c>
      <c r="H22" s="68">
        <v>749</v>
      </c>
      <c r="I22" s="68">
        <v>814</v>
      </c>
      <c r="J22" s="68">
        <v>841</v>
      </c>
      <c r="K22" s="68">
        <v>828</v>
      </c>
      <c r="L22" s="68">
        <v>983</v>
      </c>
      <c r="M22" s="68">
        <v>863</v>
      </c>
      <c r="N22" s="68">
        <v>970</v>
      </c>
      <c r="O22" s="68">
        <v>916</v>
      </c>
      <c r="P22" s="68">
        <v>1093</v>
      </c>
      <c r="Q22" s="68">
        <v>1013</v>
      </c>
      <c r="R22" s="68">
        <v>1013</v>
      </c>
      <c r="S22" s="68">
        <v>893</v>
      </c>
      <c r="T22" s="68">
        <v>868</v>
      </c>
      <c r="U22" s="68">
        <v>1021</v>
      </c>
      <c r="V22" s="68">
        <v>1112</v>
      </c>
      <c r="W22" s="68">
        <v>870</v>
      </c>
      <c r="X22" s="68">
        <v>955</v>
      </c>
      <c r="Y22" s="68">
        <v>997</v>
      </c>
      <c r="Z22" s="68">
        <v>1133</v>
      </c>
      <c r="AA22" s="68">
        <v>1080</v>
      </c>
      <c r="AB22" s="68">
        <v>974</v>
      </c>
      <c r="AC22" s="68">
        <v>1406</v>
      </c>
      <c r="AD22" s="68">
        <v>1030</v>
      </c>
      <c r="AE22" s="68">
        <v>1008</v>
      </c>
      <c r="AF22" s="68">
        <v>1090</v>
      </c>
      <c r="AG22" s="68">
        <v>1081</v>
      </c>
      <c r="AH22" s="68">
        <v>1039</v>
      </c>
      <c r="AI22" s="68">
        <v>878</v>
      </c>
      <c r="AJ22" s="68">
        <v>1104</v>
      </c>
      <c r="AK22" s="68">
        <v>1091</v>
      </c>
      <c r="AL22" s="68">
        <v>1345</v>
      </c>
      <c r="AM22" s="68">
        <v>1305</v>
      </c>
      <c r="AN22" s="68">
        <v>1209</v>
      </c>
      <c r="AO22" s="68">
        <v>1394</v>
      </c>
      <c r="AP22" s="68">
        <v>1331</v>
      </c>
      <c r="AQ22" s="68">
        <v>1265</v>
      </c>
      <c r="AR22" s="68">
        <v>1328</v>
      </c>
      <c r="AS22" s="68"/>
      <c r="AT22" s="68">
        <v>1542</v>
      </c>
      <c r="AU22" s="68">
        <v>1491</v>
      </c>
      <c r="AV22" s="68">
        <v>1586</v>
      </c>
      <c r="AW22" s="89">
        <v>515</v>
      </c>
      <c r="AX22" s="68">
        <v>609</v>
      </c>
      <c r="AY22" s="68">
        <v>783</v>
      </c>
      <c r="AZ22" s="68">
        <v>877</v>
      </c>
      <c r="BA22" s="68">
        <v>1050</v>
      </c>
      <c r="BB22" s="68">
        <v>1185</v>
      </c>
      <c r="BC22" s="68">
        <v>1208</v>
      </c>
      <c r="BD22" s="68">
        <v>1227</v>
      </c>
      <c r="BE22" s="68">
        <v>1263</v>
      </c>
      <c r="BF22" s="68">
        <v>1351</v>
      </c>
      <c r="BG22" s="68">
        <v>1403</v>
      </c>
      <c r="BH22" s="68">
        <v>1514</v>
      </c>
      <c r="BI22" s="68">
        <v>1564</v>
      </c>
      <c r="BJ22" s="68">
        <v>1611</v>
      </c>
      <c r="BK22" s="68">
        <v>1788</v>
      </c>
      <c r="BL22" s="68">
        <v>1778</v>
      </c>
      <c r="BM22" s="68">
        <v>1670</v>
      </c>
      <c r="BN22" s="68">
        <v>1551</v>
      </c>
      <c r="BO22" s="68">
        <v>1619</v>
      </c>
      <c r="BP22" s="68">
        <v>1729</v>
      </c>
      <c r="BQ22" s="68">
        <v>1762</v>
      </c>
      <c r="BR22" s="68">
        <v>1848</v>
      </c>
      <c r="BS22" s="68">
        <v>1922</v>
      </c>
      <c r="BT22" s="68">
        <v>1879</v>
      </c>
      <c r="BU22" s="68">
        <v>1760</v>
      </c>
      <c r="BV22" s="68">
        <v>1838</v>
      </c>
      <c r="BW22" s="68">
        <v>2346</v>
      </c>
      <c r="BX22" s="68">
        <v>1888</v>
      </c>
      <c r="BY22" s="68">
        <v>1967</v>
      </c>
      <c r="BZ22" s="68">
        <v>1959</v>
      </c>
      <c r="CA22" s="68">
        <v>1878</v>
      </c>
      <c r="CB22" s="68">
        <v>1887</v>
      </c>
      <c r="CC22" s="68">
        <v>2049</v>
      </c>
      <c r="CD22" s="68">
        <v>1909</v>
      </c>
      <c r="CE22" s="68">
        <v>2547</v>
      </c>
      <c r="CF22" s="68">
        <v>2206</v>
      </c>
      <c r="CG22" s="68">
        <v>2397</v>
      </c>
      <c r="CH22" s="68">
        <v>2539</v>
      </c>
      <c r="CI22" s="68">
        <v>2619</v>
      </c>
      <c r="CJ22" s="68">
        <v>2595</v>
      </c>
      <c r="CK22" s="31">
        <v>2676</v>
      </c>
      <c r="CL22" s="191">
        <v>2662</v>
      </c>
      <c r="CM22" s="190">
        <v>2742</v>
      </c>
      <c r="CN22" s="190"/>
      <c r="CO22" s="190">
        <v>2904</v>
      </c>
      <c r="CP22" s="190">
        <v>2868</v>
      </c>
      <c r="CQ22" s="190">
        <v>2719</v>
      </c>
    </row>
    <row r="23" spans="1:95">
      <c r="A23" s="46" t="s">
        <v>185</v>
      </c>
      <c r="B23" s="81">
        <f>SUM(B25:B37)</f>
        <v>48340</v>
      </c>
      <c r="C23" s="59">
        <f t="shared" ref="C23:BV23" si="30">SUM(C25:C37)</f>
        <v>53341</v>
      </c>
      <c r="D23" s="59">
        <f t="shared" si="30"/>
        <v>52411</v>
      </c>
      <c r="E23" s="59">
        <f t="shared" si="30"/>
        <v>53891</v>
      </c>
      <c r="F23" s="59">
        <f t="shared" si="30"/>
        <v>53443</v>
      </c>
      <c r="G23" s="59">
        <f t="shared" si="30"/>
        <v>56926</v>
      </c>
      <c r="H23" s="59">
        <f t="shared" si="30"/>
        <v>54776</v>
      </c>
      <c r="I23" s="59">
        <f t="shared" si="30"/>
        <v>51750</v>
      </c>
      <c r="J23" s="59">
        <f t="shared" si="30"/>
        <v>46412</v>
      </c>
      <c r="K23" s="59">
        <f t="shared" si="30"/>
        <v>43862</v>
      </c>
      <c r="L23" s="59">
        <f t="shared" si="30"/>
        <v>43982</v>
      </c>
      <c r="M23" s="59">
        <f t="shared" si="30"/>
        <v>44751</v>
      </c>
      <c r="N23" s="59">
        <f t="shared" si="30"/>
        <v>45305</v>
      </c>
      <c r="O23" s="59">
        <f t="shared" si="30"/>
        <v>43981</v>
      </c>
      <c r="P23" s="59">
        <f t="shared" si="30"/>
        <v>43949</v>
      </c>
      <c r="Q23" s="59">
        <f t="shared" si="30"/>
        <v>40902</v>
      </c>
      <c r="R23" s="59">
        <f t="shared" si="30"/>
        <v>40902</v>
      </c>
      <c r="S23" s="59">
        <f t="shared" si="30"/>
        <v>39804</v>
      </c>
      <c r="T23" s="59">
        <f t="shared" si="30"/>
        <v>39833</v>
      </c>
      <c r="U23" s="59">
        <f t="shared" si="30"/>
        <v>39862</v>
      </c>
      <c r="V23" s="59">
        <f t="shared" si="30"/>
        <v>41449</v>
      </c>
      <c r="W23" s="59">
        <f t="shared" si="30"/>
        <v>43889</v>
      </c>
      <c r="X23" s="59">
        <f t="shared" si="30"/>
        <v>44864</v>
      </c>
      <c r="Y23" s="59">
        <f t="shared" si="30"/>
        <v>46583</v>
      </c>
      <c r="Z23" s="59">
        <f t="shared" si="30"/>
        <v>47645</v>
      </c>
      <c r="AA23" s="59">
        <f t="shared" si="30"/>
        <v>49472</v>
      </c>
      <c r="AB23" s="59">
        <f t="shared" si="30"/>
        <v>52491</v>
      </c>
      <c r="AC23" s="59">
        <f t="shared" si="30"/>
        <v>55438</v>
      </c>
      <c r="AD23" s="59">
        <f t="shared" si="30"/>
        <v>57486</v>
      </c>
      <c r="AE23" s="59">
        <f t="shared" si="30"/>
        <v>59384</v>
      </c>
      <c r="AF23" s="59">
        <f t="shared" si="30"/>
        <v>61950</v>
      </c>
      <c r="AG23" s="59">
        <f t="shared" si="30"/>
        <v>64136</v>
      </c>
      <c r="AH23" s="59">
        <f t="shared" si="30"/>
        <v>66581</v>
      </c>
      <c r="AI23" s="59">
        <f t="shared" si="30"/>
        <v>70197</v>
      </c>
      <c r="AJ23" s="59">
        <f t="shared" si="30"/>
        <v>70290</v>
      </c>
      <c r="AK23" s="59">
        <f t="shared" si="30"/>
        <v>70364</v>
      </c>
      <c r="AL23" s="59">
        <f t="shared" si="30"/>
        <v>74584</v>
      </c>
      <c r="AM23" s="59">
        <f t="shared" si="30"/>
        <v>77230</v>
      </c>
      <c r="AN23" s="59">
        <f t="shared" ref="AN23:AO23" si="31">SUM(AN25:AN37)</f>
        <v>83434</v>
      </c>
      <c r="AO23" s="59">
        <f t="shared" si="31"/>
        <v>88454</v>
      </c>
      <c r="AP23" s="59">
        <f t="shared" ref="AP23:AQ23" si="32">SUM(AP25:AP37)</f>
        <v>86749</v>
      </c>
      <c r="AQ23" s="59">
        <f t="shared" si="32"/>
        <v>106924</v>
      </c>
      <c r="AR23" s="59">
        <f t="shared" ref="AR23:AT23" si="33">SUM(AR25:AR37)</f>
        <v>107242</v>
      </c>
      <c r="AS23" s="59">
        <f t="shared" si="33"/>
        <v>0</v>
      </c>
      <c r="AT23" s="59">
        <f t="shared" si="33"/>
        <v>109414</v>
      </c>
      <c r="AU23" s="59">
        <f t="shared" ref="AU23:AV23" si="34">SUM(AU25:AU37)</f>
        <v>111519</v>
      </c>
      <c r="AV23" s="59">
        <f t="shared" si="34"/>
        <v>113481</v>
      </c>
      <c r="AW23" s="87">
        <f t="shared" si="30"/>
        <v>32429</v>
      </c>
      <c r="AX23" s="59">
        <f t="shared" si="30"/>
        <v>36016</v>
      </c>
      <c r="AY23" s="59">
        <f t="shared" si="30"/>
        <v>37997</v>
      </c>
      <c r="AZ23" s="59">
        <f t="shared" si="30"/>
        <v>40402</v>
      </c>
      <c r="BA23" s="59">
        <f t="shared" si="30"/>
        <v>43194</v>
      </c>
      <c r="BB23" s="59">
        <f t="shared" si="30"/>
        <v>44875</v>
      </c>
      <c r="BC23" s="59">
        <f t="shared" si="30"/>
        <v>47679</v>
      </c>
      <c r="BD23" s="59">
        <f t="shared" si="30"/>
        <v>49299</v>
      </c>
      <c r="BE23" s="59">
        <f t="shared" si="30"/>
        <v>47948</v>
      </c>
      <c r="BF23" s="59">
        <f t="shared" si="30"/>
        <v>48868</v>
      </c>
      <c r="BG23" s="59">
        <f t="shared" si="30"/>
        <v>50994</v>
      </c>
      <c r="BH23" s="59">
        <f t="shared" si="30"/>
        <v>52237</v>
      </c>
      <c r="BI23" s="59">
        <f t="shared" si="30"/>
        <v>52148</v>
      </c>
      <c r="BJ23" s="59">
        <f t="shared" si="30"/>
        <v>51137</v>
      </c>
      <c r="BK23" s="59">
        <f t="shared" si="30"/>
        <v>50639</v>
      </c>
      <c r="BL23" s="59">
        <f t="shared" si="30"/>
        <v>48249</v>
      </c>
      <c r="BM23" s="59">
        <f t="shared" si="30"/>
        <v>47900</v>
      </c>
      <c r="BN23" s="59">
        <f t="shared" si="30"/>
        <v>49287</v>
      </c>
      <c r="BO23" s="59">
        <f t="shared" si="30"/>
        <v>50666</v>
      </c>
      <c r="BP23" s="59">
        <f t="shared" si="30"/>
        <v>53891</v>
      </c>
      <c r="BQ23" s="59">
        <f t="shared" si="30"/>
        <v>61557</v>
      </c>
      <c r="BR23" s="59">
        <f t="shared" si="30"/>
        <v>60323</v>
      </c>
      <c r="BS23" s="59">
        <f t="shared" si="30"/>
        <v>62429</v>
      </c>
      <c r="BT23" s="59">
        <f t="shared" si="30"/>
        <v>66697</v>
      </c>
      <c r="BU23" s="59">
        <f t="shared" si="30"/>
        <v>70759</v>
      </c>
      <c r="BV23" s="59">
        <f t="shared" si="30"/>
        <v>76912</v>
      </c>
      <c r="BW23" s="59">
        <f t="shared" ref="BW23:CH23" si="35">SUM(BW25:BW37)</f>
        <v>82089</v>
      </c>
      <c r="BX23" s="59">
        <f t="shared" si="35"/>
        <v>82992</v>
      </c>
      <c r="BY23" s="59">
        <f t="shared" si="35"/>
        <v>87355</v>
      </c>
      <c r="BZ23" s="59">
        <f t="shared" si="35"/>
        <v>86901</v>
      </c>
      <c r="CA23" s="59">
        <f t="shared" si="35"/>
        <v>90184</v>
      </c>
      <c r="CB23" s="59">
        <f t="shared" si="35"/>
        <v>93323</v>
      </c>
      <c r="CC23" s="59">
        <f t="shared" si="35"/>
        <v>99829</v>
      </c>
      <c r="CD23" s="59">
        <f t="shared" si="35"/>
        <v>104026</v>
      </c>
      <c r="CE23" s="59">
        <f t="shared" si="35"/>
        <v>107954</v>
      </c>
      <c r="CF23" s="59">
        <f t="shared" si="35"/>
        <v>108470</v>
      </c>
      <c r="CG23" s="59">
        <f t="shared" si="35"/>
        <v>115061</v>
      </c>
      <c r="CH23" s="59">
        <f t="shared" si="35"/>
        <v>123300</v>
      </c>
      <c r="CI23" s="59">
        <f t="shared" ref="CI23:CJ23" si="36">SUM(CI25:CI37)</f>
        <v>132574</v>
      </c>
      <c r="CJ23" s="59">
        <f t="shared" si="36"/>
        <v>142468</v>
      </c>
      <c r="CK23" s="59">
        <f t="shared" ref="CK23:CL23" si="37">SUM(CK25:CK37)</f>
        <v>128707</v>
      </c>
      <c r="CL23" s="59">
        <f t="shared" si="37"/>
        <v>166958</v>
      </c>
      <c r="CM23" s="59">
        <f t="shared" ref="CM23:CO23" si="38">SUM(CM25:CM37)</f>
        <v>163219</v>
      </c>
      <c r="CN23" s="59">
        <f t="shared" si="38"/>
        <v>0</v>
      </c>
      <c r="CO23" s="59">
        <f t="shared" si="38"/>
        <v>163372</v>
      </c>
      <c r="CP23" s="59">
        <f t="shared" ref="CP23:CQ23" si="39">SUM(CP25:CP37)</f>
        <v>167771</v>
      </c>
      <c r="CQ23" s="59">
        <f t="shared" si="39"/>
        <v>170186</v>
      </c>
    </row>
    <row r="24" spans="1:95">
      <c r="A24" s="47" t="s">
        <v>189</v>
      </c>
      <c r="B24" s="82">
        <f>(B23/B$4)*100</f>
        <v>33.53590853590854</v>
      </c>
      <c r="C24" s="58">
        <f t="shared" ref="C24:BV24" si="40">(C23/C$4)*100</f>
        <v>32.089251445312733</v>
      </c>
      <c r="D24" s="58">
        <f t="shared" si="40"/>
        <v>29.878629292013702</v>
      </c>
      <c r="E24" s="58">
        <f t="shared" si="40"/>
        <v>28.575594805690624</v>
      </c>
      <c r="F24" s="58">
        <f t="shared" si="40"/>
        <v>27.978138071480547</v>
      </c>
      <c r="G24" s="58">
        <f t="shared" si="40"/>
        <v>27.108135393055104</v>
      </c>
      <c r="H24" s="58">
        <f t="shared" si="40"/>
        <v>26.020369385118187</v>
      </c>
      <c r="I24" s="58">
        <f t="shared" si="40"/>
        <v>25.555555555555554</v>
      </c>
      <c r="J24" s="58">
        <f t="shared" si="40"/>
        <v>24.576509025825139</v>
      </c>
      <c r="K24" s="58">
        <f t="shared" si="40"/>
        <v>24.350326710302063</v>
      </c>
      <c r="L24" s="58">
        <f t="shared" si="40"/>
        <v>23.80235956272324</v>
      </c>
      <c r="M24" s="58">
        <f t="shared" si="40"/>
        <v>23.209293882737338</v>
      </c>
      <c r="N24" s="58">
        <f t="shared" si="40"/>
        <v>22.720206214519266</v>
      </c>
      <c r="O24" s="58">
        <f t="shared" si="40"/>
        <v>22.19950837131594</v>
      </c>
      <c r="P24" s="58">
        <f t="shared" si="40"/>
        <v>22.298610300720981</v>
      </c>
      <c r="Q24" s="58">
        <f t="shared" si="40"/>
        <v>21.616450953138461</v>
      </c>
      <c r="R24" s="58">
        <f t="shared" si="40"/>
        <v>21.616450953138461</v>
      </c>
      <c r="S24" s="58">
        <f t="shared" si="40"/>
        <v>21.784627509358785</v>
      </c>
      <c r="T24" s="58">
        <f t="shared" si="40"/>
        <v>21.793461906715908</v>
      </c>
      <c r="U24" s="58">
        <f t="shared" si="40"/>
        <v>22.157495983946905</v>
      </c>
      <c r="V24" s="58">
        <f t="shared" si="40"/>
        <v>22.581611750348678</v>
      </c>
      <c r="W24" s="58">
        <f t="shared" si="40"/>
        <v>23.043320749961936</v>
      </c>
      <c r="X24" s="58">
        <f t="shared" si="40"/>
        <v>22.563318513750026</v>
      </c>
      <c r="Y24" s="58">
        <f t="shared" si="40"/>
        <v>22.911287189096935</v>
      </c>
      <c r="Z24" s="58">
        <f t="shared" si="40"/>
        <v>23.11483919795462</v>
      </c>
      <c r="AA24" s="58">
        <f t="shared" si="40"/>
        <v>23.73338322563313</v>
      </c>
      <c r="AB24" s="58">
        <f t="shared" si="40"/>
        <v>25.005478329633473</v>
      </c>
      <c r="AC24" s="58">
        <f t="shared" si="40"/>
        <v>25.813811632465857</v>
      </c>
      <c r="AD24" s="58">
        <f t="shared" si="40"/>
        <v>26.416620330586866</v>
      </c>
      <c r="AE24" s="58">
        <f t="shared" si="40"/>
        <v>27.188359880412239</v>
      </c>
      <c r="AF24" s="58">
        <f t="shared" si="40"/>
        <v>27.567517054480888</v>
      </c>
      <c r="AG24" s="58">
        <f t="shared" si="40"/>
        <v>27.687193766323471</v>
      </c>
      <c r="AH24" s="58">
        <f t="shared" si="40"/>
        <v>27.962403773061915</v>
      </c>
      <c r="AI24" s="58">
        <f t="shared" si="40"/>
        <v>27.021710678266224</v>
      </c>
      <c r="AJ24" s="58">
        <f t="shared" si="40"/>
        <v>27.031184503505322</v>
      </c>
      <c r="AK24" s="58">
        <f t="shared" si="40"/>
        <v>26.301152759296087</v>
      </c>
      <c r="AL24" s="58">
        <f t="shared" si="40"/>
        <v>27.103024488802159</v>
      </c>
      <c r="AM24" s="58">
        <f t="shared" si="40"/>
        <v>27.336021039143994</v>
      </c>
      <c r="AN24" s="58">
        <f t="shared" ref="AN24:AO24" si="41">(AN23/AN$4)*100</f>
        <v>27.984745472779661</v>
      </c>
      <c r="AO24" s="58">
        <f t="shared" si="41"/>
        <v>27.451430699522067</v>
      </c>
      <c r="AP24" s="58">
        <f t="shared" ref="AP24:AQ24" si="42">(AP23/AP$4)*100</f>
        <v>25.17579729114005</v>
      </c>
      <c r="AQ24" s="58">
        <f t="shared" si="42"/>
        <v>27.61402756650801</v>
      </c>
      <c r="AR24" s="58">
        <f t="shared" ref="AR24:AT24" si="43">(AR23/AR$4)*100</f>
        <v>27.87215020116227</v>
      </c>
      <c r="AS24" s="58" t="e">
        <f t="shared" si="43"/>
        <v>#DIV/0!</v>
      </c>
      <c r="AT24" s="58">
        <f t="shared" si="43"/>
        <v>28.003675332021199</v>
      </c>
      <c r="AU24" s="58">
        <f t="shared" ref="AU24:AV24" si="44">(AU23/AU$4)*100</f>
        <v>28.818959903246817</v>
      </c>
      <c r="AV24" s="58">
        <f t="shared" si="44"/>
        <v>29.169644096463585</v>
      </c>
      <c r="AW24" s="88">
        <f t="shared" si="40"/>
        <v>29.98049312636941</v>
      </c>
      <c r="AX24" s="58">
        <f t="shared" si="40"/>
        <v>28.632529593678203</v>
      </c>
      <c r="AY24" s="58">
        <f t="shared" si="40"/>
        <v>26.993982708278569</v>
      </c>
      <c r="AZ24" s="58">
        <f t="shared" si="40"/>
        <v>26.009927059929311</v>
      </c>
      <c r="BA24" s="58">
        <f t="shared" si="40"/>
        <v>25.535311018361966</v>
      </c>
      <c r="BB24" s="58">
        <f t="shared" si="40"/>
        <v>24.730240606641757</v>
      </c>
      <c r="BC24" s="58">
        <f t="shared" si="40"/>
        <v>24.383869895415142</v>
      </c>
      <c r="BD24" s="58">
        <f t="shared" si="40"/>
        <v>23.759012221922351</v>
      </c>
      <c r="BE24" s="58">
        <f t="shared" si="40"/>
        <v>22.775766903221516</v>
      </c>
      <c r="BF24" s="58">
        <f t="shared" si="40"/>
        <v>22.513383272981912</v>
      </c>
      <c r="BG24" s="58">
        <f t="shared" si="40"/>
        <v>22.407262564922796</v>
      </c>
      <c r="BH24" s="58">
        <f t="shared" si="40"/>
        <v>22.008240924871078</v>
      </c>
      <c r="BI24" s="58">
        <f t="shared" si="40"/>
        <v>21.267883652261865</v>
      </c>
      <c r="BJ24" s="58">
        <f t="shared" si="40"/>
        <v>20.528456100488555</v>
      </c>
      <c r="BK24" s="58">
        <f t="shared" si="40"/>
        <v>20.165661151265358</v>
      </c>
      <c r="BL24" s="58">
        <f t="shared" si="40"/>
        <v>19.487931368747578</v>
      </c>
      <c r="BM24" s="58">
        <f t="shared" si="40"/>
        <v>19.598697238997726</v>
      </c>
      <c r="BN24" s="58">
        <f t="shared" si="40"/>
        <v>20.195203500878907</v>
      </c>
      <c r="BO24" s="58">
        <f t="shared" si="40"/>
        <v>20.357356669599771</v>
      </c>
      <c r="BP24" s="58">
        <f t="shared" si="40"/>
        <v>20.53131262334179</v>
      </c>
      <c r="BQ24" s="58">
        <f t="shared" si="40"/>
        <v>21.853909647643562</v>
      </c>
      <c r="BR24" s="58">
        <f t="shared" si="40"/>
        <v>20.436766733633952</v>
      </c>
      <c r="BS24" s="58">
        <f t="shared" si="40"/>
        <v>20.726002702424545</v>
      </c>
      <c r="BT24" s="58">
        <f t="shared" si="40"/>
        <v>21.275027990519906</v>
      </c>
      <c r="BU24" s="58">
        <f t="shared" si="40"/>
        <v>22.163093355049881</v>
      </c>
      <c r="BV24" s="58">
        <f t="shared" si="40"/>
        <v>23.05004285620096</v>
      </c>
      <c r="BW24" s="58">
        <f t="shared" ref="BW24:CH24" si="45">(BW23/BW$4)*100</f>
        <v>23.787156112176831</v>
      </c>
      <c r="BX24" s="58">
        <f t="shared" si="45"/>
        <v>24.341970188477806</v>
      </c>
      <c r="BY24" s="58">
        <f t="shared" si="45"/>
        <v>25.577023865642666</v>
      </c>
      <c r="BZ24" s="58">
        <f t="shared" si="45"/>
        <v>25.543190716376845</v>
      </c>
      <c r="CA24" s="58">
        <f t="shared" si="45"/>
        <v>25.973158228212661</v>
      </c>
      <c r="CB24" s="58">
        <f t="shared" si="45"/>
        <v>26.139139105494309</v>
      </c>
      <c r="CC24" s="58">
        <f t="shared" si="45"/>
        <v>26.231786948353108</v>
      </c>
      <c r="CD24" s="58">
        <f t="shared" si="45"/>
        <v>25.692283374331922</v>
      </c>
      <c r="CE24" s="58">
        <f t="shared" si="45"/>
        <v>25.15683112573522</v>
      </c>
      <c r="CF24" s="58">
        <f t="shared" si="45"/>
        <v>24.715690943352374</v>
      </c>
      <c r="CG24" s="58">
        <f t="shared" si="45"/>
        <v>25.403873030311729</v>
      </c>
      <c r="CH24" s="58">
        <f t="shared" si="45"/>
        <v>26.366266575143861</v>
      </c>
      <c r="CI24" s="58">
        <f t="shared" ref="CI24:CJ24" si="46">(CI23/CI$4)*100</f>
        <v>27.101049911689675</v>
      </c>
      <c r="CJ24" s="58">
        <f t="shared" si="46"/>
        <v>27.144827796449995</v>
      </c>
      <c r="CK24" s="58">
        <f t="shared" ref="CK24:CL24" si="47">(CK23/CK$4)*100</f>
        <v>23.664551620667019</v>
      </c>
      <c r="CL24" s="58">
        <f t="shared" si="47"/>
        <v>27.072850774851265</v>
      </c>
      <c r="CM24" s="58">
        <f t="shared" ref="CM24:CO24" si="48">(CM23/CM$4)*100</f>
        <v>26.668289670181721</v>
      </c>
      <c r="CN24" s="58" t="e">
        <f t="shared" si="48"/>
        <v>#DIV/0!</v>
      </c>
      <c r="CO24" s="58">
        <f t="shared" si="48"/>
        <v>26.741525215654821</v>
      </c>
      <c r="CP24" s="58">
        <f t="shared" ref="CP24:CQ24" si="49">(CP23/CP$4)*100</f>
        <v>27.462608875000615</v>
      </c>
      <c r="CQ24" s="58">
        <f t="shared" si="49"/>
        <v>28.051049858167364</v>
      </c>
    </row>
    <row r="25" spans="1:95">
      <c r="A25" s="64" t="s">
        <v>112</v>
      </c>
      <c r="B25" s="69">
        <v>70</v>
      </c>
      <c r="C25" s="68">
        <v>104</v>
      </c>
      <c r="D25" s="68">
        <v>152</v>
      </c>
      <c r="E25" s="68">
        <v>181</v>
      </c>
      <c r="F25" s="68">
        <v>185</v>
      </c>
      <c r="G25" s="68">
        <v>200</v>
      </c>
      <c r="H25" s="68">
        <v>214</v>
      </c>
      <c r="I25" s="68">
        <v>194</v>
      </c>
      <c r="J25" s="68">
        <v>198</v>
      </c>
      <c r="K25" s="68">
        <v>230</v>
      </c>
      <c r="L25" s="68">
        <v>257</v>
      </c>
      <c r="M25" s="68">
        <v>265</v>
      </c>
      <c r="N25" s="68">
        <v>307</v>
      </c>
      <c r="O25" s="68">
        <v>276</v>
      </c>
      <c r="P25" s="68">
        <v>261</v>
      </c>
      <c r="Q25" s="68">
        <v>291</v>
      </c>
      <c r="R25" s="68">
        <v>291</v>
      </c>
      <c r="S25" s="68">
        <v>282</v>
      </c>
      <c r="T25" s="68">
        <v>273</v>
      </c>
      <c r="U25" s="68">
        <v>214</v>
      </c>
      <c r="V25" s="68">
        <v>228</v>
      </c>
      <c r="W25" s="68">
        <v>241</v>
      </c>
      <c r="X25" s="68">
        <v>273</v>
      </c>
      <c r="Y25" s="68">
        <v>343</v>
      </c>
      <c r="Z25" s="68">
        <v>399</v>
      </c>
      <c r="AA25" s="68">
        <v>353</v>
      </c>
      <c r="AB25" s="68">
        <v>375</v>
      </c>
      <c r="AC25" s="68">
        <v>330</v>
      </c>
      <c r="AD25" s="68">
        <v>363</v>
      </c>
      <c r="AE25" s="68">
        <v>351</v>
      </c>
      <c r="AF25" s="68">
        <v>325</v>
      </c>
      <c r="AG25" s="68">
        <v>342</v>
      </c>
      <c r="AH25" s="68">
        <v>371</v>
      </c>
      <c r="AI25" s="68">
        <v>351</v>
      </c>
      <c r="AJ25" s="68">
        <v>351</v>
      </c>
      <c r="AK25" s="68">
        <v>381</v>
      </c>
      <c r="AL25" s="68">
        <v>385</v>
      </c>
      <c r="AM25" s="68">
        <v>373</v>
      </c>
      <c r="AN25" s="68">
        <v>364</v>
      </c>
      <c r="AO25" s="68">
        <v>425</v>
      </c>
      <c r="AP25" s="68">
        <v>561</v>
      </c>
      <c r="AQ25" s="68">
        <v>582</v>
      </c>
      <c r="AR25" s="68">
        <v>606</v>
      </c>
      <c r="AS25" s="68"/>
      <c r="AT25" s="68">
        <v>606</v>
      </c>
      <c r="AU25" s="68">
        <v>476</v>
      </c>
      <c r="AV25" s="68">
        <v>512</v>
      </c>
      <c r="AW25" s="89">
        <v>23</v>
      </c>
      <c r="AX25" s="68">
        <v>39</v>
      </c>
      <c r="AY25" s="68">
        <v>87</v>
      </c>
      <c r="AZ25" s="68">
        <v>138</v>
      </c>
      <c r="BA25" s="68">
        <v>140</v>
      </c>
      <c r="BB25" s="68">
        <v>170</v>
      </c>
      <c r="BC25" s="68">
        <v>187</v>
      </c>
      <c r="BD25" s="68">
        <v>193</v>
      </c>
      <c r="BE25" s="68">
        <v>190</v>
      </c>
      <c r="BF25" s="68">
        <v>223</v>
      </c>
      <c r="BG25" s="68">
        <v>255</v>
      </c>
      <c r="BH25" s="68">
        <v>321</v>
      </c>
      <c r="BI25" s="68">
        <v>369</v>
      </c>
      <c r="BJ25" s="68">
        <v>306</v>
      </c>
      <c r="BK25" s="68">
        <v>350</v>
      </c>
      <c r="BL25" s="68">
        <v>395</v>
      </c>
      <c r="BM25" s="68">
        <v>460</v>
      </c>
      <c r="BN25" s="68">
        <v>388</v>
      </c>
      <c r="BO25" s="68">
        <v>392</v>
      </c>
      <c r="BP25" s="68">
        <v>375</v>
      </c>
      <c r="BQ25" s="68">
        <v>395</v>
      </c>
      <c r="BR25" s="68">
        <v>480</v>
      </c>
      <c r="BS25" s="68">
        <v>597</v>
      </c>
      <c r="BT25" s="68">
        <v>603</v>
      </c>
      <c r="BU25" s="68">
        <v>607</v>
      </c>
      <c r="BV25" s="68">
        <v>586</v>
      </c>
      <c r="BW25" s="68">
        <v>629</v>
      </c>
      <c r="BX25" s="68">
        <v>589</v>
      </c>
      <c r="BY25" s="68">
        <v>641</v>
      </c>
      <c r="BZ25" s="68">
        <v>570</v>
      </c>
      <c r="CA25" s="68">
        <v>619</v>
      </c>
      <c r="CB25" s="68">
        <v>535</v>
      </c>
      <c r="CC25" s="68">
        <v>594</v>
      </c>
      <c r="CD25" s="68">
        <v>635</v>
      </c>
      <c r="CE25" s="68">
        <v>580</v>
      </c>
      <c r="CF25" s="68">
        <v>664</v>
      </c>
      <c r="CG25" s="68">
        <v>654</v>
      </c>
      <c r="CH25" s="68">
        <v>658</v>
      </c>
      <c r="CI25" s="68">
        <v>635</v>
      </c>
      <c r="CJ25" s="68">
        <v>757</v>
      </c>
      <c r="CK25" s="31">
        <v>962</v>
      </c>
      <c r="CL25" s="1">
        <v>1124</v>
      </c>
      <c r="CM25" s="1">
        <v>1152</v>
      </c>
      <c r="CO25" s="1">
        <v>1109</v>
      </c>
      <c r="CP25" s="1">
        <v>896</v>
      </c>
      <c r="CQ25" s="1">
        <v>841</v>
      </c>
    </row>
    <row r="26" spans="1:95">
      <c r="A26" s="64" t="s">
        <v>113</v>
      </c>
      <c r="B26" s="69">
        <v>1645</v>
      </c>
      <c r="C26" s="68">
        <v>1767</v>
      </c>
      <c r="D26" s="68">
        <v>1780</v>
      </c>
      <c r="E26" s="68">
        <v>2139</v>
      </c>
      <c r="F26" s="68">
        <v>2269</v>
      </c>
      <c r="G26" s="68">
        <v>3010</v>
      </c>
      <c r="H26" s="68">
        <v>3004</v>
      </c>
      <c r="I26" s="68">
        <v>2841</v>
      </c>
      <c r="J26" s="68">
        <v>2950</v>
      </c>
      <c r="K26" s="68">
        <v>2352</v>
      </c>
      <c r="L26" s="68">
        <v>2480</v>
      </c>
      <c r="M26" s="68">
        <v>2643</v>
      </c>
      <c r="N26" s="68">
        <v>2919</v>
      </c>
      <c r="O26" s="68">
        <v>2707</v>
      </c>
      <c r="P26" s="68">
        <v>2808</v>
      </c>
      <c r="Q26" s="68">
        <v>3490</v>
      </c>
      <c r="R26" s="68">
        <v>3490</v>
      </c>
      <c r="S26" s="68">
        <v>2299</v>
      </c>
      <c r="T26" s="68">
        <v>2805</v>
      </c>
      <c r="U26" s="68">
        <v>3250</v>
      </c>
      <c r="V26" s="68">
        <v>3242</v>
      </c>
      <c r="W26" s="68">
        <v>2992</v>
      </c>
      <c r="X26" s="68">
        <v>3209</v>
      </c>
      <c r="Y26" s="68">
        <v>3266</v>
      </c>
      <c r="Z26" s="68">
        <v>2975</v>
      </c>
      <c r="AA26" s="68">
        <v>2881</v>
      </c>
      <c r="AB26" s="68">
        <v>3392</v>
      </c>
      <c r="AC26" s="68">
        <v>4055</v>
      </c>
      <c r="AD26" s="68">
        <v>4072</v>
      </c>
      <c r="AE26" s="68">
        <v>4690</v>
      </c>
      <c r="AF26" s="68">
        <v>4899</v>
      </c>
      <c r="AG26" s="68">
        <v>6882</v>
      </c>
      <c r="AH26" s="68">
        <v>6551</v>
      </c>
      <c r="AI26" s="68">
        <v>6099</v>
      </c>
      <c r="AJ26" s="68">
        <v>6100</v>
      </c>
      <c r="AK26" s="68">
        <v>6489</v>
      </c>
      <c r="AL26" s="68">
        <v>10781</v>
      </c>
      <c r="AM26" s="68">
        <v>12775</v>
      </c>
      <c r="AN26" s="68">
        <v>15282</v>
      </c>
      <c r="AO26" s="68">
        <v>17243</v>
      </c>
      <c r="AP26" s="68">
        <v>9193</v>
      </c>
      <c r="AQ26" s="68">
        <v>21917</v>
      </c>
      <c r="AR26" s="68">
        <v>17714</v>
      </c>
      <c r="AS26" s="68"/>
      <c r="AT26" s="68">
        <v>14443</v>
      </c>
      <c r="AU26" s="68">
        <v>12930</v>
      </c>
      <c r="AV26" s="68">
        <v>11909</v>
      </c>
      <c r="AW26" s="89">
        <v>1051</v>
      </c>
      <c r="AX26" s="68">
        <v>1379</v>
      </c>
      <c r="AY26" s="68">
        <v>1419</v>
      </c>
      <c r="AZ26" s="68">
        <v>1663</v>
      </c>
      <c r="BA26" s="68">
        <v>1910</v>
      </c>
      <c r="BB26" s="68">
        <v>2139</v>
      </c>
      <c r="BC26" s="68">
        <v>2300</v>
      </c>
      <c r="BD26" s="68">
        <v>2397</v>
      </c>
      <c r="BE26" s="68">
        <v>2407</v>
      </c>
      <c r="BF26" s="68">
        <v>2482</v>
      </c>
      <c r="BG26" s="68">
        <v>2700</v>
      </c>
      <c r="BH26" s="68">
        <v>2807</v>
      </c>
      <c r="BI26" s="68">
        <v>3237</v>
      </c>
      <c r="BJ26" s="68">
        <v>2995</v>
      </c>
      <c r="BK26" s="68">
        <v>2989</v>
      </c>
      <c r="BL26" s="68">
        <v>3167</v>
      </c>
      <c r="BM26" s="68">
        <v>2741</v>
      </c>
      <c r="BN26" s="68">
        <v>2661</v>
      </c>
      <c r="BO26" s="68">
        <v>2917</v>
      </c>
      <c r="BP26" s="68">
        <v>3119</v>
      </c>
      <c r="BQ26" s="68">
        <v>3074</v>
      </c>
      <c r="BR26" s="68">
        <v>3567</v>
      </c>
      <c r="BS26" s="68">
        <v>3662</v>
      </c>
      <c r="BT26" s="68">
        <v>3821</v>
      </c>
      <c r="BU26" s="68">
        <v>3928</v>
      </c>
      <c r="BV26" s="68">
        <v>4754</v>
      </c>
      <c r="BW26" s="68">
        <v>5153</v>
      </c>
      <c r="BX26" s="68">
        <v>5174</v>
      </c>
      <c r="BY26" s="68">
        <v>5998</v>
      </c>
      <c r="BZ26" s="68">
        <v>5759</v>
      </c>
      <c r="CA26" s="68">
        <v>6452</v>
      </c>
      <c r="CB26" s="68">
        <v>6457</v>
      </c>
      <c r="CC26" s="68">
        <v>6850</v>
      </c>
      <c r="CD26" s="68">
        <v>7909</v>
      </c>
      <c r="CE26" s="68">
        <v>9047</v>
      </c>
      <c r="CF26" s="68">
        <v>9343</v>
      </c>
      <c r="CG26" s="68">
        <v>14999</v>
      </c>
      <c r="CH26" s="68">
        <v>20550</v>
      </c>
      <c r="CI26" s="68">
        <v>26688</v>
      </c>
      <c r="CJ26" s="68">
        <v>32786</v>
      </c>
      <c r="CK26" s="31">
        <v>10823</v>
      </c>
      <c r="CL26" s="1">
        <v>41013</v>
      </c>
      <c r="CM26" s="1">
        <v>31003</v>
      </c>
      <c r="CO26" s="1">
        <v>22738</v>
      </c>
      <c r="CP26" s="1">
        <v>19848</v>
      </c>
      <c r="CQ26" s="1">
        <v>17320</v>
      </c>
    </row>
    <row r="27" spans="1:95">
      <c r="A27" s="64" t="s">
        <v>114</v>
      </c>
      <c r="B27" s="69">
        <v>36534</v>
      </c>
      <c r="C27" s="68">
        <v>39940</v>
      </c>
      <c r="D27" s="68">
        <v>38389</v>
      </c>
      <c r="E27" s="68">
        <v>38682</v>
      </c>
      <c r="F27" s="68">
        <v>38184</v>
      </c>
      <c r="G27" s="68">
        <v>39207</v>
      </c>
      <c r="H27" s="68">
        <v>37350</v>
      </c>
      <c r="I27" s="68">
        <v>33539</v>
      </c>
      <c r="J27" s="68">
        <v>28718</v>
      </c>
      <c r="K27" s="68">
        <v>27382</v>
      </c>
      <c r="L27" s="68">
        <v>26789</v>
      </c>
      <c r="M27" s="68">
        <v>26429</v>
      </c>
      <c r="N27" s="68">
        <v>25596</v>
      </c>
      <c r="O27" s="68">
        <v>24225</v>
      </c>
      <c r="P27" s="68">
        <v>24599</v>
      </c>
      <c r="Q27" s="68">
        <v>20425</v>
      </c>
      <c r="R27" s="68">
        <v>20425</v>
      </c>
      <c r="S27" s="68">
        <v>20420</v>
      </c>
      <c r="T27" s="68">
        <v>20244</v>
      </c>
      <c r="U27" s="68">
        <v>20351</v>
      </c>
      <c r="V27" s="68">
        <v>19885</v>
      </c>
      <c r="W27" s="68">
        <v>22382</v>
      </c>
      <c r="X27" s="68">
        <v>21818</v>
      </c>
      <c r="Y27" s="68">
        <v>22959</v>
      </c>
      <c r="Z27" s="68">
        <v>22872</v>
      </c>
      <c r="AA27" s="68">
        <v>24360</v>
      </c>
      <c r="AB27" s="68">
        <v>25771</v>
      </c>
      <c r="AC27" s="68">
        <v>27862</v>
      </c>
      <c r="AD27" s="68">
        <v>28833</v>
      </c>
      <c r="AE27" s="68">
        <v>30476</v>
      </c>
      <c r="AF27" s="68">
        <v>31080</v>
      </c>
      <c r="AG27" s="68">
        <v>30912</v>
      </c>
      <c r="AH27" s="68">
        <v>32905</v>
      </c>
      <c r="AI27" s="68">
        <v>33914</v>
      </c>
      <c r="AJ27" s="68">
        <v>33968</v>
      </c>
      <c r="AK27" s="68">
        <v>34963</v>
      </c>
      <c r="AL27" s="68">
        <v>36206</v>
      </c>
      <c r="AM27" s="68">
        <v>36589</v>
      </c>
      <c r="AN27" s="68">
        <v>37560</v>
      </c>
      <c r="AO27" s="68">
        <v>39211</v>
      </c>
      <c r="AP27" s="68">
        <v>41270</v>
      </c>
      <c r="AQ27" s="68">
        <v>44856</v>
      </c>
      <c r="AR27" s="68">
        <v>47613</v>
      </c>
      <c r="AS27" s="68"/>
      <c r="AT27" s="68">
        <v>53322</v>
      </c>
      <c r="AU27" s="68">
        <v>56779</v>
      </c>
      <c r="AV27" s="68">
        <v>59742</v>
      </c>
      <c r="AW27" s="89">
        <v>24590</v>
      </c>
      <c r="AX27" s="68">
        <v>26767</v>
      </c>
      <c r="AY27" s="68">
        <v>27834</v>
      </c>
      <c r="AZ27" s="68">
        <v>29021</v>
      </c>
      <c r="BA27" s="68">
        <v>30651</v>
      </c>
      <c r="BB27" s="68">
        <v>31148</v>
      </c>
      <c r="BC27" s="68">
        <v>32826</v>
      </c>
      <c r="BD27" s="68">
        <v>33223</v>
      </c>
      <c r="BE27" s="68">
        <v>31339</v>
      </c>
      <c r="BF27" s="68">
        <v>31510</v>
      </c>
      <c r="BG27" s="68">
        <v>32701</v>
      </c>
      <c r="BH27" s="68">
        <v>32817</v>
      </c>
      <c r="BI27" s="68">
        <v>31598</v>
      </c>
      <c r="BJ27" s="68">
        <v>30422</v>
      </c>
      <c r="BK27" s="68">
        <v>30582</v>
      </c>
      <c r="BL27" s="68">
        <v>27042</v>
      </c>
      <c r="BM27" s="68">
        <v>26304</v>
      </c>
      <c r="BN27" s="68">
        <v>27259</v>
      </c>
      <c r="BO27" s="68">
        <v>27667</v>
      </c>
      <c r="BP27" s="68">
        <v>28468</v>
      </c>
      <c r="BQ27" s="68">
        <v>34561</v>
      </c>
      <c r="BR27" s="68">
        <v>31190</v>
      </c>
      <c r="BS27" s="68">
        <v>31729</v>
      </c>
      <c r="BT27" s="68">
        <v>33545</v>
      </c>
      <c r="BU27" s="68">
        <v>36143</v>
      </c>
      <c r="BV27" s="68">
        <v>39211</v>
      </c>
      <c r="BW27" s="68">
        <v>43411</v>
      </c>
      <c r="BX27" s="68">
        <v>43197</v>
      </c>
      <c r="BY27" s="68">
        <v>46950</v>
      </c>
      <c r="BZ27" s="68">
        <v>47280</v>
      </c>
      <c r="CA27" s="68">
        <v>48556</v>
      </c>
      <c r="CB27" s="68">
        <v>51304</v>
      </c>
      <c r="CC27" s="68">
        <v>55403</v>
      </c>
      <c r="CD27" s="68">
        <v>55490</v>
      </c>
      <c r="CE27" s="68">
        <v>57837</v>
      </c>
      <c r="CF27" s="68">
        <v>57764</v>
      </c>
      <c r="CG27" s="68">
        <v>59591</v>
      </c>
      <c r="CH27" s="68">
        <v>60421</v>
      </c>
      <c r="CI27" s="68">
        <v>60951</v>
      </c>
      <c r="CJ27" s="68">
        <v>62380</v>
      </c>
      <c r="CK27" s="31">
        <v>66312</v>
      </c>
      <c r="CL27" s="1">
        <v>69694</v>
      </c>
      <c r="CM27" s="1">
        <v>72751</v>
      </c>
      <c r="CO27" s="1">
        <v>79937</v>
      </c>
      <c r="CP27" s="1">
        <v>86669</v>
      </c>
      <c r="CQ27" s="1">
        <v>91447</v>
      </c>
    </row>
    <row r="28" spans="1:95">
      <c r="A28" s="64" t="s">
        <v>115</v>
      </c>
      <c r="B28" s="69">
        <v>1667</v>
      </c>
      <c r="C28" s="68">
        <v>1789</v>
      </c>
      <c r="D28" s="68">
        <v>1819</v>
      </c>
      <c r="E28" s="68">
        <v>2076</v>
      </c>
      <c r="F28" s="68">
        <v>2043</v>
      </c>
      <c r="G28" s="68">
        <v>2407</v>
      </c>
      <c r="H28" s="68">
        <v>2621</v>
      </c>
      <c r="I28" s="68">
        <v>2926</v>
      </c>
      <c r="J28" s="68">
        <v>2753</v>
      </c>
      <c r="K28" s="68">
        <v>2381</v>
      </c>
      <c r="L28" s="68">
        <v>2483</v>
      </c>
      <c r="M28" s="68">
        <v>2417</v>
      </c>
      <c r="N28" s="68">
        <v>2873</v>
      </c>
      <c r="O28" s="68">
        <v>2750</v>
      </c>
      <c r="P28" s="68">
        <v>2737</v>
      </c>
      <c r="Q28" s="68">
        <v>2776</v>
      </c>
      <c r="R28" s="68">
        <v>2776</v>
      </c>
      <c r="S28" s="68">
        <v>3011</v>
      </c>
      <c r="T28" s="68">
        <v>2988</v>
      </c>
      <c r="U28" s="68">
        <v>2838</v>
      </c>
      <c r="V28" s="68">
        <v>3048</v>
      </c>
      <c r="W28" s="68">
        <v>2768</v>
      </c>
      <c r="X28" s="68">
        <v>2846</v>
      </c>
      <c r="Y28" s="68">
        <v>2708</v>
      </c>
      <c r="Z28" s="68">
        <v>2864</v>
      </c>
      <c r="AA28" s="68">
        <v>2967</v>
      </c>
      <c r="AB28" s="68">
        <v>3537</v>
      </c>
      <c r="AC28" s="68">
        <v>3391</v>
      </c>
      <c r="AD28" s="68">
        <v>3345</v>
      </c>
      <c r="AE28" s="68">
        <v>3355</v>
      </c>
      <c r="AF28" s="68">
        <v>3401</v>
      </c>
      <c r="AG28" s="68">
        <v>3429</v>
      </c>
      <c r="AH28" s="68">
        <v>3447</v>
      </c>
      <c r="AI28" s="68">
        <v>3905</v>
      </c>
      <c r="AJ28" s="68">
        <v>3911</v>
      </c>
      <c r="AK28" s="68">
        <v>3823</v>
      </c>
      <c r="AL28" s="68">
        <v>3593</v>
      </c>
      <c r="AM28" s="68">
        <v>4261</v>
      </c>
      <c r="AN28" s="68">
        <v>5801</v>
      </c>
      <c r="AO28" s="68">
        <v>5405</v>
      </c>
      <c r="AP28" s="68">
        <v>4681</v>
      </c>
      <c r="AQ28" s="68">
        <v>5033</v>
      </c>
      <c r="AR28" s="68">
        <v>5628</v>
      </c>
      <c r="AS28" s="68"/>
      <c r="AT28" s="68">
        <v>5228</v>
      </c>
      <c r="AU28" s="68">
        <v>5651</v>
      </c>
      <c r="AV28" s="68">
        <v>5439</v>
      </c>
      <c r="AW28" s="89">
        <v>964</v>
      </c>
      <c r="AX28" s="68">
        <v>1236</v>
      </c>
      <c r="AY28" s="68">
        <v>1325</v>
      </c>
      <c r="AZ28" s="68">
        <v>1443</v>
      </c>
      <c r="BA28" s="68">
        <v>1471</v>
      </c>
      <c r="BB28" s="68">
        <v>1501</v>
      </c>
      <c r="BC28" s="68">
        <v>1717</v>
      </c>
      <c r="BD28" s="68">
        <v>1894</v>
      </c>
      <c r="BE28" s="68">
        <v>1899</v>
      </c>
      <c r="BF28" s="68">
        <v>2069</v>
      </c>
      <c r="BG28" s="68">
        <v>2000</v>
      </c>
      <c r="BH28" s="68">
        <v>2199</v>
      </c>
      <c r="BI28" s="68">
        <v>2428</v>
      </c>
      <c r="BJ28" s="68">
        <v>2521</v>
      </c>
      <c r="BK28" s="68">
        <v>2498</v>
      </c>
      <c r="BL28" s="68">
        <v>2506</v>
      </c>
      <c r="BM28" s="68">
        <v>2745</v>
      </c>
      <c r="BN28" s="68">
        <v>2837</v>
      </c>
      <c r="BO28" s="68">
        <v>3105</v>
      </c>
      <c r="BP28" s="68">
        <v>3096</v>
      </c>
      <c r="BQ28" s="68">
        <v>3395</v>
      </c>
      <c r="BR28" s="68">
        <v>3455</v>
      </c>
      <c r="BS28" s="68">
        <v>3586</v>
      </c>
      <c r="BT28" s="68">
        <v>3882</v>
      </c>
      <c r="BU28" s="68">
        <v>4017</v>
      </c>
      <c r="BV28" s="68">
        <v>5100</v>
      </c>
      <c r="BW28" s="68">
        <v>4665</v>
      </c>
      <c r="BX28" s="68">
        <v>4478</v>
      </c>
      <c r="BY28" s="68">
        <v>4582</v>
      </c>
      <c r="BZ28" s="68">
        <v>4319</v>
      </c>
      <c r="CA28" s="68">
        <v>4553</v>
      </c>
      <c r="CB28" s="68">
        <v>4629</v>
      </c>
      <c r="CC28" s="68">
        <v>5145</v>
      </c>
      <c r="CD28" s="68">
        <v>5889</v>
      </c>
      <c r="CE28" s="68">
        <v>5859</v>
      </c>
      <c r="CF28" s="68">
        <v>5822</v>
      </c>
      <c r="CG28" s="68">
        <v>5406</v>
      </c>
      <c r="CH28" s="68">
        <v>6958</v>
      </c>
      <c r="CI28" s="68">
        <v>8747</v>
      </c>
      <c r="CJ28" s="68">
        <v>9147</v>
      </c>
      <c r="CK28" s="31">
        <v>6758</v>
      </c>
      <c r="CL28" s="1">
        <v>7296</v>
      </c>
      <c r="CM28" s="1">
        <v>7577</v>
      </c>
      <c r="CO28" s="1">
        <v>7161</v>
      </c>
      <c r="CP28" s="1">
        <v>8368</v>
      </c>
      <c r="CQ28" s="1">
        <v>8076</v>
      </c>
    </row>
    <row r="29" spans="1:95">
      <c r="A29" s="64" t="s">
        <v>117</v>
      </c>
      <c r="B29" s="69">
        <v>521</v>
      </c>
      <c r="C29" s="68">
        <v>654</v>
      </c>
      <c r="D29" s="68">
        <v>686</v>
      </c>
      <c r="E29" s="68">
        <v>827</v>
      </c>
      <c r="F29" s="68">
        <v>902</v>
      </c>
      <c r="G29" s="68">
        <v>989</v>
      </c>
      <c r="H29" s="68">
        <v>1051</v>
      </c>
      <c r="I29" s="68">
        <v>1252</v>
      </c>
      <c r="J29" s="68">
        <v>1331</v>
      </c>
      <c r="K29" s="68">
        <v>1165</v>
      </c>
      <c r="L29" s="68">
        <v>1135</v>
      </c>
      <c r="M29" s="68">
        <v>1232</v>
      </c>
      <c r="N29" s="68">
        <v>1330</v>
      </c>
      <c r="O29" s="68">
        <v>1313</v>
      </c>
      <c r="P29" s="68">
        <v>1241</v>
      </c>
      <c r="Q29" s="68">
        <v>1267</v>
      </c>
      <c r="R29" s="68">
        <v>1267</v>
      </c>
      <c r="S29" s="68">
        <v>1173</v>
      </c>
      <c r="T29" s="68">
        <v>1136</v>
      </c>
      <c r="U29" s="68">
        <v>995</v>
      </c>
      <c r="V29" s="68">
        <v>1005</v>
      </c>
      <c r="W29" s="68">
        <v>1001</v>
      </c>
      <c r="X29" s="68">
        <v>1116</v>
      </c>
      <c r="Y29" s="68">
        <v>1095</v>
      </c>
      <c r="Z29" s="68">
        <v>1036</v>
      </c>
      <c r="AA29" s="68">
        <v>1053</v>
      </c>
      <c r="AB29" s="68">
        <v>1163</v>
      </c>
      <c r="AC29" s="68">
        <v>1288</v>
      </c>
      <c r="AD29" s="68">
        <v>1548</v>
      </c>
      <c r="AE29" s="68">
        <v>1517</v>
      </c>
      <c r="AF29" s="68">
        <v>1489</v>
      </c>
      <c r="AG29" s="68">
        <v>1544</v>
      </c>
      <c r="AH29" s="68">
        <v>1477</v>
      </c>
      <c r="AI29" s="68">
        <v>1574</v>
      </c>
      <c r="AJ29" s="68">
        <v>1574</v>
      </c>
      <c r="AK29" s="68">
        <v>1323</v>
      </c>
      <c r="AL29" s="68">
        <v>1346</v>
      </c>
      <c r="AM29" s="68">
        <v>1312</v>
      </c>
      <c r="AN29" s="68">
        <v>1342</v>
      </c>
      <c r="AO29" s="68">
        <v>1330</v>
      </c>
      <c r="AP29" s="68">
        <v>1558</v>
      </c>
      <c r="AQ29" s="68">
        <v>1723</v>
      </c>
      <c r="AR29" s="68">
        <v>1828</v>
      </c>
      <c r="AS29" s="68"/>
      <c r="AT29" s="68">
        <v>1823</v>
      </c>
      <c r="AU29" s="68">
        <v>2004</v>
      </c>
      <c r="AV29" s="68">
        <v>1895</v>
      </c>
      <c r="AW29" s="89">
        <v>446</v>
      </c>
      <c r="AX29" s="68">
        <v>516</v>
      </c>
      <c r="AY29" s="68">
        <v>562</v>
      </c>
      <c r="AZ29" s="68">
        <v>600</v>
      </c>
      <c r="BA29" s="68">
        <v>747</v>
      </c>
      <c r="BB29" s="68">
        <v>874</v>
      </c>
      <c r="BC29" s="68">
        <v>925</v>
      </c>
      <c r="BD29" s="68">
        <v>981</v>
      </c>
      <c r="BE29" s="68">
        <v>1000</v>
      </c>
      <c r="BF29" s="68">
        <v>994</v>
      </c>
      <c r="BG29" s="68">
        <v>1005</v>
      </c>
      <c r="BH29" s="68">
        <v>1087</v>
      </c>
      <c r="BI29" s="68">
        <v>1114</v>
      </c>
      <c r="BJ29" s="68">
        <v>1191</v>
      </c>
      <c r="BK29" s="68">
        <v>1073</v>
      </c>
      <c r="BL29" s="68">
        <v>1156</v>
      </c>
      <c r="BM29" s="68">
        <v>1177</v>
      </c>
      <c r="BN29" s="68">
        <v>1173</v>
      </c>
      <c r="BO29" s="68">
        <v>1125</v>
      </c>
      <c r="BP29" s="68">
        <v>1242</v>
      </c>
      <c r="BQ29" s="68">
        <v>1316</v>
      </c>
      <c r="BR29" s="68">
        <v>1350</v>
      </c>
      <c r="BS29" s="68">
        <v>1420</v>
      </c>
      <c r="BT29" s="68">
        <v>1355</v>
      </c>
      <c r="BU29" s="68">
        <v>1334</v>
      </c>
      <c r="BV29" s="68">
        <v>1525</v>
      </c>
      <c r="BW29" s="68">
        <v>1784</v>
      </c>
      <c r="BX29" s="68">
        <v>1911</v>
      </c>
      <c r="BY29" s="68">
        <v>1941</v>
      </c>
      <c r="BZ29" s="68">
        <v>1777</v>
      </c>
      <c r="CA29" s="68">
        <v>1771</v>
      </c>
      <c r="CB29" s="68">
        <v>1832</v>
      </c>
      <c r="CC29" s="68">
        <v>1985</v>
      </c>
      <c r="CD29" s="68">
        <v>2080</v>
      </c>
      <c r="CE29" s="68">
        <v>2000</v>
      </c>
      <c r="CF29" s="68">
        <v>1881</v>
      </c>
      <c r="CG29" s="68">
        <v>1908</v>
      </c>
      <c r="CH29" s="68">
        <v>1816</v>
      </c>
      <c r="CI29" s="68">
        <v>1879</v>
      </c>
      <c r="CJ29" s="68">
        <v>1904</v>
      </c>
      <c r="CK29" s="31">
        <v>2208</v>
      </c>
      <c r="CL29" s="1">
        <v>2476</v>
      </c>
      <c r="CM29" s="1">
        <v>2574</v>
      </c>
      <c r="CO29" s="1">
        <v>2606</v>
      </c>
      <c r="CP29" s="1">
        <v>2567</v>
      </c>
      <c r="CQ29" s="1">
        <v>2557</v>
      </c>
    </row>
    <row r="30" spans="1:95">
      <c r="A30" s="64" t="s">
        <v>119</v>
      </c>
      <c r="B30" s="69">
        <v>916</v>
      </c>
      <c r="C30" s="68">
        <v>712</v>
      </c>
      <c r="D30" s="68">
        <v>513</v>
      </c>
      <c r="E30" s="68">
        <v>510</v>
      </c>
      <c r="F30" s="68">
        <v>619</v>
      </c>
      <c r="G30" s="68">
        <v>576</v>
      </c>
      <c r="H30" s="68">
        <v>578</v>
      </c>
      <c r="I30" s="68">
        <v>503</v>
      </c>
      <c r="J30" s="68">
        <v>644</v>
      </c>
      <c r="K30" s="68">
        <v>770</v>
      </c>
      <c r="L30" s="68">
        <v>792</v>
      </c>
      <c r="M30" s="68">
        <v>830</v>
      </c>
      <c r="N30" s="68">
        <v>1136</v>
      </c>
      <c r="O30" s="68">
        <v>1150</v>
      </c>
      <c r="P30" s="68">
        <v>1197</v>
      </c>
      <c r="Q30" s="68">
        <v>1022</v>
      </c>
      <c r="R30" s="68">
        <v>1022</v>
      </c>
      <c r="S30" s="68">
        <v>953</v>
      </c>
      <c r="T30" s="68">
        <v>1125</v>
      </c>
      <c r="U30" s="68">
        <v>1089</v>
      </c>
      <c r="V30" s="68">
        <v>1260</v>
      </c>
      <c r="W30" s="68">
        <v>1250</v>
      </c>
      <c r="X30" s="68">
        <v>1327</v>
      </c>
      <c r="Y30" s="68">
        <v>1407</v>
      </c>
      <c r="Z30" s="68">
        <v>1659</v>
      </c>
      <c r="AA30" s="68">
        <v>1581</v>
      </c>
      <c r="AB30" s="68">
        <v>1616</v>
      </c>
      <c r="AC30" s="68">
        <v>1721</v>
      </c>
      <c r="AD30" s="68">
        <v>2114</v>
      </c>
      <c r="AE30" s="68">
        <v>2215</v>
      </c>
      <c r="AF30" s="68">
        <v>2095</v>
      </c>
      <c r="AG30" s="68">
        <v>2021</v>
      </c>
      <c r="AH30" s="68">
        <v>1836</v>
      </c>
      <c r="AI30" s="68">
        <v>1222</v>
      </c>
      <c r="AJ30" s="68">
        <v>1222</v>
      </c>
      <c r="AK30" s="68">
        <v>974</v>
      </c>
      <c r="AL30" s="68">
        <v>999</v>
      </c>
      <c r="AM30" s="68">
        <v>944</v>
      </c>
      <c r="AN30" s="68">
        <v>1122</v>
      </c>
      <c r="AO30" s="68">
        <v>1199</v>
      </c>
      <c r="AP30" s="68">
        <v>1394</v>
      </c>
      <c r="AQ30" s="68">
        <v>1853</v>
      </c>
      <c r="AR30" s="68">
        <v>2164</v>
      </c>
      <c r="AS30" s="68"/>
      <c r="AT30" s="68">
        <v>1787</v>
      </c>
      <c r="AU30" s="68">
        <v>1965</v>
      </c>
      <c r="AV30" s="68">
        <v>1852</v>
      </c>
      <c r="AW30" s="89">
        <v>1202</v>
      </c>
      <c r="AX30" s="68">
        <v>886</v>
      </c>
      <c r="AY30" s="68">
        <v>711</v>
      </c>
      <c r="AZ30" s="68">
        <v>845</v>
      </c>
      <c r="BA30" s="68">
        <v>899</v>
      </c>
      <c r="BB30" s="68">
        <v>958</v>
      </c>
      <c r="BC30" s="68">
        <v>1038</v>
      </c>
      <c r="BD30" s="68">
        <v>980</v>
      </c>
      <c r="BE30" s="68">
        <v>1174</v>
      </c>
      <c r="BF30" s="68">
        <v>1141</v>
      </c>
      <c r="BG30" s="68">
        <v>1223</v>
      </c>
      <c r="BH30" s="68">
        <v>1172</v>
      </c>
      <c r="BI30" s="68">
        <v>1355</v>
      </c>
      <c r="BJ30" s="68">
        <v>1429</v>
      </c>
      <c r="BK30" s="68">
        <v>1226</v>
      </c>
      <c r="BL30" s="68">
        <v>1269</v>
      </c>
      <c r="BM30" s="68">
        <v>1344</v>
      </c>
      <c r="BN30" s="68">
        <v>1475</v>
      </c>
      <c r="BO30" s="68">
        <v>1500</v>
      </c>
      <c r="BP30" s="68">
        <v>1719</v>
      </c>
      <c r="BQ30" s="68">
        <v>1867</v>
      </c>
      <c r="BR30" s="68">
        <v>1916</v>
      </c>
      <c r="BS30" s="68">
        <v>2137</v>
      </c>
      <c r="BT30" s="68">
        <v>2409</v>
      </c>
      <c r="BU30" s="68">
        <v>2600</v>
      </c>
      <c r="BV30" s="68">
        <v>2652</v>
      </c>
      <c r="BW30" s="68">
        <v>2567</v>
      </c>
      <c r="BX30" s="68">
        <v>2979</v>
      </c>
      <c r="BY30" s="68">
        <v>3179</v>
      </c>
      <c r="BZ30" s="68">
        <v>2945</v>
      </c>
      <c r="CA30" s="68">
        <v>2995</v>
      </c>
      <c r="CB30" s="68">
        <v>2747</v>
      </c>
      <c r="CC30" s="68">
        <v>2325</v>
      </c>
      <c r="CD30" s="68">
        <v>2051</v>
      </c>
      <c r="CE30" s="68">
        <v>2024</v>
      </c>
      <c r="CF30" s="68">
        <v>2091</v>
      </c>
      <c r="CG30" s="68">
        <v>1946</v>
      </c>
      <c r="CH30" s="68">
        <v>1980</v>
      </c>
      <c r="CI30" s="68">
        <v>2237</v>
      </c>
      <c r="CJ30" s="68">
        <v>2291</v>
      </c>
      <c r="CK30" s="31">
        <v>2525</v>
      </c>
      <c r="CL30" s="1">
        <v>3087</v>
      </c>
      <c r="CM30" s="1">
        <v>3598</v>
      </c>
      <c r="CO30" s="1">
        <v>3365</v>
      </c>
      <c r="CP30" s="1">
        <v>3623</v>
      </c>
      <c r="CQ30" s="1">
        <v>3458</v>
      </c>
    </row>
    <row r="31" spans="1:95">
      <c r="A31" s="64" t="s">
        <v>128</v>
      </c>
      <c r="B31" s="69">
        <v>131</v>
      </c>
      <c r="C31" s="68">
        <v>136</v>
      </c>
      <c r="D31" s="68">
        <v>206</v>
      </c>
      <c r="E31" s="68">
        <v>188</v>
      </c>
      <c r="F31" s="68">
        <v>184</v>
      </c>
      <c r="G31" s="68">
        <v>273</v>
      </c>
      <c r="H31" s="68">
        <v>232</v>
      </c>
      <c r="I31" s="68">
        <v>241</v>
      </c>
      <c r="J31" s="68">
        <v>222</v>
      </c>
      <c r="K31" s="68">
        <v>187</v>
      </c>
      <c r="L31" s="68">
        <v>253</v>
      </c>
      <c r="M31" s="68">
        <v>309</v>
      </c>
      <c r="N31" s="68">
        <v>319</v>
      </c>
      <c r="O31" s="68">
        <v>310</v>
      </c>
      <c r="P31" s="68">
        <v>314</v>
      </c>
      <c r="Q31" s="68">
        <v>265</v>
      </c>
      <c r="R31" s="68">
        <v>265</v>
      </c>
      <c r="S31" s="68">
        <v>286</v>
      </c>
      <c r="T31" s="68">
        <v>298</v>
      </c>
      <c r="U31" s="68">
        <v>246</v>
      </c>
      <c r="V31" s="68">
        <v>248</v>
      </c>
      <c r="W31" s="68">
        <v>286</v>
      </c>
      <c r="X31" s="68">
        <v>274</v>
      </c>
      <c r="Y31" s="68">
        <v>231</v>
      </c>
      <c r="Z31" s="68">
        <v>318</v>
      </c>
      <c r="AA31" s="68">
        <v>501</v>
      </c>
      <c r="AB31" s="68">
        <v>450</v>
      </c>
      <c r="AC31" s="68">
        <v>487</v>
      </c>
      <c r="AD31" s="68">
        <v>588</v>
      </c>
      <c r="AE31" s="68">
        <v>579</v>
      </c>
      <c r="AF31" s="68">
        <v>605</v>
      </c>
      <c r="AG31" s="68">
        <v>567</v>
      </c>
      <c r="AH31" s="68">
        <v>584</v>
      </c>
      <c r="AI31" s="68">
        <v>713</v>
      </c>
      <c r="AJ31" s="68">
        <v>713</v>
      </c>
      <c r="AK31" s="68">
        <v>627</v>
      </c>
      <c r="AL31" s="68">
        <v>561</v>
      </c>
      <c r="AM31" s="68">
        <v>634</v>
      </c>
      <c r="AN31" s="68">
        <v>587</v>
      </c>
      <c r="AO31" s="68">
        <v>624</v>
      </c>
      <c r="AP31" s="68">
        <v>804</v>
      </c>
      <c r="AQ31" s="68">
        <v>933</v>
      </c>
      <c r="AR31" s="68">
        <v>882</v>
      </c>
      <c r="AS31" s="68"/>
      <c r="AT31" s="68">
        <v>904</v>
      </c>
      <c r="AU31" s="68">
        <v>900</v>
      </c>
      <c r="AV31" s="68">
        <v>853</v>
      </c>
      <c r="AW31" s="89">
        <v>111</v>
      </c>
      <c r="AX31" s="68">
        <v>100</v>
      </c>
      <c r="AY31" s="68">
        <v>162</v>
      </c>
      <c r="AZ31" s="68">
        <v>216</v>
      </c>
      <c r="BA31" s="68">
        <v>185</v>
      </c>
      <c r="BB31" s="68">
        <v>240</v>
      </c>
      <c r="BC31" s="68">
        <v>219</v>
      </c>
      <c r="BD31" s="68">
        <v>247</v>
      </c>
      <c r="BE31" s="68">
        <v>242</v>
      </c>
      <c r="BF31" s="68">
        <v>238</v>
      </c>
      <c r="BG31" s="68">
        <v>281</v>
      </c>
      <c r="BH31" s="68">
        <v>388</v>
      </c>
      <c r="BI31" s="68">
        <v>396</v>
      </c>
      <c r="BJ31" s="68">
        <v>387</v>
      </c>
      <c r="BK31" s="68">
        <v>405</v>
      </c>
      <c r="BL31" s="68">
        <v>398</v>
      </c>
      <c r="BM31" s="68">
        <v>448</v>
      </c>
      <c r="BN31" s="68">
        <v>416</v>
      </c>
      <c r="BO31" s="68">
        <v>437</v>
      </c>
      <c r="BP31" s="68">
        <v>534</v>
      </c>
      <c r="BQ31" s="68">
        <v>604</v>
      </c>
      <c r="BR31" s="68">
        <v>609</v>
      </c>
      <c r="BS31" s="68">
        <v>570</v>
      </c>
      <c r="BT31" s="68">
        <v>713</v>
      </c>
      <c r="BU31" s="68">
        <v>828</v>
      </c>
      <c r="BV31" s="68">
        <v>882</v>
      </c>
      <c r="BW31" s="68">
        <v>910</v>
      </c>
      <c r="BX31" s="68">
        <v>1060</v>
      </c>
      <c r="BY31" s="68">
        <v>909</v>
      </c>
      <c r="BZ31" s="68">
        <v>957</v>
      </c>
      <c r="CA31" s="68">
        <v>904</v>
      </c>
      <c r="CB31" s="68">
        <v>944</v>
      </c>
      <c r="CC31" s="68">
        <v>1020</v>
      </c>
      <c r="CD31" s="68">
        <v>1098</v>
      </c>
      <c r="CE31" s="68">
        <v>1143</v>
      </c>
      <c r="CF31" s="68">
        <v>1149</v>
      </c>
      <c r="CG31" s="68">
        <v>1037</v>
      </c>
      <c r="CH31" s="68">
        <v>967</v>
      </c>
      <c r="CI31" s="68">
        <v>1043</v>
      </c>
      <c r="CJ31" s="68">
        <v>1121</v>
      </c>
      <c r="CK31" s="31">
        <v>1254</v>
      </c>
      <c r="CL31" s="1">
        <v>1431</v>
      </c>
      <c r="CM31" s="1">
        <v>1414</v>
      </c>
      <c r="CO31" s="1">
        <v>1573</v>
      </c>
      <c r="CP31" s="1">
        <v>1439</v>
      </c>
      <c r="CQ31" s="1">
        <v>1391</v>
      </c>
    </row>
    <row r="32" spans="1:95">
      <c r="A32" s="64" t="s">
        <v>135</v>
      </c>
      <c r="B32" s="69">
        <v>75</v>
      </c>
      <c r="C32" s="68">
        <v>96</v>
      </c>
      <c r="D32" s="68">
        <v>119</v>
      </c>
      <c r="E32" s="68">
        <v>205</v>
      </c>
      <c r="F32" s="68">
        <v>229</v>
      </c>
      <c r="G32" s="68">
        <v>344</v>
      </c>
      <c r="H32" s="68">
        <v>325</v>
      </c>
      <c r="I32" s="68">
        <v>408</v>
      </c>
      <c r="J32" s="68">
        <v>441</v>
      </c>
      <c r="K32" s="68">
        <v>324</v>
      </c>
      <c r="L32" s="68">
        <v>351</v>
      </c>
      <c r="M32" s="68">
        <v>379</v>
      </c>
      <c r="N32" s="68">
        <v>461</v>
      </c>
      <c r="O32" s="68">
        <v>520</v>
      </c>
      <c r="P32" s="68">
        <v>437</v>
      </c>
      <c r="Q32" s="68">
        <v>403</v>
      </c>
      <c r="R32" s="68">
        <v>403</v>
      </c>
      <c r="S32" s="68">
        <v>396</v>
      </c>
      <c r="T32" s="68">
        <v>351</v>
      </c>
      <c r="U32" s="68">
        <v>343</v>
      </c>
      <c r="V32" s="68">
        <v>400</v>
      </c>
      <c r="W32" s="68">
        <v>367</v>
      </c>
      <c r="X32" s="68">
        <v>467</v>
      </c>
      <c r="Y32" s="68">
        <v>523</v>
      </c>
      <c r="Z32" s="68">
        <v>493</v>
      </c>
      <c r="AA32" s="68">
        <v>534</v>
      </c>
      <c r="AB32" s="68">
        <v>534</v>
      </c>
      <c r="AC32" s="68">
        <v>629</v>
      </c>
      <c r="AD32" s="68">
        <v>564</v>
      </c>
      <c r="AE32" s="68">
        <v>617</v>
      </c>
      <c r="AF32" s="68">
        <v>746</v>
      </c>
      <c r="AG32" s="68">
        <v>843</v>
      </c>
      <c r="AH32" s="68">
        <v>889</v>
      </c>
      <c r="AI32" s="68">
        <v>1052</v>
      </c>
      <c r="AJ32" s="68">
        <v>1052</v>
      </c>
      <c r="AK32" s="68">
        <v>1409</v>
      </c>
      <c r="AL32" s="68">
        <v>1419</v>
      </c>
      <c r="AM32" s="68">
        <v>1304</v>
      </c>
      <c r="AN32" s="68">
        <v>1497</v>
      </c>
      <c r="AO32" s="68">
        <v>1621</v>
      </c>
      <c r="AP32" s="68">
        <v>1941</v>
      </c>
      <c r="AQ32" s="68">
        <v>2113</v>
      </c>
      <c r="AR32" s="68">
        <v>2180</v>
      </c>
      <c r="AS32" s="68"/>
      <c r="AT32" s="68">
        <v>2476</v>
      </c>
      <c r="AU32" s="68">
        <v>2341</v>
      </c>
      <c r="AV32" s="68">
        <v>2365</v>
      </c>
      <c r="AW32" s="89">
        <v>69</v>
      </c>
      <c r="AX32" s="68">
        <v>95</v>
      </c>
      <c r="AY32" s="68">
        <v>118</v>
      </c>
      <c r="AZ32" s="68">
        <v>152</v>
      </c>
      <c r="BA32" s="68">
        <v>195</v>
      </c>
      <c r="BB32" s="68">
        <v>207</v>
      </c>
      <c r="BC32" s="68">
        <v>214</v>
      </c>
      <c r="BD32" s="68">
        <v>226</v>
      </c>
      <c r="BE32" s="68">
        <v>275</v>
      </c>
      <c r="BF32" s="68">
        <v>258</v>
      </c>
      <c r="BG32" s="68">
        <v>290</v>
      </c>
      <c r="BH32" s="68">
        <v>399</v>
      </c>
      <c r="BI32" s="68">
        <v>450</v>
      </c>
      <c r="BJ32" s="68">
        <v>554</v>
      </c>
      <c r="BK32" s="68">
        <v>490</v>
      </c>
      <c r="BL32" s="68">
        <v>533</v>
      </c>
      <c r="BM32" s="68">
        <v>488</v>
      </c>
      <c r="BN32" s="68">
        <v>506</v>
      </c>
      <c r="BO32" s="68">
        <v>542</v>
      </c>
      <c r="BP32" s="68">
        <v>549</v>
      </c>
      <c r="BQ32" s="68">
        <v>646</v>
      </c>
      <c r="BR32" s="68">
        <v>704</v>
      </c>
      <c r="BS32" s="68">
        <v>788</v>
      </c>
      <c r="BT32" s="68">
        <v>802</v>
      </c>
      <c r="BU32" s="68">
        <v>877</v>
      </c>
      <c r="BV32" s="68">
        <v>891</v>
      </c>
      <c r="BW32" s="68">
        <v>1137</v>
      </c>
      <c r="BX32" s="68">
        <v>1041</v>
      </c>
      <c r="BY32" s="68">
        <v>1236</v>
      </c>
      <c r="BZ32" s="68">
        <v>1242</v>
      </c>
      <c r="CA32" s="68">
        <v>1321</v>
      </c>
      <c r="CB32" s="68">
        <v>1503</v>
      </c>
      <c r="CC32" s="68">
        <v>1509</v>
      </c>
      <c r="CD32" s="68">
        <v>1820</v>
      </c>
      <c r="CE32" s="68">
        <v>1982</v>
      </c>
      <c r="CF32" s="68">
        <v>2293</v>
      </c>
      <c r="CG32" s="68">
        <v>2276</v>
      </c>
      <c r="CH32" s="68">
        <v>2111</v>
      </c>
      <c r="CI32" s="68">
        <v>2173</v>
      </c>
      <c r="CJ32" s="68">
        <v>2315</v>
      </c>
      <c r="CK32" s="31">
        <v>3056</v>
      </c>
      <c r="CL32" s="1">
        <v>3237</v>
      </c>
      <c r="CM32" s="1">
        <v>3193</v>
      </c>
      <c r="CO32" s="1">
        <v>3583</v>
      </c>
      <c r="CP32" s="1">
        <v>3756</v>
      </c>
      <c r="CQ32" s="1">
        <v>3804</v>
      </c>
    </row>
    <row r="33" spans="1:95">
      <c r="A33" s="64" t="s">
        <v>134</v>
      </c>
      <c r="B33" s="69">
        <v>254</v>
      </c>
      <c r="C33" s="68">
        <v>252</v>
      </c>
      <c r="D33" s="68">
        <v>355</v>
      </c>
      <c r="E33" s="68">
        <v>436</v>
      </c>
      <c r="F33" s="68">
        <v>448</v>
      </c>
      <c r="G33" s="68">
        <v>454</v>
      </c>
      <c r="H33" s="68">
        <v>523</v>
      </c>
      <c r="I33" s="68">
        <v>564</v>
      </c>
      <c r="J33" s="68">
        <v>602</v>
      </c>
      <c r="K33" s="68">
        <v>603</v>
      </c>
      <c r="L33" s="68">
        <v>593</v>
      </c>
      <c r="M33" s="68">
        <v>655</v>
      </c>
      <c r="N33" s="68">
        <v>814</v>
      </c>
      <c r="O33" s="68">
        <v>907</v>
      </c>
      <c r="P33" s="68">
        <v>792</v>
      </c>
      <c r="Q33" s="68">
        <v>766</v>
      </c>
      <c r="R33" s="68">
        <v>766</v>
      </c>
      <c r="S33" s="68">
        <v>739</v>
      </c>
      <c r="T33" s="68">
        <v>695</v>
      </c>
      <c r="U33" s="68">
        <v>637</v>
      </c>
      <c r="V33" s="68">
        <v>934</v>
      </c>
      <c r="W33" s="68">
        <v>940</v>
      </c>
      <c r="X33" s="68">
        <v>1130</v>
      </c>
      <c r="Y33" s="68">
        <v>1191</v>
      </c>
      <c r="Z33" s="68">
        <v>1257</v>
      </c>
      <c r="AA33" s="68">
        <v>1181</v>
      </c>
      <c r="AB33" s="68">
        <v>1304</v>
      </c>
      <c r="AC33" s="68">
        <v>1387</v>
      </c>
      <c r="AD33" s="68">
        <v>1264</v>
      </c>
      <c r="AE33" s="68">
        <v>1310</v>
      </c>
      <c r="AF33" s="68">
        <v>1513</v>
      </c>
      <c r="AG33" s="68">
        <v>1785</v>
      </c>
      <c r="AH33" s="68">
        <v>1382</v>
      </c>
      <c r="AI33" s="68">
        <v>1593</v>
      </c>
      <c r="AJ33" s="68">
        <v>1593</v>
      </c>
      <c r="AK33" s="68">
        <v>1679</v>
      </c>
      <c r="AL33" s="68">
        <v>1665</v>
      </c>
      <c r="AM33" s="68">
        <v>1747</v>
      </c>
      <c r="AN33" s="68">
        <v>1721</v>
      </c>
      <c r="AO33" s="68">
        <v>1872</v>
      </c>
      <c r="AP33" s="68">
        <v>2417</v>
      </c>
      <c r="AQ33" s="68">
        <v>2933</v>
      </c>
      <c r="AR33" s="68">
        <v>3120</v>
      </c>
      <c r="AS33" s="68"/>
      <c r="AT33" s="68">
        <v>3826</v>
      </c>
      <c r="AU33" s="68">
        <v>3489</v>
      </c>
      <c r="AV33" s="68">
        <v>3770</v>
      </c>
      <c r="AW33" s="89">
        <v>194</v>
      </c>
      <c r="AX33" s="68">
        <v>230</v>
      </c>
      <c r="AY33" s="68">
        <v>385</v>
      </c>
      <c r="AZ33" s="68">
        <v>416</v>
      </c>
      <c r="BA33" s="68">
        <v>433</v>
      </c>
      <c r="BB33" s="68">
        <v>496</v>
      </c>
      <c r="BC33" s="68">
        <v>526</v>
      </c>
      <c r="BD33" s="68">
        <v>691</v>
      </c>
      <c r="BE33" s="68">
        <v>657</v>
      </c>
      <c r="BF33" s="68">
        <v>783</v>
      </c>
      <c r="BG33" s="68">
        <v>754</v>
      </c>
      <c r="BH33" s="68">
        <v>823</v>
      </c>
      <c r="BI33" s="68">
        <v>858</v>
      </c>
      <c r="BJ33" s="68">
        <v>975</v>
      </c>
      <c r="BK33" s="68">
        <v>951</v>
      </c>
      <c r="BL33" s="68">
        <v>1013</v>
      </c>
      <c r="BM33" s="68">
        <v>1027</v>
      </c>
      <c r="BN33" s="68">
        <v>1065</v>
      </c>
      <c r="BO33" s="68">
        <v>1061</v>
      </c>
      <c r="BP33" s="68">
        <v>1521</v>
      </c>
      <c r="BQ33" s="68">
        <v>1539</v>
      </c>
      <c r="BR33" s="68">
        <v>1744</v>
      </c>
      <c r="BS33" s="68">
        <v>1816</v>
      </c>
      <c r="BT33" s="68">
        <v>1808</v>
      </c>
      <c r="BU33" s="68">
        <v>2096</v>
      </c>
      <c r="BV33" s="68">
        <v>2172</v>
      </c>
      <c r="BW33" s="68">
        <v>2256</v>
      </c>
      <c r="BX33" s="68">
        <v>2229</v>
      </c>
      <c r="BY33" s="68">
        <v>2277</v>
      </c>
      <c r="BZ33" s="68">
        <v>2270</v>
      </c>
      <c r="CA33" s="68">
        <v>3021</v>
      </c>
      <c r="CB33" s="68">
        <v>2375</v>
      </c>
      <c r="CC33" s="68">
        <v>2476</v>
      </c>
      <c r="CD33" s="68">
        <v>2678</v>
      </c>
      <c r="CE33" s="68">
        <v>3026</v>
      </c>
      <c r="CF33" s="68">
        <v>3232</v>
      </c>
      <c r="CG33" s="68">
        <v>3180</v>
      </c>
      <c r="CH33" s="68">
        <v>3306</v>
      </c>
      <c r="CI33" s="68">
        <v>3337</v>
      </c>
      <c r="CJ33" s="68">
        <v>3247</v>
      </c>
      <c r="CK33" s="31">
        <v>4135</v>
      </c>
      <c r="CL33" s="1">
        <v>4776</v>
      </c>
      <c r="CM33" s="1">
        <v>5821</v>
      </c>
      <c r="CO33" s="1">
        <v>6707</v>
      </c>
      <c r="CP33" s="1">
        <v>5946</v>
      </c>
      <c r="CQ33" s="1">
        <v>6687</v>
      </c>
    </row>
    <row r="34" spans="1:95">
      <c r="A34" s="64" t="s">
        <v>138</v>
      </c>
      <c r="B34" s="69">
        <v>1644</v>
      </c>
      <c r="C34" s="68">
        <v>2073</v>
      </c>
      <c r="D34" s="68">
        <v>2093</v>
      </c>
      <c r="E34" s="68">
        <v>2109</v>
      </c>
      <c r="F34" s="68">
        <v>1944</v>
      </c>
      <c r="G34" s="68">
        <v>2313</v>
      </c>
      <c r="H34" s="68">
        <v>2268</v>
      </c>
      <c r="I34" s="68">
        <v>2420</v>
      </c>
      <c r="J34" s="68">
        <v>2209</v>
      </c>
      <c r="K34" s="68">
        <v>2083</v>
      </c>
      <c r="L34" s="68">
        <v>2177</v>
      </c>
      <c r="M34" s="68">
        <v>2438</v>
      </c>
      <c r="N34" s="68">
        <v>2733</v>
      </c>
      <c r="O34" s="68">
        <v>2767</v>
      </c>
      <c r="P34" s="68">
        <v>2743</v>
      </c>
      <c r="Q34" s="68">
        <v>2570</v>
      </c>
      <c r="R34" s="68">
        <v>2570</v>
      </c>
      <c r="S34" s="68">
        <v>2379</v>
      </c>
      <c r="T34" s="68">
        <v>2381</v>
      </c>
      <c r="U34" s="68">
        <v>2184</v>
      </c>
      <c r="V34" s="68">
        <v>2206</v>
      </c>
      <c r="W34" s="68">
        <v>2207</v>
      </c>
      <c r="X34" s="68">
        <v>2195</v>
      </c>
      <c r="Y34" s="68">
        <v>2546</v>
      </c>
      <c r="Z34" s="68">
        <v>2783</v>
      </c>
      <c r="AA34" s="68">
        <v>2652</v>
      </c>
      <c r="AB34" s="68">
        <v>2422</v>
      </c>
      <c r="AC34" s="68">
        <v>2366</v>
      </c>
      <c r="AD34" s="68">
        <v>2421</v>
      </c>
      <c r="AE34" s="68">
        <v>2353</v>
      </c>
      <c r="AF34" s="68">
        <v>2976</v>
      </c>
      <c r="AG34" s="68">
        <v>2743</v>
      </c>
      <c r="AH34" s="68">
        <v>2947</v>
      </c>
      <c r="AI34" s="68">
        <v>3575</v>
      </c>
      <c r="AJ34" s="68">
        <v>3575</v>
      </c>
      <c r="AK34" s="68">
        <v>3387</v>
      </c>
      <c r="AL34" s="68">
        <v>3296</v>
      </c>
      <c r="AM34" s="68">
        <v>3145</v>
      </c>
      <c r="AN34" s="68">
        <v>3322</v>
      </c>
      <c r="AO34" s="68">
        <v>3687</v>
      </c>
      <c r="AP34" s="68">
        <v>4660</v>
      </c>
      <c r="AQ34" s="68">
        <v>5394</v>
      </c>
      <c r="AR34" s="68">
        <v>6047</v>
      </c>
      <c r="AS34" s="68"/>
      <c r="AT34" s="68">
        <v>5752</v>
      </c>
      <c r="AU34" s="68">
        <v>5468</v>
      </c>
      <c r="AV34" s="68">
        <v>5485</v>
      </c>
      <c r="AW34" s="89">
        <v>676</v>
      </c>
      <c r="AX34" s="68">
        <v>893</v>
      </c>
      <c r="AY34" s="68">
        <v>1068</v>
      </c>
      <c r="AZ34" s="68">
        <v>1160</v>
      </c>
      <c r="BA34" s="68">
        <v>1309</v>
      </c>
      <c r="BB34" s="68">
        <v>1494</v>
      </c>
      <c r="BC34" s="68">
        <v>1740</v>
      </c>
      <c r="BD34" s="68">
        <v>1910</v>
      </c>
      <c r="BE34" s="68">
        <v>1971</v>
      </c>
      <c r="BF34" s="68">
        <v>1993</v>
      </c>
      <c r="BG34" s="68">
        <v>2132</v>
      </c>
      <c r="BH34" s="68">
        <v>2346</v>
      </c>
      <c r="BI34" s="68">
        <v>2496</v>
      </c>
      <c r="BJ34" s="68">
        <v>2417</v>
      </c>
      <c r="BK34" s="68">
        <v>2414</v>
      </c>
      <c r="BL34" s="68">
        <v>2302</v>
      </c>
      <c r="BM34" s="68">
        <v>2294</v>
      </c>
      <c r="BN34" s="68">
        <v>2442</v>
      </c>
      <c r="BO34" s="68">
        <v>2272</v>
      </c>
      <c r="BP34" s="68">
        <v>2563</v>
      </c>
      <c r="BQ34" s="68">
        <v>2637</v>
      </c>
      <c r="BR34" s="68">
        <v>2634</v>
      </c>
      <c r="BS34" s="68">
        <v>3130</v>
      </c>
      <c r="BT34" s="68">
        <v>3203</v>
      </c>
      <c r="BU34" s="68">
        <v>3161</v>
      </c>
      <c r="BV34" s="68">
        <v>3292</v>
      </c>
      <c r="BW34" s="68">
        <v>3292</v>
      </c>
      <c r="BX34" s="68">
        <v>3429</v>
      </c>
      <c r="BY34" s="68">
        <v>3333</v>
      </c>
      <c r="BZ34" s="68">
        <v>3474</v>
      </c>
      <c r="CA34" s="68">
        <v>3569</v>
      </c>
      <c r="CB34" s="68">
        <v>3571</v>
      </c>
      <c r="CC34" s="68">
        <v>3997</v>
      </c>
      <c r="CD34" s="68">
        <v>4726</v>
      </c>
      <c r="CE34" s="68">
        <v>4954</v>
      </c>
      <c r="CF34" s="68">
        <v>4935</v>
      </c>
      <c r="CG34" s="68">
        <v>4834</v>
      </c>
      <c r="CH34" s="68">
        <v>4878</v>
      </c>
      <c r="CI34" s="68">
        <v>4842</v>
      </c>
      <c r="CJ34" s="68">
        <v>5442</v>
      </c>
      <c r="CK34" s="31">
        <v>6285</v>
      </c>
      <c r="CL34" s="1">
        <v>7235</v>
      </c>
      <c r="CM34" s="1">
        <v>8206</v>
      </c>
      <c r="CO34" s="1">
        <v>7911</v>
      </c>
      <c r="CP34" s="1">
        <v>7458</v>
      </c>
      <c r="CQ34" s="1">
        <v>7586</v>
      </c>
    </row>
    <row r="35" spans="1:95">
      <c r="A35" s="64" t="s">
        <v>142</v>
      </c>
      <c r="B35" s="69">
        <v>820</v>
      </c>
      <c r="C35" s="68">
        <v>829</v>
      </c>
      <c r="D35" s="68">
        <v>807</v>
      </c>
      <c r="E35" s="68">
        <v>823</v>
      </c>
      <c r="F35" s="68">
        <v>982</v>
      </c>
      <c r="G35" s="68">
        <v>938</v>
      </c>
      <c r="H35" s="68">
        <v>902</v>
      </c>
      <c r="I35" s="68">
        <v>1032</v>
      </c>
      <c r="J35" s="68">
        <v>970</v>
      </c>
      <c r="K35" s="68">
        <v>955</v>
      </c>
      <c r="L35" s="68">
        <v>1053</v>
      </c>
      <c r="M35" s="68">
        <v>1112</v>
      </c>
      <c r="N35" s="68">
        <v>1490</v>
      </c>
      <c r="O35" s="68">
        <v>1460</v>
      </c>
      <c r="P35" s="68">
        <v>1417</v>
      </c>
      <c r="Q35" s="68">
        <v>1511</v>
      </c>
      <c r="R35" s="68">
        <v>1511</v>
      </c>
      <c r="S35" s="68">
        <v>1631</v>
      </c>
      <c r="T35" s="68">
        <v>1783</v>
      </c>
      <c r="U35" s="68">
        <v>1647</v>
      </c>
      <c r="V35" s="68">
        <v>1741</v>
      </c>
      <c r="W35" s="68">
        <v>1723</v>
      </c>
      <c r="X35" s="68">
        <v>2045</v>
      </c>
      <c r="Y35" s="68">
        <v>2146</v>
      </c>
      <c r="Z35" s="68">
        <v>2278</v>
      </c>
      <c r="AA35" s="68">
        <v>2436</v>
      </c>
      <c r="AB35" s="68">
        <v>2775</v>
      </c>
      <c r="AC35" s="68">
        <v>2825</v>
      </c>
      <c r="AD35" s="68">
        <v>3484</v>
      </c>
      <c r="AE35" s="68">
        <v>3164</v>
      </c>
      <c r="AF35" s="68">
        <v>3441</v>
      </c>
      <c r="AG35" s="68">
        <v>3798</v>
      </c>
      <c r="AH35" s="68">
        <v>4253</v>
      </c>
      <c r="AI35" s="68">
        <v>4302</v>
      </c>
      <c r="AJ35" s="68">
        <v>4297</v>
      </c>
      <c r="AK35" s="68">
        <v>4566</v>
      </c>
      <c r="AL35" s="68">
        <v>4322</v>
      </c>
      <c r="AM35" s="68">
        <v>4334</v>
      </c>
      <c r="AN35" s="68">
        <v>4623</v>
      </c>
      <c r="AO35" s="68">
        <v>4801</v>
      </c>
      <c r="AP35" s="68">
        <v>5263</v>
      </c>
      <c r="AQ35" s="68">
        <v>5631</v>
      </c>
      <c r="AR35" s="68">
        <v>5377</v>
      </c>
      <c r="AS35" s="68"/>
      <c r="AT35" s="68">
        <v>5398</v>
      </c>
      <c r="AU35" s="68">
        <v>5489</v>
      </c>
      <c r="AV35" s="68">
        <v>5553</v>
      </c>
      <c r="AW35" s="89">
        <v>658</v>
      </c>
      <c r="AX35" s="68">
        <v>774</v>
      </c>
      <c r="AY35" s="68">
        <v>817</v>
      </c>
      <c r="AZ35" s="68">
        <v>897</v>
      </c>
      <c r="BA35" s="68">
        <v>1103</v>
      </c>
      <c r="BB35" s="68">
        <v>1041</v>
      </c>
      <c r="BC35" s="68">
        <v>1101</v>
      </c>
      <c r="BD35" s="68">
        <v>1143</v>
      </c>
      <c r="BE35" s="68">
        <v>1214</v>
      </c>
      <c r="BF35" s="68">
        <v>1227</v>
      </c>
      <c r="BG35" s="68">
        <v>1337</v>
      </c>
      <c r="BH35" s="68">
        <v>1369</v>
      </c>
      <c r="BI35" s="68">
        <v>1666</v>
      </c>
      <c r="BJ35" s="68">
        <v>1495</v>
      </c>
      <c r="BK35" s="68">
        <v>1480</v>
      </c>
      <c r="BL35" s="68">
        <v>1430</v>
      </c>
      <c r="BM35" s="68">
        <v>1520</v>
      </c>
      <c r="BN35" s="68">
        <v>1769</v>
      </c>
      <c r="BO35" s="68">
        <v>1925</v>
      </c>
      <c r="BP35" s="68">
        <v>2009</v>
      </c>
      <c r="BQ35" s="68">
        <v>2376</v>
      </c>
      <c r="BR35" s="68">
        <v>2511</v>
      </c>
      <c r="BS35" s="68">
        <v>2693</v>
      </c>
      <c r="BT35" s="68">
        <v>3040</v>
      </c>
      <c r="BU35" s="68">
        <v>3376</v>
      </c>
      <c r="BV35" s="68">
        <v>3662</v>
      </c>
      <c r="BW35" s="68">
        <v>3827</v>
      </c>
      <c r="BX35" s="68">
        <v>4603</v>
      </c>
      <c r="BY35" s="68">
        <v>4279</v>
      </c>
      <c r="BZ35" s="68">
        <v>4426</v>
      </c>
      <c r="CA35" s="68">
        <v>4736</v>
      </c>
      <c r="CB35" s="68">
        <v>4907</v>
      </c>
      <c r="CC35" s="68">
        <v>5075</v>
      </c>
      <c r="CD35" s="68">
        <v>5106</v>
      </c>
      <c r="CE35" s="68">
        <v>5339</v>
      </c>
      <c r="CF35" s="68">
        <v>5231</v>
      </c>
      <c r="CG35" s="68">
        <v>5513</v>
      </c>
      <c r="CH35" s="68">
        <v>5570</v>
      </c>
      <c r="CI35" s="68">
        <v>5612</v>
      </c>
      <c r="CJ35" s="68">
        <v>6253</v>
      </c>
      <c r="CK35" s="31">
        <v>7135</v>
      </c>
      <c r="CL35" s="1">
        <v>7644</v>
      </c>
      <c r="CM35" s="1">
        <v>7607</v>
      </c>
      <c r="CO35" s="1">
        <v>7561</v>
      </c>
      <c r="CP35" s="1">
        <v>7867</v>
      </c>
      <c r="CQ35" s="1">
        <v>8143</v>
      </c>
    </row>
    <row r="36" spans="1:95">
      <c r="A36" s="64" t="s">
        <v>66</v>
      </c>
      <c r="B36" s="69">
        <v>3721</v>
      </c>
      <c r="C36" s="68">
        <v>4663</v>
      </c>
      <c r="D36" s="68">
        <v>5118</v>
      </c>
      <c r="E36" s="68">
        <v>5366</v>
      </c>
      <c r="F36" s="68">
        <v>5071</v>
      </c>
      <c r="G36" s="68">
        <v>5840</v>
      </c>
      <c r="H36" s="68">
        <v>5341</v>
      </c>
      <c r="I36" s="68">
        <v>5389</v>
      </c>
      <c r="J36" s="68">
        <v>4986</v>
      </c>
      <c r="K36" s="68">
        <v>5104</v>
      </c>
      <c r="L36" s="68">
        <v>5252</v>
      </c>
      <c r="M36" s="68">
        <v>5643</v>
      </c>
      <c r="N36" s="68">
        <v>4870</v>
      </c>
      <c r="O36" s="68">
        <v>5092</v>
      </c>
      <c r="P36" s="68">
        <v>4881</v>
      </c>
      <c r="Q36" s="68">
        <v>5561</v>
      </c>
      <c r="R36" s="68">
        <v>5561</v>
      </c>
      <c r="S36" s="68">
        <v>5612</v>
      </c>
      <c r="T36" s="68">
        <v>5113</v>
      </c>
      <c r="U36" s="68">
        <v>5384</v>
      </c>
      <c r="V36" s="68">
        <v>6499</v>
      </c>
      <c r="W36" s="68">
        <v>7027</v>
      </c>
      <c r="X36" s="68">
        <v>7312</v>
      </c>
      <c r="Y36" s="68">
        <v>7319</v>
      </c>
      <c r="Z36" s="68">
        <v>7932</v>
      </c>
      <c r="AA36" s="68">
        <v>8300</v>
      </c>
      <c r="AB36" s="68">
        <v>8300</v>
      </c>
      <c r="AC36" s="68">
        <v>8228</v>
      </c>
      <c r="AD36" s="68">
        <v>8057</v>
      </c>
      <c r="AE36" s="68">
        <v>7861</v>
      </c>
      <c r="AF36" s="68">
        <v>8427</v>
      </c>
      <c r="AG36" s="68">
        <v>8190</v>
      </c>
      <c r="AH36" s="68">
        <v>8624</v>
      </c>
      <c r="AI36" s="68">
        <v>10437</v>
      </c>
      <c r="AJ36" s="68">
        <v>10474</v>
      </c>
      <c r="AK36" s="68">
        <v>9129</v>
      </c>
      <c r="AL36" s="68">
        <v>8654</v>
      </c>
      <c r="AM36" s="68">
        <v>8589</v>
      </c>
      <c r="AN36" s="68">
        <v>8963</v>
      </c>
      <c r="AO36" s="68">
        <v>9762</v>
      </c>
      <c r="AP36" s="68">
        <v>11570</v>
      </c>
      <c r="AQ36" s="68">
        <v>12773</v>
      </c>
      <c r="AR36" s="68">
        <v>12766</v>
      </c>
      <c r="AS36" s="68"/>
      <c r="AT36" s="68">
        <v>12682</v>
      </c>
      <c r="AU36" s="68">
        <v>12973</v>
      </c>
      <c r="AV36" s="68">
        <v>12976</v>
      </c>
      <c r="AW36" s="89">
        <v>2139</v>
      </c>
      <c r="AX36" s="68">
        <v>2790</v>
      </c>
      <c r="AY36" s="68">
        <v>3199</v>
      </c>
      <c r="AZ36" s="68">
        <v>3541</v>
      </c>
      <c r="BA36" s="68">
        <v>3808</v>
      </c>
      <c r="BB36" s="68">
        <v>4243</v>
      </c>
      <c r="BC36" s="68">
        <v>4495</v>
      </c>
      <c r="BD36" s="68">
        <v>4954</v>
      </c>
      <c r="BE36" s="68">
        <v>5109</v>
      </c>
      <c r="BF36" s="68">
        <v>5482</v>
      </c>
      <c r="BG36" s="68">
        <v>5845</v>
      </c>
      <c r="BH36" s="68">
        <v>5957</v>
      </c>
      <c r="BI36" s="68">
        <v>5599</v>
      </c>
      <c r="BJ36" s="68">
        <v>5761</v>
      </c>
      <c r="BK36" s="68">
        <v>5540</v>
      </c>
      <c r="BL36" s="68">
        <v>6280</v>
      </c>
      <c r="BM36" s="68">
        <v>6666</v>
      </c>
      <c r="BN36" s="68">
        <v>6551</v>
      </c>
      <c r="BO36" s="68">
        <v>6900</v>
      </c>
      <c r="BP36" s="68">
        <v>7820</v>
      </c>
      <c r="BQ36" s="68">
        <v>8219</v>
      </c>
      <c r="BR36" s="68">
        <v>9124</v>
      </c>
      <c r="BS36" s="68">
        <v>9300</v>
      </c>
      <c r="BT36" s="68">
        <v>10433</v>
      </c>
      <c r="BU36" s="68">
        <v>10802</v>
      </c>
      <c r="BV36" s="68">
        <v>11049</v>
      </c>
      <c r="BW36" s="68">
        <v>11337</v>
      </c>
      <c r="BX36" s="68">
        <v>11107</v>
      </c>
      <c r="BY36" s="68">
        <v>10890</v>
      </c>
      <c r="BZ36" s="68">
        <v>10841</v>
      </c>
      <c r="CA36" s="68">
        <v>10520</v>
      </c>
      <c r="CB36" s="68">
        <v>11411</v>
      </c>
      <c r="CC36" s="68">
        <v>12310</v>
      </c>
      <c r="CD36" s="68">
        <v>13195</v>
      </c>
      <c r="CE36" s="68">
        <v>12850</v>
      </c>
      <c r="CF36" s="68">
        <v>12606</v>
      </c>
      <c r="CG36" s="68">
        <v>12269</v>
      </c>
      <c r="CH36" s="68">
        <v>12605</v>
      </c>
      <c r="CI36" s="68">
        <v>12895</v>
      </c>
      <c r="CJ36" s="68">
        <v>13237</v>
      </c>
      <c r="CK36" s="31">
        <v>15475</v>
      </c>
      <c r="CL36" s="1">
        <v>16204</v>
      </c>
      <c r="CM36" s="1">
        <v>16515</v>
      </c>
      <c r="CO36" s="1">
        <v>17316</v>
      </c>
      <c r="CP36" s="1">
        <v>17618</v>
      </c>
      <c r="CQ36" s="1">
        <v>17241</v>
      </c>
    </row>
    <row r="37" spans="1:95">
      <c r="A37" s="67" t="s">
        <v>145</v>
      </c>
      <c r="B37" s="69">
        <v>342</v>
      </c>
      <c r="C37" s="68">
        <v>326</v>
      </c>
      <c r="D37" s="68">
        <v>374</v>
      </c>
      <c r="E37" s="68">
        <v>349</v>
      </c>
      <c r="F37" s="68">
        <v>383</v>
      </c>
      <c r="G37" s="68">
        <v>375</v>
      </c>
      <c r="H37" s="68">
        <v>367</v>
      </c>
      <c r="I37" s="68">
        <v>441</v>
      </c>
      <c r="J37" s="68">
        <v>388</v>
      </c>
      <c r="K37" s="68">
        <v>326</v>
      </c>
      <c r="L37" s="68">
        <v>367</v>
      </c>
      <c r="M37" s="68">
        <v>399</v>
      </c>
      <c r="N37" s="68">
        <v>457</v>
      </c>
      <c r="O37" s="68">
        <v>504</v>
      </c>
      <c r="P37" s="68">
        <v>522</v>
      </c>
      <c r="Q37" s="68">
        <v>555</v>
      </c>
      <c r="R37" s="68">
        <v>555</v>
      </c>
      <c r="S37" s="68">
        <v>623</v>
      </c>
      <c r="T37" s="68">
        <v>641</v>
      </c>
      <c r="U37" s="68">
        <v>684</v>
      </c>
      <c r="V37" s="68">
        <v>753</v>
      </c>
      <c r="W37" s="68">
        <v>705</v>
      </c>
      <c r="X37" s="68">
        <v>852</v>
      </c>
      <c r="Y37" s="68">
        <v>849</v>
      </c>
      <c r="Z37" s="68">
        <v>779</v>
      </c>
      <c r="AA37" s="68">
        <v>673</v>
      </c>
      <c r="AB37" s="68">
        <v>852</v>
      </c>
      <c r="AC37" s="68">
        <v>869</v>
      </c>
      <c r="AD37" s="68">
        <v>833</v>
      </c>
      <c r="AE37" s="68">
        <v>896</v>
      </c>
      <c r="AF37" s="68">
        <v>953</v>
      </c>
      <c r="AG37" s="68">
        <v>1080</v>
      </c>
      <c r="AH37" s="68">
        <v>1315</v>
      </c>
      <c r="AI37" s="68">
        <v>1460</v>
      </c>
      <c r="AJ37" s="68">
        <v>1460</v>
      </c>
      <c r="AK37" s="68">
        <v>1614</v>
      </c>
      <c r="AL37" s="68">
        <v>1357</v>
      </c>
      <c r="AM37" s="68">
        <v>1223</v>
      </c>
      <c r="AN37" s="68">
        <v>1250</v>
      </c>
      <c r="AO37" s="68">
        <v>1274</v>
      </c>
      <c r="AP37" s="68">
        <v>1437</v>
      </c>
      <c r="AQ37" s="68">
        <v>1183</v>
      </c>
      <c r="AR37" s="68">
        <v>1317</v>
      </c>
      <c r="AS37" s="68"/>
      <c r="AT37" s="68">
        <v>1167</v>
      </c>
      <c r="AU37" s="68">
        <v>1054</v>
      </c>
      <c r="AV37" s="68">
        <v>1130</v>
      </c>
      <c r="AW37" s="89">
        <v>306</v>
      </c>
      <c r="AX37" s="68">
        <v>311</v>
      </c>
      <c r="AY37" s="68">
        <v>310</v>
      </c>
      <c r="AZ37" s="68">
        <v>310</v>
      </c>
      <c r="BA37" s="68">
        <v>343</v>
      </c>
      <c r="BB37" s="68">
        <v>364</v>
      </c>
      <c r="BC37" s="68">
        <v>391</v>
      </c>
      <c r="BD37" s="68">
        <v>460</v>
      </c>
      <c r="BE37" s="68">
        <v>471</v>
      </c>
      <c r="BF37" s="68">
        <v>468</v>
      </c>
      <c r="BG37" s="68">
        <v>471</v>
      </c>
      <c r="BH37" s="68">
        <v>552</v>
      </c>
      <c r="BI37" s="68">
        <v>582</v>
      </c>
      <c r="BJ37" s="68">
        <v>684</v>
      </c>
      <c r="BK37" s="68">
        <v>641</v>
      </c>
      <c r="BL37" s="68">
        <v>758</v>
      </c>
      <c r="BM37" s="68">
        <v>686</v>
      </c>
      <c r="BN37" s="68">
        <v>745</v>
      </c>
      <c r="BO37" s="68">
        <v>823</v>
      </c>
      <c r="BP37" s="68">
        <v>876</v>
      </c>
      <c r="BQ37" s="68">
        <v>928</v>
      </c>
      <c r="BR37" s="68">
        <v>1039</v>
      </c>
      <c r="BS37" s="68">
        <v>1001</v>
      </c>
      <c r="BT37" s="68">
        <v>1083</v>
      </c>
      <c r="BU37" s="68">
        <v>990</v>
      </c>
      <c r="BV37" s="68">
        <v>1136</v>
      </c>
      <c r="BW37" s="68">
        <v>1121</v>
      </c>
      <c r="BX37" s="68">
        <v>1195</v>
      </c>
      <c r="BY37" s="68">
        <v>1140</v>
      </c>
      <c r="BZ37" s="68">
        <v>1041</v>
      </c>
      <c r="CA37" s="68">
        <v>1167</v>
      </c>
      <c r="CB37" s="68">
        <v>1108</v>
      </c>
      <c r="CC37" s="68">
        <v>1140</v>
      </c>
      <c r="CD37" s="68">
        <v>1349</v>
      </c>
      <c r="CE37" s="68">
        <v>1313</v>
      </c>
      <c r="CF37" s="68">
        <v>1459</v>
      </c>
      <c r="CG37" s="68">
        <v>1448</v>
      </c>
      <c r="CH37" s="68">
        <v>1480</v>
      </c>
      <c r="CI37" s="68">
        <v>1535</v>
      </c>
      <c r="CJ37" s="68">
        <v>1588</v>
      </c>
      <c r="CK37" s="31">
        <v>1779</v>
      </c>
      <c r="CL37" s="5">
        <v>1741</v>
      </c>
      <c r="CM37" s="1">
        <v>1808</v>
      </c>
      <c r="CO37" s="1">
        <v>1805</v>
      </c>
      <c r="CP37" s="1">
        <v>1716</v>
      </c>
      <c r="CQ37" s="1">
        <v>1635</v>
      </c>
    </row>
    <row r="38" spans="1:95">
      <c r="A38" s="46" t="s">
        <v>186</v>
      </c>
      <c r="B38" s="81">
        <f>SUM(B40:B51)</f>
        <v>29014</v>
      </c>
      <c r="C38" s="59">
        <f t="shared" ref="C38:BV38" si="50">SUM(C40:C51)</f>
        <v>35100</v>
      </c>
      <c r="D38" s="59">
        <f t="shared" si="50"/>
        <v>39419</v>
      </c>
      <c r="E38" s="59">
        <f t="shared" si="50"/>
        <v>41903</v>
      </c>
      <c r="F38" s="59">
        <f t="shared" si="50"/>
        <v>43227</v>
      </c>
      <c r="G38" s="59">
        <f t="shared" si="50"/>
        <v>45914</v>
      </c>
      <c r="H38" s="59">
        <f t="shared" si="50"/>
        <v>47107</v>
      </c>
      <c r="I38" s="59">
        <f t="shared" si="50"/>
        <v>45406</v>
      </c>
      <c r="J38" s="59">
        <f t="shared" si="50"/>
        <v>43794</v>
      </c>
      <c r="K38" s="59">
        <f t="shared" si="50"/>
        <v>41749</v>
      </c>
      <c r="L38" s="59">
        <f t="shared" si="50"/>
        <v>44701</v>
      </c>
      <c r="M38" s="59">
        <f t="shared" si="50"/>
        <v>48016</v>
      </c>
      <c r="N38" s="59">
        <f t="shared" si="50"/>
        <v>51375</v>
      </c>
      <c r="O38" s="59">
        <f t="shared" si="50"/>
        <v>52596</v>
      </c>
      <c r="P38" s="59">
        <f t="shared" si="50"/>
        <v>52201</v>
      </c>
      <c r="Q38" s="59">
        <f t="shared" si="50"/>
        <v>49757</v>
      </c>
      <c r="R38" s="59">
        <f t="shared" si="50"/>
        <v>49757</v>
      </c>
      <c r="S38" s="59">
        <f t="shared" si="50"/>
        <v>49695</v>
      </c>
      <c r="T38" s="59">
        <f t="shared" si="50"/>
        <v>48881</v>
      </c>
      <c r="U38" s="59">
        <f t="shared" si="50"/>
        <v>48271</v>
      </c>
      <c r="V38" s="59">
        <f t="shared" si="50"/>
        <v>46808</v>
      </c>
      <c r="W38" s="59">
        <f t="shared" si="50"/>
        <v>48538</v>
      </c>
      <c r="X38" s="59">
        <f t="shared" si="50"/>
        <v>51218</v>
      </c>
      <c r="Y38" s="59">
        <f t="shared" si="50"/>
        <v>51917</v>
      </c>
      <c r="Z38" s="59">
        <f t="shared" si="50"/>
        <v>51163</v>
      </c>
      <c r="AA38" s="59">
        <f t="shared" si="50"/>
        <v>52389</v>
      </c>
      <c r="AB38" s="59">
        <f t="shared" si="50"/>
        <v>51546</v>
      </c>
      <c r="AC38" s="59">
        <f t="shared" si="50"/>
        <v>50379</v>
      </c>
      <c r="AD38" s="59">
        <f t="shared" si="50"/>
        <v>51337</v>
      </c>
      <c r="AE38" s="59">
        <f t="shared" si="50"/>
        <v>50672</v>
      </c>
      <c r="AF38" s="59">
        <f t="shared" si="50"/>
        <v>51891</v>
      </c>
      <c r="AG38" s="59">
        <f t="shared" si="50"/>
        <v>51775</v>
      </c>
      <c r="AH38" s="59">
        <f t="shared" si="50"/>
        <v>54207</v>
      </c>
      <c r="AI38" s="59">
        <f>SUM(AI40:AI51)</f>
        <v>60142</v>
      </c>
      <c r="AJ38" s="59">
        <f t="shared" si="50"/>
        <v>60148</v>
      </c>
      <c r="AK38" s="59">
        <f t="shared" si="50"/>
        <v>62968</v>
      </c>
      <c r="AL38" s="59">
        <f t="shared" si="50"/>
        <v>64609</v>
      </c>
      <c r="AM38" s="59">
        <f t="shared" si="50"/>
        <v>67019</v>
      </c>
      <c r="AN38" s="59">
        <f t="shared" ref="AN38:AO38" si="51">SUM(AN40:AN51)</f>
        <v>69161</v>
      </c>
      <c r="AO38" s="59">
        <f t="shared" si="51"/>
        <v>74656</v>
      </c>
      <c r="AP38" s="59">
        <f t="shared" ref="AP38:AQ38" si="52">SUM(AP40:AP51)</f>
        <v>82098</v>
      </c>
      <c r="AQ38" s="59">
        <f t="shared" si="52"/>
        <v>87627</v>
      </c>
      <c r="AR38" s="59">
        <f t="shared" ref="AR38:AT38" si="53">SUM(AR40:AR51)</f>
        <v>85463</v>
      </c>
      <c r="AS38" s="59">
        <f t="shared" si="53"/>
        <v>0</v>
      </c>
      <c r="AT38" s="59">
        <f t="shared" si="53"/>
        <v>84174</v>
      </c>
      <c r="AU38" s="59">
        <f t="shared" ref="AU38:AV38" si="54">SUM(AU40:AU51)</f>
        <v>79637</v>
      </c>
      <c r="AV38" s="59">
        <f t="shared" si="54"/>
        <v>78978</v>
      </c>
      <c r="AW38" s="87">
        <f t="shared" si="50"/>
        <v>20454</v>
      </c>
      <c r="AX38" s="59">
        <f t="shared" si="50"/>
        <v>25097</v>
      </c>
      <c r="AY38" s="59">
        <f t="shared" si="50"/>
        <v>29841</v>
      </c>
      <c r="AZ38" s="59">
        <f t="shared" si="50"/>
        <v>33705</v>
      </c>
      <c r="BA38" s="59">
        <f t="shared" si="50"/>
        <v>36732</v>
      </c>
      <c r="BB38" s="59">
        <f t="shared" si="50"/>
        <v>39076</v>
      </c>
      <c r="BC38" s="59">
        <f t="shared" si="50"/>
        <v>42629</v>
      </c>
      <c r="BD38" s="59">
        <f t="shared" si="50"/>
        <v>46599</v>
      </c>
      <c r="BE38" s="59">
        <f t="shared" si="50"/>
        <v>48294</v>
      </c>
      <c r="BF38" s="59">
        <f t="shared" si="50"/>
        <v>49700</v>
      </c>
      <c r="BG38" s="59">
        <f t="shared" si="50"/>
        <v>53458</v>
      </c>
      <c r="BH38" s="59">
        <f t="shared" si="50"/>
        <v>56696</v>
      </c>
      <c r="BI38" s="59">
        <f t="shared" si="50"/>
        <v>59846</v>
      </c>
      <c r="BJ38" s="59">
        <f t="shared" si="50"/>
        <v>62613</v>
      </c>
      <c r="BK38" s="59">
        <f t="shared" si="50"/>
        <v>63402</v>
      </c>
      <c r="BL38" s="59">
        <f t="shared" si="50"/>
        <v>63361</v>
      </c>
      <c r="BM38" s="59">
        <f t="shared" si="50"/>
        <v>63710</v>
      </c>
      <c r="BN38" s="59">
        <f t="shared" si="50"/>
        <v>61644</v>
      </c>
      <c r="BO38" s="59">
        <f t="shared" si="50"/>
        <v>63964</v>
      </c>
      <c r="BP38" s="59">
        <f t="shared" si="50"/>
        <v>66067</v>
      </c>
      <c r="BQ38" s="59">
        <f t="shared" si="50"/>
        <v>69820</v>
      </c>
      <c r="BR38" s="59">
        <f t="shared" si="50"/>
        <v>74521</v>
      </c>
      <c r="BS38" s="59">
        <f t="shared" si="50"/>
        <v>76015</v>
      </c>
      <c r="BT38" s="59">
        <f t="shared" si="50"/>
        <v>78116</v>
      </c>
      <c r="BU38" s="59">
        <f t="shared" si="50"/>
        <v>79174</v>
      </c>
      <c r="BV38" s="59">
        <f t="shared" si="50"/>
        <v>81889</v>
      </c>
      <c r="BW38" s="59">
        <f t="shared" ref="BW38:CH38" si="55">SUM(BW40:BW51)</f>
        <v>82132</v>
      </c>
      <c r="BX38" s="59">
        <f t="shared" si="55"/>
        <v>81367</v>
      </c>
      <c r="BY38" s="59">
        <f t="shared" si="55"/>
        <v>80224</v>
      </c>
      <c r="BZ38" s="59">
        <f t="shared" si="55"/>
        <v>79534</v>
      </c>
      <c r="CA38" s="59">
        <f t="shared" si="55"/>
        <v>79322</v>
      </c>
      <c r="CB38" s="59">
        <f t="shared" si="55"/>
        <v>80598</v>
      </c>
      <c r="CC38" s="59">
        <f t="shared" si="55"/>
        <v>86326</v>
      </c>
      <c r="CD38" s="59">
        <f>SUM(CD40:CD51)</f>
        <v>91680</v>
      </c>
      <c r="CE38" s="59">
        <f t="shared" si="55"/>
        <v>100808</v>
      </c>
      <c r="CF38" s="59">
        <f t="shared" si="55"/>
        <v>102875</v>
      </c>
      <c r="CG38" s="59">
        <f t="shared" si="55"/>
        <v>107354</v>
      </c>
      <c r="CH38" s="59">
        <f t="shared" si="55"/>
        <v>108590</v>
      </c>
      <c r="CI38" s="59">
        <f t="shared" ref="CI38:CJ38" si="56">SUM(CI40:CI51)</f>
        <v>111644</v>
      </c>
      <c r="CJ38" s="59">
        <f t="shared" si="56"/>
        <v>119323</v>
      </c>
      <c r="CK38" s="59">
        <f t="shared" ref="CK38:CL38" si="57">SUM(CK40:CK51)</f>
        <v>128951</v>
      </c>
      <c r="CL38" s="59">
        <f t="shared" si="57"/>
        <v>136640</v>
      </c>
      <c r="CM38" s="59">
        <f t="shared" ref="CM38:CO38" si="58">SUM(CM40:CM51)</f>
        <v>136872</v>
      </c>
      <c r="CN38" s="59">
        <f t="shared" si="58"/>
        <v>0</v>
      </c>
      <c r="CO38" s="59">
        <f t="shared" si="58"/>
        <v>130344</v>
      </c>
      <c r="CP38" s="59">
        <f t="shared" ref="CP38:CQ38" si="59">SUM(CP40:CP51)</f>
        <v>123050</v>
      </c>
      <c r="CQ38" s="59">
        <f t="shared" si="59"/>
        <v>117273</v>
      </c>
    </row>
    <row r="39" spans="1:95">
      <c r="A39" s="47" t="s">
        <v>189</v>
      </c>
      <c r="B39" s="82">
        <f>(B38/B$4)*100</f>
        <v>20.128482628482626</v>
      </c>
      <c r="C39" s="58">
        <f t="shared" ref="C39:BV39" si="60">(C38/C$4)*100</f>
        <v>21.115703225107836</v>
      </c>
      <c r="D39" s="58">
        <f t="shared" si="60"/>
        <v>22.472108680656508</v>
      </c>
      <c r="E39" s="58">
        <f t="shared" si="60"/>
        <v>22.218981817796184</v>
      </c>
      <c r="F39" s="58">
        <f t="shared" si="60"/>
        <v>22.629922991147385</v>
      </c>
      <c r="G39" s="58">
        <f t="shared" si="60"/>
        <v>21.864225985256862</v>
      </c>
      <c r="H39" s="58">
        <f t="shared" si="60"/>
        <v>22.377346659572851</v>
      </c>
      <c r="I39" s="58">
        <f t="shared" si="60"/>
        <v>22.422716049382714</v>
      </c>
      <c r="J39" s="58">
        <f t="shared" si="60"/>
        <v>23.190201591764762</v>
      </c>
      <c r="K39" s="58">
        <f t="shared" si="60"/>
        <v>23.177278505959617</v>
      </c>
      <c r="L39" s="58">
        <f t="shared" si="60"/>
        <v>24.191470938413246</v>
      </c>
      <c r="M39" s="58">
        <f t="shared" si="60"/>
        <v>24.902626870316105</v>
      </c>
      <c r="N39" s="58">
        <f t="shared" si="60"/>
        <v>25.76427754709033</v>
      </c>
      <c r="O39" s="58">
        <f t="shared" si="60"/>
        <v>26.547948939263161</v>
      </c>
      <c r="P39" s="58">
        <f t="shared" si="60"/>
        <v>26.485466251972419</v>
      </c>
      <c r="Q39" s="58">
        <f t="shared" si="60"/>
        <v>26.29626302076452</v>
      </c>
      <c r="R39" s="58">
        <f t="shared" si="60"/>
        <v>26.29626302076452</v>
      </c>
      <c r="S39" s="58">
        <f t="shared" si="60"/>
        <v>27.197946539985551</v>
      </c>
      <c r="T39" s="58">
        <f t="shared" si="60"/>
        <v>26.743810696211192</v>
      </c>
      <c r="U39" s="58">
        <f t="shared" si="60"/>
        <v>26.83168151726208</v>
      </c>
      <c r="V39" s="58">
        <f t="shared" si="60"/>
        <v>25.501220362622036</v>
      </c>
      <c r="W39" s="58">
        <f t="shared" si="60"/>
        <v>25.484214781873643</v>
      </c>
      <c r="X39" s="58">
        <f t="shared" si="60"/>
        <v>25.758916896336682</v>
      </c>
      <c r="Y39" s="58">
        <f t="shared" si="60"/>
        <v>25.53475081030302</v>
      </c>
      <c r="Z39" s="58">
        <f t="shared" si="60"/>
        <v>24.821587110608714</v>
      </c>
      <c r="AA39" s="58">
        <f t="shared" si="60"/>
        <v>25.132766288156816</v>
      </c>
      <c r="AB39" s="58">
        <f t="shared" si="60"/>
        <v>24.555302546708717</v>
      </c>
      <c r="AC39" s="58">
        <f t="shared" si="60"/>
        <v>23.458169779429223</v>
      </c>
      <c r="AD39" s="58">
        <f t="shared" si="60"/>
        <v>23.59096193701663</v>
      </c>
      <c r="AE39" s="58">
        <f t="shared" si="60"/>
        <v>23.199659367173801</v>
      </c>
      <c r="AF39" s="58">
        <f t="shared" si="60"/>
        <v>23.091299878516029</v>
      </c>
      <c r="AG39" s="58">
        <f t="shared" si="60"/>
        <v>22.351011245656068</v>
      </c>
      <c r="AH39" s="58">
        <f t="shared" si="60"/>
        <v>22.765624146924306</v>
      </c>
      <c r="AI39" s="58">
        <f t="shared" si="60"/>
        <v>23.151127877434753</v>
      </c>
      <c r="AJ39" s="58">
        <f t="shared" si="60"/>
        <v>23.130910307537889</v>
      </c>
      <c r="AK39" s="58">
        <f t="shared" si="60"/>
        <v>23.536623656235516</v>
      </c>
      <c r="AL39" s="58">
        <f t="shared" si="60"/>
        <v>23.478216630872826</v>
      </c>
      <c r="AM39" s="58">
        <f t="shared" si="60"/>
        <v>23.721776434318155</v>
      </c>
      <c r="AN39" s="58">
        <f t="shared" ref="AN39:AO39" si="61">(AN38/AN$4)*100</f>
        <v>23.197413304443199</v>
      </c>
      <c r="AO39" s="58">
        <f t="shared" si="61"/>
        <v>23.169263236298182</v>
      </c>
      <c r="AP39" s="58">
        <f t="shared" ref="AP39:AQ39" si="62">(AP38/AP$4)*100</f>
        <v>23.826010743732098</v>
      </c>
      <c r="AQ39" s="58">
        <f t="shared" si="62"/>
        <v>22.630414065788759</v>
      </c>
      <c r="AR39" s="58">
        <f t="shared" ref="AR39:AT39" si="63">(AR38/AR$4)*100</f>
        <v>22.211797361499517</v>
      </c>
      <c r="AS39" s="58" t="e">
        <f t="shared" si="63"/>
        <v>#DIV/0!</v>
      </c>
      <c r="AT39" s="58">
        <f t="shared" si="63"/>
        <v>21.54369063737321</v>
      </c>
      <c r="AU39" s="58">
        <f t="shared" ref="AU39:AV39" si="64">(AU38/AU$4)*100</f>
        <v>20.579950589718941</v>
      </c>
      <c r="AV39" s="58">
        <f t="shared" si="64"/>
        <v>20.300844647566564</v>
      </c>
      <c r="AW39" s="88">
        <f t="shared" si="60"/>
        <v>18.909648968724287</v>
      </c>
      <c r="AX39" s="58">
        <f t="shared" si="60"/>
        <v>19.951982319317576</v>
      </c>
      <c r="AY39" s="58">
        <f t="shared" si="60"/>
        <v>21.199764139214697</v>
      </c>
      <c r="AZ39" s="58">
        <f t="shared" si="60"/>
        <v>21.69854441747729</v>
      </c>
      <c r="BA39" s="58">
        <f t="shared" si="60"/>
        <v>21.715123496931792</v>
      </c>
      <c r="BB39" s="58">
        <f t="shared" si="60"/>
        <v>21.534459764794057</v>
      </c>
      <c r="BC39" s="58">
        <f t="shared" si="60"/>
        <v>21.801212059222134</v>
      </c>
      <c r="BD39" s="58">
        <f t="shared" si="60"/>
        <v>22.457782318695298</v>
      </c>
      <c r="BE39" s="58">
        <f t="shared" si="60"/>
        <v>22.940120272465585</v>
      </c>
      <c r="BF39" s="58">
        <f t="shared" si="60"/>
        <v>22.896683896766824</v>
      </c>
      <c r="BG39" s="58">
        <f t="shared" si="60"/>
        <v>23.489968274613542</v>
      </c>
      <c r="BH39" s="58">
        <f t="shared" si="60"/>
        <v>23.886885301156088</v>
      </c>
      <c r="BI39" s="58">
        <f t="shared" si="60"/>
        <v>24.407412845234017</v>
      </c>
      <c r="BJ39" s="58">
        <f t="shared" si="60"/>
        <v>25.135385764121672</v>
      </c>
      <c r="BK39" s="58">
        <f t="shared" si="60"/>
        <v>25.248193058957053</v>
      </c>
      <c r="BL39" s="58">
        <f t="shared" si="60"/>
        <v>25.591718366291843</v>
      </c>
      <c r="BM39" s="58">
        <f t="shared" si="60"/>
        <v>26.067494803685705</v>
      </c>
      <c r="BN39" s="58">
        <f t="shared" si="60"/>
        <v>25.25844796007425</v>
      </c>
      <c r="BO39" s="58">
        <f t="shared" si="60"/>
        <v>25.700429519091301</v>
      </c>
      <c r="BP39" s="58">
        <f t="shared" si="60"/>
        <v>25.170106902568556</v>
      </c>
      <c r="BQ39" s="58">
        <f t="shared" si="60"/>
        <v>24.78743232448744</v>
      </c>
      <c r="BR39" s="58">
        <f t="shared" si="60"/>
        <v>25.246892458218852</v>
      </c>
      <c r="BS39" s="58">
        <f t="shared" si="60"/>
        <v>25.236462147796729</v>
      </c>
      <c r="BT39" s="58">
        <f t="shared" si="60"/>
        <v>24.917463851559337</v>
      </c>
      <c r="BU39" s="58">
        <f t="shared" si="60"/>
        <v>24.798834823735767</v>
      </c>
      <c r="BV39" s="58">
        <f t="shared" si="60"/>
        <v>24.541618465927822</v>
      </c>
      <c r="BW39" s="58">
        <f t="shared" ref="BW39:CH39" si="65">(BW38/BW$4)*100</f>
        <v>23.799616340865491</v>
      </c>
      <c r="BX39" s="58">
        <f t="shared" si="65"/>
        <v>23.865349531591885</v>
      </c>
      <c r="BY39" s="58">
        <f t="shared" si="65"/>
        <v>23.489109525468692</v>
      </c>
      <c r="BZ39" s="58">
        <f t="shared" si="65"/>
        <v>23.377776210127802</v>
      </c>
      <c r="CA39" s="58">
        <f t="shared" si="65"/>
        <v>22.844882207246126</v>
      </c>
      <c r="CB39" s="58">
        <f t="shared" si="65"/>
        <v>22.574952944339877</v>
      </c>
      <c r="CC39" s="58">
        <f t="shared" si="65"/>
        <v>22.683641427876971</v>
      </c>
      <c r="CD39" s="58">
        <f t="shared" si="65"/>
        <v>22.64307519042115</v>
      </c>
      <c r="CE39" s="58">
        <f t="shared" si="65"/>
        <v>23.491578191851307</v>
      </c>
      <c r="CF39" s="58">
        <f t="shared" si="65"/>
        <v>23.440828854036834</v>
      </c>
      <c r="CG39" s="58">
        <f t="shared" si="65"/>
        <v>23.702274317936446</v>
      </c>
      <c r="CH39" s="58">
        <f t="shared" si="65"/>
        <v>23.220704682845675</v>
      </c>
      <c r="CI39" s="58">
        <f t="shared" ref="CI39:CJ39" si="66">(CI38/CI$4)*100</f>
        <v>22.822496238634134</v>
      </c>
      <c r="CJ39" s="58">
        <f t="shared" si="66"/>
        <v>22.734946003002797</v>
      </c>
      <c r="CK39" s="58">
        <f t="shared" ref="CK39:CL39" si="67">(CK38/CK$4)*100</f>
        <v>23.709414375571129</v>
      </c>
      <c r="CL39" s="58">
        <f t="shared" si="67"/>
        <v>22.156676109414803</v>
      </c>
      <c r="CM39" s="58">
        <f t="shared" ref="CM39:CO39" si="68">(CM38/CM$4)*100</f>
        <v>22.363463467715846</v>
      </c>
      <c r="CN39" s="58" t="e">
        <f t="shared" si="68"/>
        <v>#DIV/0!</v>
      </c>
      <c r="CO39" s="58">
        <f t="shared" si="68"/>
        <v>21.335341201119604</v>
      </c>
      <c r="CP39" s="58">
        <f t="shared" ref="CP39:CQ39" si="69">(CP38/CP$4)*100</f>
        <v>20.142182034253985</v>
      </c>
      <c r="CQ39" s="58">
        <f t="shared" si="69"/>
        <v>19.329620356650146</v>
      </c>
    </row>
    <row r="40" spans="1:95">
      <c r="A40" s="64" t="s">
        <v>120</v>
      </c>
      <c r="B40" s="69">
        <v>6762</v>
      </c>
      <c r="C40" s="68">
        <v>8225</v>
      </c>
      <c r="D40" s="68">
        <v>9927</v>
      </c>
      <c r="E40" s="68">
        <v>10390</v>
      </c>
      <c r="F40" s="68">
        <v>10118</v>
      </c>
      <c r="G40" s="68">
        <v>10341</v>
      </c>
      <c r="H40" s="68">
        <v>10921</v>
      </c>
      <c r="I40" s="68">
        <v>9979</v>
      </c>
      <c r="J40" s="68">
        <v>9490</v>
      </c>
      <c r="K40" s="68">
        <v>9115</v>
      </c>
      <c r="L40" s="68">
        <v>9494</v>
      </c>
      <c r="M40" s="68">
        <v>9718</v>
      </c>
      <c r="N40" s="68">
        <v>10038</v>
      </c>
      <c r="O40" s="68">
        <v>10218</v>
      </c>
      <c r="P40" s="68">
        <v>10361</v>
      </c>
      <c r="Q40" s="68">
        <v>10861</v>
      </c>
      <c r="R40" s="68">
        <v>10861</v>
      </c>
      <c r="S40" s="68">
        <v>10475</v>
      </c>
      <c r="T40" s="68">
        <v>11054</v>
      </c>
      <c r="U40" s="68">
        <v>10011</v>
      </c>
      <c r="V40" s="68">
        <v>9489</v>
      </c>
      <c r="W40" s="68">
        <v>9918</v>
      </c>
      <c r="X40" s="68">
        <v>10729</v>
      </c>
      <c r="Y40" s="68">
        <v>11180</v>
      </c>
      <c r="Z40" s="68">
        <v>10762</v>
      </c>
      <c r="AA40" s="68">
        <v>10564</v>
      </c>
      <c r="AB40" s="68">
        <v>10224</v>
      </c>
      <c r="AC40" s="68">
        <v>10025</v>
      </c>
      <c r="AD40" s="68">
        <v>10198</v>
      </c>
      <c r="AE40" s="68">
        <v>9943</v>
      </c>
      <c r="AF40" s="68">
        <v>9984</v>
      </c>
      <c r="AG40" s="68">
        <v>9899</v>
      </c>
      <c r="AH40" s="68">
        <v>10037</v>
      </c>
      <c r="AI40" s="68">
        <v>10975</v>
      </c>
      <c r="AJ40" s="68">
        <v>10975</v>
      </c>
      <c r="AK40" s="68">
        <v>11655</v>
      </c>
      <c r="AL40" s="68">
        <v>13115</v>
      </c>
      <c r="AM40" s="68">
        <v>13090</v>
      </c>
      <c r="AN40" s="68">
        <v>13898</v>
      </c>
      <c r="AO40" s="68">
        <v>14657</v>
      </c>
      <c r="AP40" s="68">
        <v>14168</v>
      </c>
      <c r="AQ40" s="68">
        <v>15485</v>
      </c>
      <c r="AR40" s="68">
        <v>15848</v>
      </c>
      <c r="AS40" s="68"/>
      <c r="AT40" s="68">
        <v>16156</v>
      </c>
      <c r="AU40" s="68">
        <v>16000</v>
      </c>
      <c r="AV40" s="68">
        <v>15884</v>
      </c>
      <c r="AW40" s="89">
        <v>4578</v>
      </c>
      <c r="AX40" s="68">
        <v>5818</v>
      </c>
      <c r="AY40" s="68">
        <v>7478</v>
      </c>
      <c r="AZ40" s="68">
        <v>8456</v>
      </c>
      <c r="BA40" s="68">
        <v>9371</v>
      </c>
      <c r="BB40" s="68">
        <v>9522</v>
      </c>
      <c r="BC40" s="68">
        <v>10009</v>
      </c>
      <c r="BD40" s="68">
        <v>10910</v>
      </c>
      <c r="BE40" s="68">
        <v>10629</v>
      </c>
      <c r="BF40" s="68">
        <v>10850</v>
      </c>
      <c r="BG40" s="68">
        <v>11719</v>
      </c>
      <c r="BH40" s="68">
        <v>11615</v>
      </c>
      <c r="BI40" s="68">
        <v>11975</v>
      </c>
      <c r="BJ40" s="68">
        <v>12553</v>
      </c>
      <c r="BK40" s="68">
        <v>13131</v>
      </c>
      <c r="BL40" s="68">
        <v>13729</v>
      </c>
      <c r="BM40" s="68">
        <v>13486</v>
      </c>
      <c r="BN40" s="68">
        <v>13666</v>
      </c>
      <c r="BO40" s="68">
        <v>13194</v>
      </c>
      <c r="BP40" s="68">
        <v>13838</v>
      </c>
      <c r="BQ40" s="68">
        <v>14546</v>
      </c>
      <c r="BR40" s="68">
        <v>15547</v>
      </c>
      <c r="BS40" s="68">
        <v>16440</v>
      </c>
      <c r="BT40" s="68">
        <v>16260</v>
      </c>
      <c r="BU40" s="68">
        <v>16562</v>
      </c>
      <c r="BV40" s="68">
        <v>16615</v>
      </c>
      <c r="BW40" s="68">
        <v>16411</v>
      </c>
      <c r="BX40" s="68">
        <v>16700</v>
      </c>
      <c r="BY40" s="68">
        <v>16165</v>
      </c>
      <c r="BZ40" s="68">
        <v>16577</v>
      </c>
      <c r="CA40" s="68">
        <v>16032</v>
      </c>
      <c r="CB40" s="68">
        <v>15887</v>
      </c>
      <c r="CC40" s="68">
        <v>16920</v>
      </c>
      <c r="CD40" s="68">
        <v>17763</v>
      </c>
      <c r="CE40" s="68">
        <v>21518</v>
      </c>
      <c r="CF40" s="68">
        <v>18958</v>
      </c>
      <c r="CG40" s="68">
        <v>22065</v>
      </c>
      <c r="CH40" s="68">
        <v>20923</v>
      </c>
      <c r="CI40" s="68">
        <v>22265</v>
      </c>
      <c r="CJ40" s="68">
        <v>23587</v>
      </c>
      <c r="CK40" s="31">
        <v>21103</v>
      </c>
      <c r="CL40" s="1">
        <v>22729</v>
      </c>
      <c r="CM40" s="1">
        <v>23216</v>
      </c>
      <c r="CO40" s="1">
        <v>23364</v>
      </c>
      <c r="CP40" s="1">
        <v>23572</v>
      </c>
      <c r="CQ40" s="1">
        <v>23309</v>
      </c>
    </row>
    <row r="41" spans="1:95">
      <c r="A41" s="64" t="s">
        <v>121</v>
      </c>
      <c r="B41" s="69">
        <v>1401</v>
      </c>
      <c r="C41" s="68">
        <v>1857</v>
      </c>
      <c r="D41" s="68">
        <v>1770</v>
      </c>
      <c r="E41" s="68">
        <v>1958</v>
      </c>
      <c r="F41" s="68">
        <v>2052</v>
      </c>
      <c r="G41" s="68">
        <v>2357</v>
      </c>
      <c r="H41" s="68">
        <v>2602</v>
      </c>
      <c r="I41" s="68">
        <v>2807</v>
      </c>
      <c r="J41" s="68">
        <v>2521</v>
      </c>
      <c r="K41" s="68">
        <v>2539</v>
      </c>
      <c r="L41" s="68">
        <v>3576</v>
      </c>
      <c r="M41" s="68">
        <v>4072</v>
      </c>
      <c r="N41" s="68">
        <v>4872</v>
      </c>
      <c r="O41" s="68">
        <v>5045</v>
      </c>
      <c r="P41" s="68">
        <v>4985</v>
      </c>
      <c r="Q41" s="68">
        <v>4454</v>
      </c>
      <c r="R41" s="68">
        <v>4454</v>
      </c>
      <c r="S41" s="68">
        <v>4606</v>
      </c>
      <c r="T41" s="68">
        <v>4854</v>
      </c>
      <c r="U41" s="68">
        <v>4602</v>
      </c>
      <c r="V41" s="68">
        <v>4362</v>
      </c>
      <c r="W41" s="68">
        <v>4376</v>
      </c>
      <c r="X41" s="68">
        <v>4189</v>
      </c>
      <c r="Y41" s="68">
        <v>4284</v>
      </c>
      <c r="Z41" s="68">
        <v>4369</v>
      </c>
      <c r="AA41" s="68">
        <v>4604</v>
      </c>
      <c r="AB41" s="68">
        <v>4505</v>
      </c>
      <c r="AC41" s="68">
        <v>4053</v>
      </c>
      <c r="AD41" s="68">
        <v>4697</v>
      </c>
      <c r="AE41" s="68">
        <v>4478</v>
      </c>
      <c r="AF41" s="68">
        <v>4923</v>
      </c>
      <c r="AG41" s="68">
        <v>4804</v>
      </c>
      <c r="AH41" s="68">
        <v>5583</v>
      </c>
      <c r="AI41" s="68">
        <v>5977</v>
      </c>
      <c r="AJ41" s="68">
        <v>5977</v>
      </c>
      <c r="AK41" s="68">
        <v>6147</v>
      </c>
      <c r="AL41" s="68">
        <v>5907</v>
      </c>
      <c r="AM41" s="68">
        <v>5847</v>
      </c>
      <c r="AN41" s="68">
        <v>5764</v>
      </c>
      <c r="AO41" s="68">
        <v>6396</v>
      </c>
      <c r="AP41" s="68">
        <v>7165</v>
      </c>
      <c r="AQ41" s="68">
        <v>7560</v>
      </c>
      <c r="AR41" s="68">
        <v>6679</v>
      </c>
      <c r="AS41" s="68"/>
      <c r="AT41" s="68">
        <v>6292</v>
      </c>
      <c r="AU41" s="68">
        <v>5383</v>
      </c>
      <c r="AV41" s="68">
        <v>5491</v>
      </c>
      <c r="AW41" s="89">
        <v>936</v>
      </c>
      <c r="AX41" s="68">
        <v>1134</v>
      </c>
      <c r="AY41" s="68">
        <v>1552</v>
      </c>
      <c r="AZ41" s="68">
        <v>1726</v>
      </c>
      <c r="BA41" s="68">
        <v>1993</v>
      </c>
      <c r="BB41" s="68">
        <v>2146</v>
      </c>
      <c r="BC41" s="68">
        <v>2483</v>
      </c>
      <c r="BD41" s="68">
        <v>2783</v>
      </c>
      <c r="BE41" s="68">
        <v>2797</v>
      </c>
      <c r="BF41" s="68">
        <v>3039</v>
      </c>
      <c r="BG41" s="68">
        <v>3356</v>
      </c>
      <c r="BH41" s="68">
        <v>3638</v>
      </c>
      <c r="BI41" s="68">
        <v>4145</v>
      </c>
      <c r="BJ41" s="68">
        <v>4178</v>
      </c>
      <c r="BK41" s="68">
        <v>4281</v>
      </c>
      <c r="BL41" s="68">
        <v>4269</v>
      </c>
      <c r="BM41" s="68">
        <v>4075</v>
      </c>
      <c r="BN41" s="68">
        <v>4095</v>
      </c>
      <c r="BO41" s="68">
        <v>4300</v>
      </c>
      <c r="BP41" s="68">
        <v>4585</v>
      </c>
      <c r="BQ41" s="68">
        <v>4475</v>
      </c>
      <c r="BR41" s="68">
        <v>4581</v>
      </c>
      <c r="BS41" s="68">
        <v>4952</v>
      </c>
      <c r="BT41" s="68">
        <v>5220</v>
      </c>
      <c r="BU41" s="68">
        <v>5459</v>
      </c>
      <c r="BV41" s="68">
        <v>6183</v>
      </c>
      <c r="BW41" s="68">
        <v>5986</v>
      </c>
      <c r="BX41" s="68">
        <v>6050</v>
      </c>
      <c r="BY41" s="68">
        <v>6034</v>
      </c>
      <c r="BZ41" s="68">
        <v>6251</v>
      </c>
      <c r="CA41" s="68">
        <v>6045</v>
      </c>
      <c r="CB41" s="68">
        <v>6308</v>
      </c>
      <c r="CC41" s="68">
        <v>6809</v>
      </c>
      <c r="CD41" s="68">
        <v>7276</v>
      </c>
      <c r="CE41" s="68">
        <v>7753</v>
      </c>
      <c r="CF41" s="68">
        <v>8689</v>
      </c>
      <c r="CG41" s="68">
        <v>8203</v>
      </c>
      <c r="CH41" s="68">
        <v>8751</v>
      </c>
      <c r="CI41" s="68">
        <v>9241</v>
      </c>
      <c r="CJ41" s="68">
        <v>10320</v>
      </c>
      <c r="CK41" s="31">
        <v>11438</v>
      </c>
      <c r="CL41" s="1">
        <v>11870</v>
      </c>
      <c r="CM41" s="1">
        <v>12159</v>
      </c>
      <c r="CO41" s="1">
        <v>10951</v>
      </c>
      <c r="CP41" s="1">
        <v>9320</v>
      </c>
      <c r="CQ41" s="1">
        <v>8945</v>
      </c>
    </row>
    <row r="42" spans="1:95">
      <c r="A42" s="64" t="s">
        <v>118</v>
      </c>
      <c r="B42" s="69">
        <v>2155</v>
      </c>
      <c r="C42" s="68">
        <v>2778</v>
      </c>
      <c r="D42" s="68">
        <v>2611</v>
      </c>
      <c r="E42" s="68">
        <v>2582</v>
      </c>
      <c r="F42" s="68">
        <v>2495</v>
      </c>
      <c r="G42" s="68">
        <v>2590</v>
      </c>
      <c r="H42" s="68">
        <v>2589</v>
      </c>
      <c r="I42" s="68">
        <v>2531</v>
      </c>
      <c r="J42" s="68">
        <v>2428</v>
      </c>
      <c r="K42" s="68">
        <v>2461</v>
      </c>
      <c r="L42" s="68">
        <v>2648</v>
      </c>
      <c r="M42" s="68">
        <v>2986</v>
      </c>
      <c r="N42" s="68">
        <v>3268</v>
      </c>
      <c r="O42" s="68">
        <v>3213</v>
      </c>
      <c r="P42" s="68">
        <v>3418</v>
      </c>
      <c r="Q42" s="68">
        <v>3372</v>
      </c>
      <c r="R42" s="68">
        <v>3372</v>
      </c>
      <c r="S42" s="68">
        <v>3533</v>
      </c>
      <c r="T42" s="68">
        <v>3435</v>
      </c>
      <c r="U42" s="68">
        <v>3950</v>
      </c>
      <c r="V42" s="68">
        <v>3670</v>
      </c>
      <c r="W42" s="68">
        <v>3557</v>
      </c>
      <c r="X42" s="68">
        <v>3828</v>
      </c>
      <c r="Y42" s="68">
        <v>3685</v>
      </c>
      <c r="Z42" s="68">
        <v>3383</v>
      </c>
      <c r="AA42" s="68">
        <v>3271</v>
      </c>
      <c r="AB42" s="68">
        <v>3331</v>
      </c>
      <c r="AC42" s="68">
        <v>3514</v>
      </c>
      <c r="AD42" s="68">
        <v>3619</v>
      </c>
      <c r="AE42" s="68">
        <v>3822</v>
      </c>
      <c r="AF42" s="68">
        <v>3817</v>
      </c>
      <c r="AG42" s="68">
        <v>3938</v>
      </c>
      <c r="AH42" s="68">
        <v>4238</v>
      </c>
      <c r="AI42" s="68">
        <v>4570</v>
      </c>
      <c r="AJ42" s="68">
        <v>4570</v>
      </c>
      <c r="AK42" s="68">
        <v>5131</v>
      </c>
      <c r="AL42" s="68">
        <v>5220</v>
      </c>
      <c r="AM42" s="68">
        <v>5095</v>
      </c>
      <c r="AN42" s="68">
        <v>5244</v>
      </c>
      <c r="AO42" s="68">
        <v>5785</v>
      </c>
      <c r="AP42" s="68">
        <v>6991</v>
      </c>
      <c r="AQ42" s="68">
        <v>7220</v>
      </c>
      <c r="AR42" s="68">
        <v>6622</v>
      </c>
      <c r="AS42" s="68"/>
      <c r="AT42" s="68">
        <v>6621</v>
      </c>
      <c r="AU42" s="68">
        <v>6285</v>
      </c>
      <c r="AV42" s="68">
        <v>6549</v>
      </c>
      <c r="AW42" s="89">
        <v>1211</v>
      </c>
      <c r="AX42" s="68">
        <v>1714</v>
      </c>
      <c r="AY42" s="68">
        <v>1433</v>
      </c>
      <c r="AZ42" s="68">
        <v>1527</v>
      </c>
      <c r="BA42" s="68">
        <v>1715</v>
      </c>
      <c r="BB42" s="68">
        <v>1960</v>
      </c>
      <c r="BC42" s="68">
        <v>2058</v>
      </c>
      <c r="BD42" s="68">
        <v>2180</v>
      </c>
      <c r="BE42" s="68">
        <v>2312</v>
      </c>
      <c r="BF42" s="68">
        <v>2666</v>
      </c>
      <c r="BG42" s="68">
        <v>2955</v>
      </c>
      <c r="BH42" s="68">
        <v>3214</v>
      </c>
      <c r="BI42" s="68">
        <v>3584</v>
      </c>
      <c r="BJ42" s="68">
        <v>3618</v>
      </c>
      <c r="BK42" s="68">
        <v>3362</v>
      </c>
      <c r="BL42" s="68">
        <v>3704</v>
      </c>
      <c r="BM42" s="68">
        <v>3703</v>
      </c>
      <c r="BN42" s="68">
        <v>3578</v>
      </c>
      <c r="BO42" s="68">
        <v>4195</v>
      </c>
      <c r="BP42" s="68">
        <v>4218</v>
      </c>
      <c r="BQ42" s="68">
        <v>4522</v>
      </c>
      <c r="BR42" s="68">
        <v>5031</v>
      </c>
      <c r="BS42" s="68">
        <v>4659</v>
      </c>
      <c r="BT42" s="68">
        <v>4931</v>
      </c>
      <c r="BU42" s="68">
        <v>4920</v>
      </c>
      <c r="BV42" s="68">
        <v>5056</v>
      </c>
      <c r="BW42" s="68">
        <v>5263</v>
      </c>
      <c r="BX42" s="68">
        <v>5286</v>
      </c>
      <c r="BY42" s="68">
        <v>5481</v>
      </c>
      <c r="BZ42" s="68">
        <v>5550</v>
      </c>
      <c r="CA42" s="68">
        <v>5449</v>
      </c>
      <c r="CB42" s="68">
        <v>5701</v>
      </c>
      <c r="CC42" s="68">
        <v>6092</v>
      </c>
      <c r="CD42" s="68">
        <v>6506</v>
      </c>
      <c r="CE42" s="68">
        <v>7218</v>
      </c>
      <c r="CF42" s="68">
        <v>8706</v>
      </c>
      <c r="CG42" s="68">
        <v>9148</v>
      </c>
      <c r="CH42" s="68">
        <v>8442</v>
      </c>
      <c r="CI42" s="68">
        <v>8395</v>
      </c>
      <c r="CJ42" s="68">
        <v>10049</v>
      </c>
      <c r="CK42" s="31">
        <v>12299</v>
      </c>
      <c r="CL42" s="1">
        <v>13295</v>
      </c>
      <c r="CM42" s="1">
        <v>12145</v>
      </c>
      <c r="CO42" s="1">
        <v>10151</v>
      </c>
      <c r="CP42" s="1">
        <v>9354</v>
      </c>
      <c r="CQ42" s="1">
        <v>8640</v>
      </c>
    </row>
    <row r="43" spans="1:95">
      <c r="A43" s="64" t="s">
        <v>122</v>
      </c>
      <c r="B43" s="69">
        <v>2004</v>
      </c>
      <c r="C43" s="68">
        <v>2156</v>
      </c>
      <c r="D43" s="68">
        <v>2228</v>
      </c>
      <c r="E43" s="68">
        <v>2249</v>
      </c>
      <c r="F43" s="68">
        <v>2237</v>
      </c>
      <c r="G43" s="68">
        <v>2135</v>
      </c>
      <c r="H43" s="68">
        <v>2169</v>
      </c>
      <c r="I43" s="68">
        <v>2102</v>
      </c>
      <c r="J43" s="68">
        <v>2158</v>
      </c>
      <c r="K43" s="68">
        <v>2078</v>
      </c>
      <c r="L43" s="68">
        <v>1986</v>
      </c>
      <c r="M43" s="68">
        <v>2261</v>
      </c>
      <c r="N43" s="68">
        <v>2112</v>
      </c>
      <c r="O43" s="68">
        <v>2423</v>
      </c>
      <c r="P43" s="68">
        <v>2233</v>
      </c>
      <c r="Q43" s="68">
        <v>2049</v>
      </c>
      <c r="R43" s="68">
        <v>2049</v>
      </c>
      <c r="S43" s="68">
        <v>2309</v>
      </c>
      <c r="T43" s="68">
        <v>2060</v>
      </c>
      <c r="U43" s="68">
        <v>2120</v>
      </c>
      <c r="V43" s="68">
        <v>2258</v>
      </c>
      <c r="W43" s="68">
        <v>2307</v>
      </c>
      <c r="X43" s="68">
        <v>2584</v>
      </c>
      <c r="Y43" s="68">
        <v>2606</v>
      </c>
      <c r="Z43" s="68">
        <v>2684</v>
      </c>
      <c r="AA43" s="68">
        <v>2792</v>
      </c>
      <c r="AB43" s="68">
        <v>2878</v>
      </c>
      <c r="AC43" s="68">
        <v>2844</v>
      </c>
      <c r="AD43" s="68">
        <v>2865</v>
      </c>
      <c r="AE43" s="68">
        <v>2701</v>
      </c>
      <c r="AF43" s="68">
        <v>2937</v>
      </c>
      <c r="AG43" s="68">
        <v>2928</v>
      </c>
      <c r="AH43" s="68">
        <v>2885</v>
      </c>
      <c r="AI43" s="68">
        <v>3073</v>
      </c>
      <c r="AJ43" s="68">
        <v>3073</v>
      </c>
      <c r="AK43" s="68">
        <v>3094</v>
      </c>
      <c r="AL43" s="68">
        <v>3024</v>
      </c>
      <c r="AM43" s="68">
        <v>3127</v>
      </c>
      <c r="AN43" s="68">
        <v>2988</v>
      </c>
      <c r="AO43" s="68">
        <v>3331</v>
      </c>
      <c r="AP43" s="68">
        <v>3684</v>
      </c>
      <c r="AQ43" s="68">
        <v>3909</v>
      </c>
      <c r="AR43" s="68">
        <v>4147</v>
      </c>
      <c r="AS43" s="68"/>
      <c r="AT43" s="68">
        <v>4415</v>
      </c>
      <c r="AU43" s="68">
        <v>4189</v>
      </c>
      <c r="AV43" s="68">
        <v>4090</v>
      </c>
      <c r="AW43" s="89">
        <v>1469</v>
      </c>
      <c r="AX43" s="68">
        <v>1535</v>
      </c>
      <c r="AY43" s="68">
        <v>1673</v>
      </c>
      <c r="AZ43" s="68">
        <v>1767</v>
      </c>
      <c r="BA43" s="68">
        <v>1898</v>
      </c>
      <c r="BB43" s="68">
        <v>1912</v>
      </c>
      <c r="BC43" s="68">
        <v>2102</v>
      </c>
      <c r="BD43" s="68">
        <v>2168</v>
      </c>
      <c r="BE43" s="68">
        <v>2322</v>
      </c>
      <c r="BF43" s="68">
        <v>2375</v>
      </c>
      <c r="BG43" s="68">
        <v>2578</v>
      </c>
      <c r="BH43" s="68">
        <v>2763</v>
      </c>
      <c r="BI43" s="68">
        <v>2714</v>
      </c>
      <c r="BJ43" s="68">
        <v>2908</v>
      </c>
      <c r="BK43" s="68">
        <v>3030</v>
      </c>
      <c r="BL43" s="68">
        <v>2963</v>
      </c>
      <c r="BM43" s="68">
        <v>3101</v>
      </c>
      <c r="BN43" s="68">
        <v>2699</v>
      </c>
      <c r="BO43" s="68">
        <v>3051</v>
      </c>
      <c r="BP43" s="68">
        <v>3289</v>
      </c>
      <c r="BQ43" s="68">
        <v>3514</v>
      </c>
      <c r="BR43" s="68">
        <v>3787</v>
      </c>
      <c r="BS43" s="68">
        <v>3706</v>
      </c>
      <c r="BT43" s="68">
        <v>4032</v>
      </c>
      <c r="BU43" s="68">
        <v>4169</v>
      </c>
      <c r="BV43" s="68">
        <v>4403</v>
      </c>
      <c r="BW43" s="68">
        <v>4180</v>
      </c>
      <c r="BX43" s="68">
        <v>4298</v>
      </c>
      <c r="BY43" s="68">
        <v>3945</v>
      </c>
      <c r="BZ43" s="68">
        <v>4351</v>
      </c>
      <c r="CA43" s="68">
        <v>4366</v>
      </c>
      <c r="CB43" s="68">
        <v>4324</v>
      </c>
      <c r="CC43" s="68">
        <v>4337</v>
      </c>
      <c r="CD43" s="68">
        <v>4659</v>
      </c>
      <c r="CE43" s="68">
        <v>4883</v>
      </c>
      <c r="CF43" s="68">
        <v>4756</v>
      </c>
      <c r="CG43" s="68">
        <v>4821</v>
      </c>
      <c r="CH43" s="68">
        <v>5048</v>
      </c>
      <c r="CI43" s="68">
        <v>4854</v>
      </c>
      <c r="CJ43" s="68">
        <v>5093</v>
      </c>
      <c r="CK43" s="31">
        <v>5817</v>
      </c>
      <c r="CL43" s="1">
        <v>6309</v>
      </c>
      <c r="CM43" s="1">
        <v>6500</v>
      </c>
      <c r="CO43" s="1">
        <v>6709</v>
      </c>
      <c r="CP43" s="1">
        <v>6017</v>
      </c>
      <c r="CQ43" s="1">
        <v>5846</v>
      </c>
    </row>
    <row r="44" spans="1:95">
      <c r="A44" s="64" t="s">
        <v>125</v>
      </c>
      <c r="B44" s="69">
        <v>5763</v>
      </c>
      <c r="C44" s="68">
        <v>7223</v>
      </c>
      <c r="D44" s="68">
        <v>7845</v>
      </c>
      <c r="E44" s="68">
        <v>8525</v>
      </c>
      <c r="F44" s="68">
        <v>9106</v>
      </c>
      <c r="G44" s="68">
        <v>9028</v>
      </c>
      <c r="H44" s="68">
        <v>9296</v>
      </c>
      <c r="I44" s="68">
        <v>8848</v>
      </c>
      <c r="J44" s="68">
        <v>8779</v>
      </c>
      <c r="K44" s="68">
        <v>8458</v>
      </c>
      <c r="L44" s="68">
        <v>8552</v>
      </c>
      <c r="M44" s="68">
        <v>8915</v>
      </c>
      <c r="N44" s="68">
        <v>9682</v>
      </c>
      <c r="O44" s="68">
        <v>9883</v>
      </c>
      <c r="P44" s="68">
        <v>9353</v>
      </c>
      <c r="Q44" s="68">
        <v>8398</v>
      </c>
      <c r="R44" s="68">
        <v>8398</v>
      </c>
      <c r="S44" s="68">
        <v>8343</v>
      </c>
      <c r="T44" s="68">
        <v>7440</v>
      </c>
      <c r="U44" s="68">
        <v>7767</v>
      </c>
      <c r="V44" s="68">
        <v>8076</v>
      </c>
      <c r="W44" s="68">
        <v>8407</v>
      </c>
      <c r="X44" s="68">
        <v>8676</v>
      </c>
      <c r="Y44" s="68">
        <v>9268</v>
      </c>
      <c r="Z44" s="68">
        <v>8924</v>
      </c>
      <c r="AA44" s="68">
        <v>8102</v>
      </c>
      <c r="AB44" s="68">
        <v>7749</v>
      </c>
      <c r="AC44" s="68">
        <v>7838</v>
      </c>
      <c r="AD44" s="68">
        <v>7630</v>
      </c>
      <c r="AE44" s="68">
        <v>7997</v>
      </c>
      <c r="AF44" s="68">
        <v>6953</v>
      </c>
      <c r="AG44" s="68">
        <v>7086</v>
      </c>
      <c r="AH44" s="68">
        <v>6887</v>
      </c>
      <c r="AI44" s="68">
        <v>7705</v>
      </c>
      <c r="AJ44" s="68">
        <v>7705</v>
      </c>
      <c r="AK44" s="68">
        <v>8782</v>
      </c>
      <c r="AL44" s="68">
        <v>9238</v>
      </c>
      <c r="AM44" s="68">
        <v>9924</v>
      </c>
      <c r="AN44" s="68">
        <v>10298</v>
      </c>
      <c r="AO44" s="68">
        <v>11302</v>
      </c>
      <c r="AP44" s="68">
        <v>11918</v>
      </c>
      <c r="AQ44" s="68">
        <v>12969</v>
      </c>
      <c r="AR44" s="68">
        <v>13120</v>
      </c>
      <c r="AS44" s="68"/>
      <c r="AT44" s="68">
        <v>12524</v>
      </c>
      <c r="AU44" s="68">
        <v>11317</v>
      </c>
      <c r="AV44" s="68">
        <v>11204</v>
      </c>
      <c r="AW44" s="89">
        <v>4106</v>
      </c>
      <c r="AX44" s="68">
        <v>4977</v>
      </c>
      <c r="AY44" s="68">
        <v>5885</v>
      </c>
      <c r="AZ44" s="68">
        <v>6748</v>
      </c>
      <c r="BA44" s="68">
        <v>7166</v>
      </c>
      <c r="BB44" s="68">
        <v>7483</v>
      </c>
      <c r="BC44" s="68">
        <v>8328</v>
      </c>
      <c r="BD44" s="68">
        <v>9042</v>
      </c>
      <c r="BE44" s="68">
        <v>9768</v>
      </c>
      <c r="BF44" s="68">
        <v>9854</v>
      </c>
      <c r="BG44" s="68">
        <v>10386</v>
      </c>
      <c r="BH44" s="68">
        <v>11436</v>
      </c>
      <c r="BI44" s="68">
        <v>12236</v>
      </c>
      <c r="BJ44" s="68">
        <v>12819</v>
      </c>
      <c r="BK44" s="68">
        <v>13506</v>
      </c>
      <c r="BL44" s="68">
        <v>12986</v>
      </c>
      <c r="BM44" s="68">
        <v>13491</v>
      </c>
      <c r="BN44" s="68">
        <v>11858</v>
      </c>
      <c r="BO44" s="68">
        <v>12401</v>
      </c>
      <c r="BP44" s="68">
        <v>13080</v>
      </c>
      <c r="BQ44" s="68">
        <v>14015</v>
      </c>
      <c r="BR44" s="68">
        <v>14432</v>
      </c>
      <c r="BS44" s="68">
        <v>14963</v>
      </c>
      <c r="BT44" s="68">
        <v>15291</v>
      </c>
      <c r="BU44" s="68">
        <v>14594</v>
      </c>
      <c r="BV44" s="68">
        <v>13907</v>
      </c>
      <c r="BW44" s="68">
        <v>14096</v>
      </c>
      <c r="BX44" s="68">
        <v>13363</v>
      </c>
      <c r="BY44" s="68">
        <v>13734</v>
      </c>
      <c r="BZ44" s="68">
        <v>11898</v>
      </c>
      <c r="CA44" s="68">
        <v>12448</v>
      </c>
      <c r="CB44" s="68">
        <v>11881</v>
      </c>
      <c r="CC44" s="68">
        <v>13440</v>
      </c>
      <c r="CD44" s="68">
        <v>14131</v>
      </c>
      <c r="CE44" s="68">
        <v>15332</v>
      </c>
      <c r="CF44" s="68">
        <v>15591</v>
      </c>
      <c r="CG44" s="68">
        <v>15953</v>
      </c>
      <c r="CH44" s="68">
        <v>16519</v>
      </c>
      <c r="CI44" s="68">
        <v>16844</v>
      </c>
      <c r="CJ44" s="68">
        <v>17989</v>
      </c>
      <c r="CK44" s="31">
        <v>18941</v>
      </c>
      <c r="CL44" s="1">
        <v>20353</v>
      </c>
      <c r="CM44" s="1">
        <v>21072</v>
      </c>
      <c r="CO44" s="1">
        <v>20048</v>
      </c>
      <c r="CP44" s="1">
        <v>18470</v>
      </c>
      <c r="CQ44" s="1">
        <v>17078</v>
      </c>
    </row>
    <row r="45" spans="1:95">
      <c r="A45" s="64" t="s">
        <v>126</v>
      </c>
      <c r="B45" s="69">
        <v>2341</v>
      </c>
      <c r="C45" s="68">
        <v>2491</v>
      </c>
      <c r="D45" s="68">
        <v>2695</v>
      </c>
      <c r="E45" s="68">
        <v>2722</v>
      </c>
      <c r="F45" s="68">
        <v>2561</v>
      </c>
      <c r="G45" s="68">
        <v>2611</v>
      </c>
      <c r="H45" s="68">
        <v>2564</v>
      </c>
      <c r="I45" s="68">
        <v>2490</v>
      </c>
      <c r="J45" s="68">
        <v>2168</v>
      </c>
      <c r="K45" s="68">
        <v>2348</v>
      </c>
      <c r="L45" s="68">
        <v>2574</v>
      </c>
      <c r="M45" s="68">
        <v>2897</v>
      </c>
      <c r="N45" s="68">
        <v>2826</v>
      </c>
      <c r="O45" s="68">
        <v>2853</v>
      </c>
      <c r="P45" s="68">
        <v>2864</v>
      </c>
      <c r="Q45" s="68">
        <v>2767</v>
      </c>
      <c r="R45" s="68">
        <v>2767</v>
      </c>
      <c r="S45" s="68">
        <v>3117</v>
      </c>
      <c r="T45" s="68">
        <v>3146</v>
      </c>
      <c r="U45" s="68">
        <v>2819</v>
      </c>
      <c r="V45" s="68">
        <v>2975</v>
      </c>
      <c r="W45" s="68">
        <v>3162</v>
      </c>
      <c r="X45" s="68">
        <v>3638</v>
      </c>
      <c r="Y45" s="68">
        <v>3866</v>
      </c>
      <c r="Z45" s="68">
        <v>3768</v>
      </c>
      <c r="AA45" s="68">
        <v>5524</v>
      </c>
      <c r="AB45" s="68">
        <v>4863</v>
      </c>
      <c r="AC45" s="68">
        <v>3987</v>
      </c>
      <c r="AD45" s="68">
        <v>4110</v>
      </c>
      <c r="AE45" s="68">
        <v>3834</v>
      </c>
      <c r="AF45" s="68">
        <v>4419</v>
      </c>
      <c r="AG45" s="68">
        <v>4420</v>
      </c>
      <c r="AH45" s="68">
        <v>4781</v>
      </c>
      <c r="AI45" s="68">
        <v>5771</v>
      </c>
      <c r="AJ45" s="68">
        <v>5771</v>
      </c>
      <c r="AK45" s="68">
        <v>5636</v>
      </c>
      <c r="AL45" s="68">
        <v>5833</v>
      </c>
      <c r="AM45" s="68">
        <v>6309</v>
      </c>
      <c r="AN45" s="68">
        <v>6542</v>
      </c>
      <c r="AO45" s="68">
        <v>6967</v>
      </c>
      <c r="AP45" s="68">
        <v>7942</v>
      </c>
      <c r="AQ45" s="68">
        <v>8078</v>
      </c>
      <c r="AR45" s="68">
        <v>8195</v>
      </c>
      <c r="AS45" s="68"/>
      <c r="AT45" s="68">
        <v>7765</v>
      </c>
      <c r="AU45" s="68">
        <v>7399</v>
      </c>
      <c r="AV45" s="68">
        <v>7005</v>
      </c>
      <c r="AW45" s="89">
        <v>1891</v>
      </c>
      <c r="AX45" s="68">
        <v>2389</v>
      </c>
      <c r="AY45" s="68">
        <v>2615</v>
      </c>
      <c r="AZ45" s="68">
        <v>2868</v>
      </c>
      <c r="BA45" s="68">
        <v>2871</v>
      </c>
      <c r="BB45" s="68">
        <v>2948</v>
      </c>
      <c r="BC45" s="68">
        <v>3135</v>
      </c>
      <c r="BD45" s="68">
        <v>3505</v>
      </c>
      <c r="BE45" s="68">
        <v>3572</v>
      </c>
      <c r="BF45" s="68">
        <v>3909</v>
      </c>
      <c r="BG45" s="68">
        <v>4016</v>
      </c>
      <c r="BH45" s="68">
        <v>4146</v>
      </c>
      <c r="BI45" s="68">
        <v>3948</v>
      </c>
      <c r="BJ45" s="68">
        <v>4068</v>
      </c>
      <c r="BK45" s="68">
        <v>4078</v>
      </c>
      <c r="BL45" s="68">
        <v>3676</v>
      </c>
      <c r="BM45" s="68">
        <v>4410</v>
      </c>
      <c r="BN45" s="68">
        <v>4445</v>
      </c>
      <c r="BO45" s="68">
        <v>4128</v>
      </c>
      <c r="BP45" s="68">
        <v>4699</v>
      </c>
      <c r="BQ45" s="68">
        <v>4846</v>
      </c>
      <c r="BR45" s="68">
        <v>5545</v>
      </c>
      <c r="BS45" s="68">
        <v>5900</v>
      </c>
      <c r="BT45" s="68">
        <v>5940</v>
      </c>
      <c r="BU45" s="68">
        <v>6692</v>
      </c>
      <c r="BV45" s="68">
        <v>6650</v>
      </c>
      <c r="BW45" s="68">
        <v>6657</v>
      </c>
      <c r="BX45" s="68">
        <v>6942</v>
      </c>
      <c r="BY45" s="68">
        <v>6643</v>
      </c>
      <c r="BZ45" s="68">
        <v>6611</v>
      </c>
      <c r="CA45" s="68">
        <v>6478</v>
      </c>
      <c r="CB45" s="68">
        <v>7061</v>
      </c>
      <c r="CC45" s="68">
        <v>7844</v>
      </c>
      <c r="CD45" s="68">
        <v>8417</v>
      </c>
      <c r="CE45" s="68">
        <v>9338</v>
      </c>
      <c r="CF45" s="68">
        <v>9489</v>
      </c>
      <c r="CG45" s="68">
        <v>9984</v>
      </c>
      <c r="CH45" s="68">
        <v>10283</v>
      </c>
      <c r="CI45" s="68">
        <v>10543</v>
      </c>
      <c r="CJ45" s="68">
        <v>11486</v>
      </c>
      <c r="CK45" s="31">
        <v>12538</v>
      </c>
      <c r="CL45" s="1">
        <v>12402</v>
      </c>
      <c r="CM45" s="1">
        <v>13469</v>
      </c>
      <c r="CO45" s="1">
        <v>12376</v>
      </c>
      <c r="CP45" s="1">
        <v>12127</v>
      </c>
      <c r="CQ45" s="1">
        <v>10922</v>
      </c>
    </row>
    <row r="46" spans="1:95">
      <c r="A46" s="64" t="s">
        <v>127</v>
      </c>
      <c r="B46" s="69">
        <v>1836</v>
      </c>
      <c r="C46" s="68">
        <v>2209</v>
      </c>
      <c r="D46" s="68">
        <v>2653</v>
      </c>
      <c r="E46" s="68">
        <v>2557</v>
      </c>
      <c r="F46" s="68">
        <v>2620</v>
      </c>
      <c r="G46" s="68">
        <v>4405</v>
      </c>
      <c r="H46" s="68">
        <v>3984</v>
      </c>
      <c r="I46" s="68">
        <v>3458</v>
      </c>
      <c r="J46" s="68">
        <v>3195</v>
      </c>
      <c r="K46" s="68">
        <v>2754</v>
      </c>
      <c r="L46" s="68">
        <v>2896</v>
      </c>
      <c r="M46" s="68">
        <v>3101</v>
      </c>
      <c r="N46" s="68">
        <v>3213</v>
      </c>
      <c r="O46" s="68">
        <v>3191</v>
      </c>
      <c r="P46" s="68">
        <v>3224</v>
      </c>
      <c r="Q46" s="68">
        <v>3027</v>
      </c>
      <c r="R46" s="68">
        <v>3027</v>
      </c>
      <c r="S46" s="68">
        <v>2820</v>
      </c>
      <c r="T46" s="68">
        <v>2920</v>
      </c>
      <c r="U46" s="68">
        <v>2945</v>
      </c>
      <c r="V46" s="68">
        <v>2927</v>
      </c>
      <c r="W46" s="68">
        <v>3281</v>
      </c>
      <c r="X46" s="68">
        <v>3280</v>
      </c>
      <c r="Y46" s="68">
        <v>3236</v>
      </c>
      <c r="Z46" s="68">
        <v>3406</v>
      </c>
      <c r="AA46" s="68">
        <v>3467</v>
      </c>
      <c r="AB46" s="68">
        <v>3854</v>
      </c>
      <c r="AC46" s="68">
        <v>3639</v>
      </c>
      <c r="AD46" s="68">
        <v>4096</v>
      </c>
      <c r="AE46" s="68">
        <v>3915</v>
      </c>
      <c r="AF46" s="68">
        <v>4311</v>
      </c>
      <c r="AG46" s="68">
        <v>4218</v>
      </c>
      <c r="AH46" s="68">
        <v>4363</v>
      </c>
      <c r="AI46" s="68">
        <v>4790</v>
      </c>
      <c r="AJ46" s="68">
        <v>4790</v>
      </c>
      <c r="AK46" s="68">
        <v>4938</v>
      </c>
      <c r="AL46" s="68">
        <v>5048</v>
      </c>
      <c r="AM46" s="68">
        <v>5275</v>
      </c>
      <c r="AN46" s="68">
        <v>5552</v>
      </c>
      <c r="AO46" s="68">
        <v>6066</v>
      </c>
      <c r="AP46" s="68">
        <v>6955</v>
      </c>
      <c r="AQ46" s="68">
        <v>7539</v>
      </c>
      <c r="AR46" s="68">
        <v>7461</v>
      </c>
      <c r="AS46" s="68"/>
      <c r="AT46" s="68">
        <v>7527</v>
      </c>
      <c r="AU46" s="68">
        <v>7210</v>
      </c>
      <c r="AV46" s="68">
        <v>6837</v>
      </c>
      <c r="AW46" s="89">
        <v>2365</v>
      </c>
      <c r="AX46" s="68">
        <v>2359</v>
      </c>
      <c r="AY46" s="68">
        <v>2497</v>
      </c>
      <c r="AZ46" s="68">
        <v>2533</v>
      </c>
      <c r="BA46" s="68">
        <v>2510</v>
      </c>
      <c r="BB46" s="68">
        <v>3176</v>
      </c>
      <c r="BC46" s="68">
        <v>3117</v>
      </c>
      <c r="BD46" s="68">
        <v>3261</v>
      </c>
      <c r="BE46" s="68">
        <v>3463</v>
      </c>
      <c r="BF46" s="68">
        <v>3229</v>
      </c>
      <c r="BG46" s="68">
        <v>3448</v>
      </c>
      <c r="BH46" s="68">
        <v>3543</v>
      </c>
      <c r="BI46" s="68">
        <v>3780</v>
      </c>
      <c r="BJ46" s="68">
        <v>3915</v>
      </c>
      <c r="BK46" s="68">
        <v>3983</v>
      </c>
      <c r="BL46" s="68">
        <v>3764</v>
      </c>
      <c r="BM46" s="68">
        <v>3672</v>
      </c>
      <c r="BN46" s="68">
        <v>3791</v>
      </c>
      <c r="BO46" s="68">
        <v>3953</v>
      </c>
      <c r="BP46" s="68">
        <v>3976</v>
      </c>
      <c r="BQ46" s="68">
        <v>4282</v>
      </c>
      <c r="BR46" s="68">
        <v>4538</v>
      </c>
      <c r="BS46" s="68">
        <v>4787</v>
      </c>
      <c r="BT46" s="68">
        <v>5018</v>
      </c>
      <c r="BU46" s="68">
        <v>5461</v>
      </c>
      <c r="BV46" s="68">
        <v>6230</v>
      </c>
      <c r="BW46" s="68">
        <v>6025</v>
      </c>
      <c r="BX46" s="68">
        <v>6111</v>
      </c>
      <c r="BY46" s="68">
        <v>6441</v>
      </c>
      <c r="BZ46" s="68">
        <v>6292</v>
      </c>
      <c r="CA46" s="68">
        <v>6453</v>
      </c>
      <c r="CB46" s="68">
        <v>6585</v>
      </c>
      <c r="CC46" s="68">
        <v>7214</v>
      </c>
      <c r="CD46" s="68">
        <v>7598</v>
      </c>
      <c r="CE46" s="68">
        <v>8564</v>
      </c>
      <c r="CF46" s="68">
        <v>9009</v>
      </c>
      <c r="CG46" s="68">
        <v>8946</v>
      </c>
      <c r="CH46" s="68">
        <v>9170</v>
      </c>
      <c r="CI46" s="68">
        <v>9151</v>
      </c>
      <c r="CJ46" s="68">
        <v>9646</v>
      </c>
      <c r="CK46" s="31">
        <v>11095</v>
      </c>
      <c r="CL46" s="1">
        <v>11676</v>
      </c>
      <c r="CM46" s="1">
        <v>11648</v>
      </c>
      <c r="CO46" s="1">
        <v>11223</v>
      </c>
      <c r="CP46" s="1">
        <v>11018</v>
      </c>
      <c r="CQ46" s="1">
        <v>10421</v>
      </c>
    </row>
    <row r="47" spans="1:95">
      <c r="A47" s="64" t="s">
        <v>131</v>
      </c>
      <c r="B47" s="69">
        <v>461</v>
      </c>
      <c r="C47" s="68">
        <v>560</v>
      </c>
      <c r="D47" s="68">
        <v>660</v>
      </c>
      <c r="E47" s="68">
        <v>679</v>
      </c>
      <c r="F47" s="68">
        <v>1058</v>
      </c>
      <c r="G47" s="68">
        <v>1146</v>
      </c>
      <c r="H47" s="68">
        <v>1201</v>
      </c>
      <c r="I47" s="68">
        <v>1288</v>
      </c>
      <c r="J47" s="68">
        <v>1276</v>
      </c>
      <c r="K47" s="68">
        <v>1303</v>
      </c>
      <c r="L47" s="68">
        <v>1293</v>
      </c>
      <c r="M47" s="68">
        <v>1397</v>
      </c>
      <c r="N47" s="68">
        <v>1641</v>
      </c>
      <c r="O47" s="68">
        <v>1676</v>
      </c>
      <c r="P47" s="68">
        <v>1639</v>
      </c>
      <c r="Q47" s="68">
        <v>1540</v>
      </c>
      <c r="R47" s="68">
        <v>1540</v>
      </c>
      <c r="S47" s="68">
        <v>1624</v>
      </c>
      <c r="T47" s="68">
        <v>1502</v>
      </c>
      <c r="U47" s="68">
        <v>1454</v>
      </c>
      <c r="V47" s="68">
        <v>1402</v>
      </c>
      <c r="W47" s="68">
        <v>1521</v>
      </c>
      <c r="X47" s="68">
        <v>1808</v>
      </c>
      <c r="Y47" s="68">
        <v>1053</v>
      </c>
      <c r="Z47" s="68">
        <v>1609</v>
      </c>
      <c r="AA47" s="68">
        <v>1701</v>
      </c>
      <c r="AB47" s="68">
        <v>1443</v>
      </c>
      <c r="AC47" s="68">
        <v>1612</v>
      </c>
      <c r="AD47" s="68">
        <v>1823</v>
      </c>
      <c r="AE47" s="68">
        <v>1762</v>
      </c>
      <c r="AF47" s="68">
        <v>1940</v>
      </c>
      <c r="AG47" s="68">
        <v>1958</v>
      </c>
      <c r="AH47" s="68">
        <v>2121</v>
      </c>
      <c r="AI47" s="68">
        <v>2114</v>
      </c>
      <c r="AJ47" s="68">
        <v>2114</v>
      </c>
      <c r="AK47" s="68">
        <v>2246</v>
      </c>
      <c r="AL47" s="68">
        <v>2202</v>
      </c>
      <c r="AM47" s="68">
        <v>2260</v>
      </c>
      <c r="AN47" s="68">
        <v>2131</v>
      </c>
      <c r="AO47" s="68">
        <v>2226</v>
      </c>
      <c r="AP47" s="68">
        <v>2333</v>
      </c>
      <c r="AQ47" s="68">
        <v>2597</v>
      </c>
      <c r="AR47" s="68">
        <v>2683</v>
      </c>
      <c r="AS47" s="68"/>
      <c r="AT47" s="68">
        <v>2530</v>
      </c>
      <c r="AU47" s="68">
        <v>2291</v>
      </c>
      <c r="AV47" s="68">
        <v>2283</v>
      </c>
      <c r="AW47" s="89">
        <v>262</v>
      </c>
      <c r="AX47" s="68">
        <v>478</v>
      </c>
      <c r="AY47" s="68">
        <v>530</v>
      </c>
      <c r="AZ47" s="68">
        <v>533</v>
      </c>
      <c r="BA47" s="68">
        <v>540</v>
      </c>
      <c r="BB47" s="68">
        <v>659</v>
      </c>
      <c r="BC47" s="68">
        <v>751</v>
      </c>
      <c r="BD47" s="68">
        <v>835</v>
      </c>
      <c r="BE47" s="68">
        <v>872</v>
      </c>
      <c r="BF47" s="68">
        <v>941</v>
      </c>
      <c r="BG47" s="68">
        <v>1038</v>
      </c>
      <c r="BH47" s="68">
        <v>1134</v>
      </c>
      <c r="BI47" s="68">
        <v>1172</v>
      </c>
      <c r="BJ47" s="68">
        <v>1310</v>
      </c>
      <c r="BK47" s="68">
        <v>1244</v>
      </c>
      <c r="BL47" s="68">
        <v>1265</v>
      </c>
      <c r="BM47" s="68">
        <v>1294</v>
      </c>
      <c r="BN47" s="68">
        <v>1044</v>
      </c>
      <c r="BO47" s="68">
        <v>1280</v>
      </c>
      <c r="BP47" s="68">
        <v>1276</v>
      </c>
      <c r="BQ47" s="68">
        <v>1444</v>
      </c>
      <c r="BR47" s="68">
        <v>1922</v>
      </c>
      <c r="BS47" s="68">
        <v>1441</v>
      </c>
      <c r="BT47" s="68">
        <v>1580</v>
      </c>
      <c r="BU47" s="68">
        <v>1664</v>
      </c>
      <c r="BV47" s="68">
        <v>1753</v>
      </c>
      <c r="BW47" s="68">
        <v>1817</v>
      </c>
      <c r="BX47" s="68">
        <v>1922</v>
      </c>
      <c r="BY47" s="68">
        <v>1817</v>
      </c>
      <c r="BZ47" s="68">
        <v>1953</v>
      </c>
      <c r="CA47" s="68">
        <v>2030</v>
      </c>
      <c r="CB47" s="68">
        <v>2085</v>
      </c>
      <c r="CC47" s="68">
        <v>2156</v>
      </c>
      <c r="CD47" s="68">
        <v>2181</v>
      </c>
      <c r="CE47" s="68">
        <v>2514</v>
      </c>
      <c r="CF47" s="68">
        <v>2663</v>
      </c>
      <c r="CG47" s="68">
        <v>2716</v>
      </c>
      <c r="CH47" s="68">
        <v>2576</v>
      </c>
      <c r="CI47" s="68">
        <v>2632</v>
      </c>
      <c r="CJ47" s="68">
        <v>2634</v>
      </c>
      <c r="CK47" s="31">
        <v>3018</v>
      </c>
      <c r="CL47" s="1">
        <v>3164</v>
      </c>
      <c r="CM47" s="1">
        <v>3278</v>
      </c>
      <c r="CO47" s="1">
        <v>3182</v>
      </c>
      <c r="CP47" s="1">
        <v>2853</v>
      </c>
      <c r="CQ47" s="1">
        <v>2784</v>
      </c>
    </row>
    <row r="48" spans="1:95">
      <c r="A48" s="64" t="s">
        <v>130</v>
      </c>
      <c r="B48" s="69">
        <v>658</v>
      </c>
      <c r="C48" s="68">
        <v>627</v>
      </c>
      <c r="D48" s="68">
        <v>694</v>
      </c>
      <c r="E48" s="68">
        <v>763</v>
      </c>
      <c r="F48" s="68">
        <v>832</v>
      </c>
      <c r="G48" s="68">
        <v>811</v>
      </c>
      <c r="H48" s="68">
        <v>852</v>
      </c>
      <c r="I48" s="68">
        <v>919</v>
      </c>
      <c r="J48" s="68">
        <v>913</v>
      </c>
      <c r="K48" s="68">
        <v>831</v>
      </c>
      <c r="L48" s="68">
        <v>845</v>
      </c>
      <c r="M48" s="68">
        <v>869</v>
      </c>
      <c r="N48" s="68">
        <v>878</v>
      </c>
      <c r="O48" s="68">
        <v>838</v>
      </c>
      <c r="P48" s="68">
        <v>881</v>
      </c>
      <c r="Q48" s="68">
        <v>989</v>
      </c>
      <c r="R48" s="68">
        <v>989</v>
      </c>
      <c r="S48" s="68">
        <v>1024</v>
      </c>
      <c r="T48" s="68">
        <v>985</v>
      </c>
      <c r="U48" s="68">
        <v>887</v>
      </c>
      <c r="V48" s="68">
        <v>928</v>
      </c>
      <c r="W48" s="68">
        <v>841</v>
      </c>
      <c r="X48" s="68">
        <v>729</v>
      </c>
      <c r="Y48" s="68">
        <v>798</v>
      </c>
      <c r="Z48" s="68">
        <v>725</v>
      </c>
      <c r="AA48" s="68">
        <v>789</v>
      </c>
      <c r="AB48" s="68">
        <v>903</v>
      </c>
      <c r="AC48" s="68">
        <v>867</v>
      </c>
      <c r="AD48" s="68">
        <v>898</v>
      </c>
      <c r="AE48" s="68">
        <v>932</v>
      </c>
      <c r="AF48" s="68">
        <v>957</v>
      </c>
      <c r="AG48" s="68">
        <v>931</v>
      </c>
      <c r="AH48" s="68">
        <v>858</v>
      </c>
      <c r="AI48" s="68">
        <v>977</v>
      </c>
      <c r="AJ48" s="68">
        <v>977</v>
      </c>
      <c r="AK48" s="68">
        <v>938</v>
      </c>
      <c r="AL48" s="68">
        <v>953</v>
      </c>
      <c r="AM48" s="68">
        <v>931</v>
      </c>
      <c r="AN48" s="68">
        <v>982</v>
      </c>
      <c r="AO48" s="68">
        <v>1107</v>
      </c>
      <c r="AP48" s="68">
        <v>1108</v>
      </c>
      <c r="AQ48" s="68">
        <v>1070</v>
      </c>
      <c r="AR48" s="68">
        <v>1078</v>
      </c>
      <c r="AS48" s="68"/>
      <c r="AT48" s="68">
        <v>1109</v>
      </c>
      <c r="AU48" s="68">
        <v>1079</v>
      </c>
      <c r="AV48" s="68">
        <v>1099</v>
      </c>
      <c r="AW48" s="89">
        <v>370</v>
      </c>
      <c r="AX48" s="68">
        <v>394</v>
      </c>
      <c r="AY48" s="68">
        <v>469</v>
      </c>
      <c r="AZ48" s="68">
        <v>534</v>
      </c>
      <c r="BA48" s="68">
        <v>578</v>
      </c>
      <c r="BB48" s="68">
        <v>665</v>
      </c>
      <c r="BC48" s="68">
        <v>698</v>
      </c>
      <c r="BD48" s="68">
        <v>755</v>
      </c>
      <c r="BE48" s="68">
        <v>803</v>
      </c>
      <c r="BF48" s="68">
        <v>790</v>
      </c>
      <c r="BG48" s="68">
        <v>850</v>
      </c>
      <c r="BH48" s="68">
        <v>842</v>
      </c>
      <c r="BI48" s="68">
        <v>846</v>
      </c>
      <c r="BJ48" s="68">
        <v>896</v>
      </c>
      <c r="BK48" s="68">
        <v>874</v>
      </c>
      <c r="BL48" s="68">
        <v>952</v>
      </c>
      <c r="BM48" s="68">
        <v>956</v>
      </c>
      <c r="BN48" s="68">
        <v>901</v>
      </c>
      <c r="BO48" s="68">
        <v>910</v>
      </c>
      <c r="BP48" s="68">
        <v>947</v>
      </c>
      <c r="BQ48" s="68">
        <v>943</v>
      </c>
      <c r="BR48" s="68">
        <v>886</v>
      </c>
      <c r="BS48" s="68">
        <v>898</v>
      </c>
      <c r="BT48" s="68">
        <v>993</v>
      </c>
      <c r="BU48" s="68">
        <v>949</v>
      </c>
      <c r="BV48" s="68">
        <v>1124</v>
      </c>
      <c r="BW48" s="68">
        <v>1065</v>
      </c>
      <c r="BX48" s="68">
        <v>1132</v>
      </c>
      <c r="BY48" s="68">
        <v>927</v>
      </c>
      <c r="BZ48" s="68">
        <v>1094</v>
      </c>
      <c r="CA48" s="68">
        <v>1113</v>
      </c>
      <c r="CB48" s="68">
        <v>1026</v>
      </c>
      <c r="CC48" s="68">
        <v>1039</v>
      </c>
      <c r="CD48" s="68">
        <v>1195</v>
      </c>
      <c r="CE48" s="68">
        <v>1234</v>
      </c>
      <c r="CF48" s="68">
        <v>1200</v>
      </c>
      <c r="CG48" s="68">
        <v>1357</v>
      </c>
      <c r="CH48" s="68">
        <v>1280</v>
      </c>
      <c r="CI48" s="68">
        <v>1344</v>
      </c>
      <c r="CJ48" s="68">
        <v>1304</v>
      </c>
      <c r="CK48" s="31">
        <v>1444</v>
      </c>
      <c r="CL48" s="1">
        <v>1181</v>
      </c>
      <c r="CM48" s="1">
        <v>1308</v>
      </c>
      <c r="CO48" s="1">
        <v>1200</v>
      </c>
      <c r="CP48" s="1">
        <v>1143</v>
      </c>
      <c r="CQ48" s="1">
        <v>1250</v>
      </c>
    </row>
    <row r="49" spans="1:95">
      <c r="A49" s="64" t="s">
        <v>137</v>
      </c>
      <c r="B49" s="69">
        <v>3449</v>
      </c>
      <c r="C49" s="68">
        <v>4332</v>
      </c>
      <c r="D49" s="68">
        <v>5455</v>
      </c>
      <c r="E49" s="68">
        <v>6454</v>
      </c>
      <c r="F49" s="68">
        <v>6697</v>
      </c>
      <c r="G49" s="68">
        <v>6711</v>
      </c>
      <c r="H49" s="68">
        <v>6941</v>
      </c>
      <c r="I49" s="68">
        <v>6848</v>
      </c>
      <c r="J49" s="68">
        <v>6652</v>
      </c>
      <c r="K49" s="68">
        <v>6266</v>
      </c>
      <c r="L49" s="68">
        <v>7089</v>
      </c>
      <c r="M49" s="68">
        <v>7879</v>
      </c>
      <c r="N49" s="68">
        <v>8572</v>
      </c>
      <c r="O49" s="68">
        <v>8667</v>
      </c>
      <c r="P49" s="68">
        <v>8862</v>
      </c>
      <c r="Q49" s="68">
        <v>8129</v>
      </c>
      <c r="R49" s="68">
        <v>8129</v>
      </c>
      <c r="S49" s="68">
        <v>7986</v>
      </c>
      <c r="T49" s="68">
        <v>7775</v>
      </c>
      <c r="U49" s="68">
        <v>7962</v>
      </c>
      <c r="V49" s="68">
        <v>7111</v>
      </c>
      <c r="W49" s="68">
        <v>7354</v>
      </c>
      <c r="X49" s="68">
        <v>7865</v>
      </c>
      <c r="Y49" s="68">
        <v>8071</v>
      </c>
      <c r="Z49" s="68">
        <v>7676</v>
      </c>
      <c r="AA49" s="68">
        <v>7634</v>
      </c>
      <c r="AB49" s="68">
        <v>7302</v>
      </c>
      <c r="AC49" s="68">
        <v>7729</v>
      </c>
      <c r="AD49" s="68">
        <v>7047</v>
      </c>
      <c r="AE49" s="68">
        <v>7010</v>
      </c>
      <c r="AF49" s="68">
        <v>7223</v>
      </c>
      <c r="AG49" s="68">
        <v>7184</v>
      </c>
      <c r="AH49" s="68">
        <v>7540</v>
      </c>
      <c r="AI49" s="68">
        <v>8455</v>
      </c>
      <c r="AJ49" s="68">
        <v>8461</v>
      </c>
      <c r="AK49" s="68">
        <v>8875</v>
      </c>
      <c r="AL49" s="68">
        <v>8688</v>
      </c>
      <c r="AM49" s="68">
        <v>9724</v>
      </c>
      <c r="AN49" s="68">
        <v>10141</v>
      </c>
      <c r="AO49" s="68">
        <v>10973</v>
      </c>
      <c r="AP49" s="68">
        <v>12426</v>
      </c>
      <c r="AQ49" s="68">
        <v>13371</v>
      </c>
      <c r="AR49" s="68">
        <v>12402</v>
      </c>
      <c r="AS49" s="68"/>
      <c r="AT49" s="68">
        <v>12456</v>
      </c>
      <c r="AU49" s="68">
        <v>11837</v>
      </c>
      <c r="AV49" s="68">
        <v>12335</v>
      </c>
      <c r="AW49" s="89">
        <v>2235</v>
      </c>
      <c r="AX49" s="68">
        <v>2931</v>
      </c>
      <c r="AY49" s="68">
        <v>4051</v>
      </c>
      <c r="AZ49" s="68">
        <v>5035</v>
      </c>
      <c r="BA49" s="68">
        <v>5688</v>
      </c>
      <c r="BB49" s="68">
        <v>5782</v>
      </c>
      <c r="BC49" s="68">
        <v>6607</v>
      </c>
      <c r="BD49" s="68">
        <v>7471</v>
      </c>
      <c r="BE49" s="68">
        <v>7659</v>
      </c>
      <c r="BF49" s="68">
        <v>7948</v>
      </c>
      <c r="BG49" s="68">
        <v>8366</v>
      </c>
      <c r="BH49" s="68">
        <v>9233</v>
      </c>
      <c r="BI49" s="68">
        <v>9653</v>
      </c>
      <c r="BJ49" s="68">
        <v>10213</v>
      </c>
      <c r="BK49" s="68">
        <v>10078</v>
      </c>
      <c r="BL49" s="68">
        <v>10222</v>
      </c>
      <c r="BM49" s="68">
        <v>9864</v>
      </c>
      <c r="BN49" s="68">
        <v>9876</v>
      </c>
      <c r="BO49" s="68">
        <v>10865</v>
      </c>
      <c r="BP49" s="68">
        <v>10441</v>
      </c>
      <c r="BQ49" s="68">
        <v>11092</v>
      </c>
      <c r="BR49" s="68">
        <v>11724</v>
      </c>
      <c r="BS49" s="68">
        <v>11810</v>
      </c>
      <c r="BT49" s="68">
        <v>12441</v>
      </c>
      <c r="BU49" s="68">
        <v>12549</v>
      </c>
      <c r="BV49" s="68">
        <v>13323</v>
      </c>
      <c r="BW49" s="68">
        <v>13813</v>
      </c>
      <c r="BX49" s="68">
        <v>12857</v>
      </c>
      <c r="BY49" s="68">
        <v>12387</v>
      </c>
      <c r="BZ49" s="68">
        <v>12170</v>
      </c>
      <c r="CA49" s="68">
        <v>12105</v>
      </c>
      <c r="CB49" s="68">
        <v>12348</v>
      </c>
      <c r="CC49" s="68">
        <v>12911</v>
      </c>
      <c r="CD49" s="68">
        <v>13841</v>
      </c>
      <c r="CE49" s="68">
        <v>14315</v>
      </c>
      <c r="CF49" s="68">
        <v>15330</v>
      </c>
      <c r="CG49" s="68">
        <v>15487</v>
      </c>
      <c r="CH49" s="68">
        <v>17106</v>
      </c>
      <c r="CI49" s="68">
        <v>17824</v>
      </c>
      <c r="CJ49" s="68">
        <v>18358</v>
      </c>
      <c r="CK49" s="31">
        <v>21053</v>
      </c>
      <c r="CL49" s="1">
        <v>22500</v>
      </c>
      <c r="CM49" s="1">
        <v>21167</v>
      </c>
      <c r="CO49" s="1">
        <v>20930</v>
      </c>
      <c r="CP49" s="1">
        <v>19658</v>
      </c>
      <c r="CQ49" s="1">
        <v>19039</v>
      </c>
    </row>
    <row r="50" spans="1:95">
      <c r="A50" s="64" t="s">
        <v>141</v>
      </c>
      <c r="B50" s="69">
        <v>161</v>
      </c>
      <c r="C50" s="68">
        <v>162</v>
      </c>
      <c r="D50" s="68">
        <v>162</v>
      </c>
      <c r="E50" s="68">
        <v>184</v>
      </c>
      <c r="F50" s="68">
        <v>200</v>
      </c>
      <c r="G50" s="68">
        <v>255</v>
      </c>
      <c r="H50" s="68">
        <v>387</v>
      </c>
      <c r="I50" s="68">
        <v>554</v>
      </c>
      <c r="J50" s="68">
        <v>580</v>
      </c>
      <c r="K50" s="68">
        <v>499</v>
      </c>
      <c r="L50" s="68">
        <v>448</v>
      </c>
      <c r="M50" s="68">
        <v>419</v>
      </c>
      <c r="N50" s="68">
        <v>349</v>
      </c>
      <c r="O50" s="68">
        <v>435</v>
      </c>
      <c r="P50" s="68">
        <v>266</v>
      </c>
      <c r="Q50" s="68">
        <v>263</v>
      </c>
      <c r="R50" s="68">
        <v>263</v>
      </c>
      <c r="S50" s="68">
        <v>169</v>
      </c>
      <c r="T50" s="68">
        <v>151</v>
      </c>
      <c r="U50" s="68">
        <v>152</v>
      </c>
      <c r="V50" s="68">
        <v>165</v>
      </c>
      <c r="W50" s="68">
        <v>176</v>
      </c>
      <c r="X50" s="68">
        <v>179</v>
      </c>
      <c r="Y50" s="68">
        <v>193</v>
      </c>
      <c r="Z50" s="68">
        <v>227</v>
      </c>
      <c r="AA50" s="68">
        <v>226</v>
      </c>
      <c r="AB50" s="68">
        <v>906</v>
      </c>
      <c r="AC50" s="68">
        <v>670</v>
      </c>
      <c r="AD50" s="68">
        <v>680</v>
      </c>
      <c r="AE50" s="68">
        <v>683</v>
      </c>
      <c r="AF50" s="68">
        <v>813</v>
      </c>
      <c r="AG50" s="68">
        <v>710</v>
      </c>
      <c r="AH50" s="68">
        <v>812</v>
      </c>
      <c r="AI50" s="68">
        <v>1145</v>
      </c>
      <c r="AJ50" s="68">
        <v>1145</v>
      </c>
      <c r="AK50" s="68">
        <v>1015</v>
      </c>
      <c r="AL50" s="68">
        <v>976</v>
      </c>
      <c r="AM50" s="68">
        <v>855</v>
      </c>
      <c r="AN50" s="68">
        <v>886</v>
      </c>
      <c r="AO50" s="68">
        <v>866</v>
      </c>
      <c r="AP50" s="68">
        <v>1237</v>
      </c>
      <c r="AQ50" s="68">
        <v>1220</v>
      </c>
      <c r="AR50" s="68">
        <v>1180</v>
      </c>
      <c r="AS50" s="68"/>
      <c r="AT50" s="68">
        <v>1195</v>
      </c>
      <c r="AU50" s="68">
        <v>1077</v>
      </c>
      <c r="AV50" s="68">
        <v>1240</v>
      </c>
      <c r="AW50" s="89">
        <v>257</v>
      </c>
      <c r="AX50" s="68">
        <v>244</v>
      </c>
      <c r="AY50" s="68">
        <v>335</v>
      </c>
      <c r="AZ50" s="68">
        <v>367</v>
      </c>
      <c r="BA50" s="68">
        <v>421</v>
      </c>
      <c r="BB50" s="68">
        <v>488</v>
      </c>
      <c r="BC50" s="68">
        <v>568</v>
      </c>
      <c r="BD50" s="68">
        <v>501</v>
      </c>
      <c r="BE50" s="68">
        <v>634</v>
      </c>
      <c r="BF50" s="68">
        <v>671</v>
      </c>
      <c r="BG50" s="68">
        <v>824</v>
      </c>
      <c r="BH50" s="68">
        <v>860</v>
      </c>
      <c r="BI50" s="68">
        <v>982</v>
      </c>
      <c r="BJ50" s="68">
        <v>934</v>
      </c>
      <c r="BK50" s="68">
        <v>779</v>
      </c>
      <c r="BL50" s="68">
        <v>818</v>
      </c>
      <c r="BM50" s="68">
        <v>624</v>
      </c>
      <c r="BN50" s="68">
        <v>680</v>
      </c>
      <c r="BO50" s="68">
        <v>631</v>
      </c>
      <c r="BP50" s="68">
        <v>626</v>
      </c>
      <c r="BQ50" s="68">
        <v>730</v>
      </c>
      <c r="BR50" s="68">
        <v>619</v>
      </c>
      <c r="BS50" s="68">
        <v>655</v>
      </c>
      <c r="BT50" s="68">
        <v>646</v>
      </c>
      <c r="BU50" s="68">
        <v>608</v>
      </c>
      <c r="BV50" s="68">
        <v>1068</v>
      </c>
      <c r="BW50" s="68">
        <v>952</v>
      </c>
      <c r="BX50" s="68">
        <v>994</v>
      </c>
      <c r="BY50" s="68">
        <v>1012</v>
      </c>
      <c r="BZ50" s="68">
        <v>1020</v>
      </c>
      <c r="CA50" s="68">
        <v>1044</v>
      </c>
      <c r="CB50" s="68">
        <v>1044</v>
      </c>
      <c r="CC50" s="68">
        <v>1205</v>
      </c>
      <c r="CD50" s="68">
        <v>1363</v>
      </c>
      <c r="CE50" s="68">
        <v>1274</v>
      </c>
      <c r="CF50" s="68">
        <v>1300</v>
      </c>
      <c r="CG50" s="68">
        <v>1292</v>
      </c>
      <c r="CH50" s="68">
        <v>1190</v>
      </c>
      <c r="CI50" s="68">
        <v>1078</v>
      </c>
      <c r="CJ50" s="68">
        <v>1086</v>
      </c>
      <c r="CK50" s="31">
        <v>1364</v>
      </c>
      <c r="CL50" s="1">
        <v>1479</v>
      </c>
      <c r="CM50" s="1">
        <v>1430</v>
      </c>
      <c r="CO50" s="1">
        <v>1284</v>
      </c>
      <c r="CP50" s="1">
        <v>1159</v>
      </c>
      <c r="CQ50" s="1">
        <v>1079</v>
      </c>
    </row>
    <row r="51" spans="1:95">
      <c r="A51" s="67" t="s">
        <v>144</v>
      </c>
      <c r="B51" s="69">
        <v>2023</v>
      </c>
      <c r="C51" s="68">
        <v>2480</v>
      </c>
      <c r="D51" s="68">
        <v>2719</v>
      </c>
      <c r="E51" s="68">
        <v>2840</v>
      </c>
      <c r="F51" s="68">
        <v>3251</v>
      </c>
      <c r="G51" s="68">
        <v>3524</v>
      </c>
      <c r="H51" s="68">
        <v>3601</v>
      </c>
      <c r="I51" s="68">
        <v>3582</v>
      </c>
      <c r="J51" s="68">
        <v>3634</v>
      </c>
      <c r="K51" s="68">
        <v>3097</v>
      </c>
      <c r="L51" s="68">
        <v>3300</v>
      </c>
      <c r="M51" s="68">
        <v>3502</v>
      </c>
      <c r="N51" s="68">
        <v>3924</v>
      </c>
      <c r="O51" s="68">
        <v>4154</v>
      </c>
      <c r="P51" s="68">
        <v>4115</v>
      </c>
      <c r="Q51" s="68">
        <v>3908</v>
      </c>
      <c r="R51" s="68">
        <v>3908</v>
      </c>
      <c r="S51" s="68">
        <v>3689</v>
      </c>
      <c r="T51" s="68">
        <v>3559</v>
      </c>
      <c r="U51" s="68">
        <v>3602</v>
      </c>
      <c r="V51" s="68">
        <v>3445</v>
      </c>
      <c r="W51" s="68">
        <v>3638</v>
      </c>
      <c r="X51" s="68">
        <v>3713</v>
      </c>
      <c r="Y51" s="68">
        <v>3677</v>
      </c>
      <c r="Z51" s="68">
        <v>3630</v>
      </c>
      <c r="AA51" s="68">
        <v>3715</v>
      </c>
      <c r="AB51" s="68">
        <v>3588</v>
      </c>
      <c r="AC51" s="68">
        <v>3601</v>
      </c>
      <c r="AD51" s="68">
        <v>3674</v>
      </c>
      <c r="AE51" s="68">
        <v>3595</v>
      </c>
      <c r="AF51" s="68">
        <v>3614</v>
      </c>
      <c r="AG51" s="68">
        <v>3699</v>
      </c>
      <c r="AH51" s="68">
        <v>4102</v>
      </c>
      <c r="AI51" s="68">
        <v>4590</v>
      </c>
      <c r="AJ51" s="68">
        <v>4590</v>
      </c>
      <c r="AK51" s="68">
        <v>4511</v>
      </c>
      <c r="AL51" s="68">
        <v>4405</v>
      </c>
      <c r="AM51" s="68">
        <v>4582</v>
      </c>
      <c r="AN51" s="68">
        <v>4735</v>
      </c>
      <c r="AO51" s="68">
        <v>4980</v>
      </c>
      <c r="AP51" s="68">
        <v>6171</v>
      </c>
      <c r="AQ51" s="68">
        <v>6609</v>
      </c>
      <c r="AR51" s="68">
        <v>6048</v>
      </c>
      <c r="AS51" s="68"/>
      <c r="AT51" s="68">
        <v>5584</v>
      </c>
      <c r="AU51" s="68">
        <v>5570</v>
      </c>
      <c r="AV51" s="68">
        <v>4961</v>
      </c>
      <c r="AW51" s="89">
        <v>774</v>
      </c>
      <c r="AX51" s="68">
        <v>1124</v>
      </c>
      <c r="AY51" s="68">
        <v>1323</v>
      </c>
      <c r="AZ51" s="68">
        <v>1611</v>
      </c>
      <c r="BA51" s="68">
        <v>1981</v>
      </c>
      <c r="BB51" s="68">
        <v>2335</v>
      </c>
      <c r="BC51" s="68">
        <v>2773</v>
      </c>
      <c r="BD51" s="68">
        <v>3188</v>
      </c>
      <c r="BE51" s="68">
        <v>3463</v>
      </c>
      <c r="BF51" s="68">
        <v>3428</v>
      </c>
      <c r="BG51" s="68">
        <v>3922</v>
      </c>
      <c r="BH51" s="68">
        <v>4272</v>
      </c>
      <c r="BI51" s="68">
        <v>4811</v>
      </c>
      <c r="BJ51" s="68">
        <v>5201</v>
      </c>
      <c r="BK51" s="68">
        <v>5056</v>
      </c>
      <c r="BL51" s="68">
        <v>5013</v>
      </c>
      <c r="BM51" s="68">
        <v>5034</v>
      </c>
      <c r="BN51" s="68">
        <v>5011</v>
      </c>
      <c r="BO51" s="68">
        <v>5056</v>
      </c>
      <c r="BP51" s="68">
        <v>5092</v>
      </c>
      <c r="BQ51" s="68">
        <v>5411</v>
      </c>
      <c r="BR51" s="68">
        <v>5909</v>
      </c>
      <c r="BS51" s="68">
        <v>5804</v>
      </c>
      <c r="BT51" s="68">
        <v>5764</v>
      </c>
      <c r="BU51" s="68">
        <v>5547</v>
      </c>
      <c r="BV51" s="68">
        <v>5577</v>
      </c>
      <c r="BW51" s="68">
        <v>5867</v>
      </c>
      <c r="BX51" s="68">
        <v>5712</v>
      </c>
      <c r="BY51" s="68">
        <v>5638</v>
      </c>
      <c r="BZ51" s="68">
        <v>5767</v>
      </c>
      <c r="CA51" s="68">
        <v>5759</v>
      </c>
      <c r="CB51" s="68">
        <v>6348</v>
      </c>
      <c r="CC51" s="68">
        <v>6359</v>
      </c>
      <c r="CD51" s="68">
        <v>6750</v>
      </c>
      <c r="CE51" s="68">
        <v>6865</v>
      </c>
      <c r="CF51" s="68">
        <v>7184</v>
      </c>
      <c r="CG51" s="68">
        <v>7382</v>
      </c>
      <c r="CH51" s="68">
        <v>7302</v>
      </c>
      <c r="CI51" s="68">
        <v>7473</v>
      </c>
      <c r="CJ51" s="68">
        <v>7771</v>
      </c>
      <c r="CK51" s="31">
        <v>8841</v>
      </c>
      <c r="CL51" s="5">
        <v>9682</v>
      </c>
      <c r="CM51" s="1">
        <v>9480</v>
      </c>
      <c r="CO51" s="1">
        <v>8926</v>
      </c>
      <c r="CP51" s="1">
        <v>8359</v>
      </c>
      <c r="CQ51" s="1">
        <v>7960</v>
      </c>
    </row>
    <row r="52" spans="1:95">
      <c r="A52" s="46" t="s">
        <v>187</v>
      </c>
      <c r="B52" s="81">
        <f>SUM(B54:B62)</f>
        <v>33694</v>
      </c>
      <c r="C52" s="59">
        <f t="shared" ref="C52:BV52" si="70">SUM(C54:C62)</f>
        <v>38109</v>
      </c>
      <c r="D52" s="59">
        <f t="shared" si="70"/>
        <v>39855</v>
      </c>
      <c r="E52" s="59">
        <f t="shared" si="70"/>
        <v>45167</v>
      </c>
      <c r="F52" s="59">
        <f t="shared" si="70"/>
        <v>46506</v>
      </c>
      <c r="G52" s="59">
        <f t="shared" si="70"/>
        <v>50081</v>
      </c>
      <c r="H52" s="59">
        <f t="shared" si="70"/>
        <v>50284</v>
      </c>
      <c r="I52" s="59">
        <f t="shared" si="70"/>
        <v>48051</v>
      </c>
      <c r="J52" s="59">
        <f t="shared" si="70"/>
        <v>44525</v>
      </c>
      <c r="K52" s="59">
        <f t="shared" si="70"/>
        <v>42474</v>
      </c>
      <c r="L52" s="59">
        <f t="shared" si="70"/>
        <v>44308</v>
      </c>
      <c r="M52" s="59">
        <f t="shared" si="70"/>
        <v>45415</v>
      </c>
      <c r="N52" s="59">
        <f t="shared" si="70"/>
        <v>46933</v>
      </c>
      <c r="O52" s="59">
        <f t="shared" si="70"/>
        <v>47542</v>
      </c>
      <c r="P52" s="59">
        <f t="shared" si="70"/>
        <v>46133</v>
      </c>
      <c r="Q52" s="59">
        <f t="shared" si="70"/>
        <v>44777</v>
      </c>
      <c r="R52" s="59">
        <f t="shared" si="70"/>
        <v>44777</v>
      </c>
      <c r="S52" s="59">
        <f t="shared" si="70"/>
        <v>42100</v>
      </c>
      <c r="T52" s="59">
        <f t="shared" si="70"/>
        <v>41286</v>
      </c>
      <c r="U52" s="59">
        <f t="shared" si="70"/>
        <v>38986</v>
      </c>
      <c r="V52" s="59">
        <f t="shared" si="70"/>
        <v>41514</v>
      </c>
      <c r="W52" s="59">
        <f t="shared" si="70"/>
        <v>43887</v>
      </c>
      <c r="X52" s="59">
        <f t="shared" si="70"/>
        <v>46096</v>
      </c>
      <c r="Y52" s="59">
        <f t="shared" si="70"/>
        <v>46001</v>
      </c>
      <c r="Z52" s="59">
        <f t="shared" si="70"/>
        <v>46314</v>
      </c>
      <c r="AA52" s="59">
        <f t="shared" si="70"/>
        <v>45819</v>
      </c>
      <c r="AB52" s="59">
        <f t="shared" si="70"/>
        <v>44044</v>
      </c>
      <c r="AC52" s="59">
        <f t="shared" si="70"/>
        <v>44560</v>
      </c>
      <c r="AD52" s="59">
        <f t="shared" si="70"/>
        <v>43173</v>
      </c>
      <c r="AE52" s="59">
        <f t="shared" si="70"/>
        <v>43666</v>
      </c>
      <c r="AF52" s="59">
        <f t="shared" si="70"/>
        <v>44489</v>
      </c>
      <c r="AG52" s="59">
        <f t="shared" si="70"/>
        <v>44482</v>
      </c>
      <c r="AH52" s="59">
        <f t="shared" si="70"/>
        <v>46151</v>
      </c>
      <c r="AI52" s="59">
        <f>SUM(AI54:AI62)</f>
        <v>47478</v>
      </c>
      <c r="AJ52" s="59">
        <f t="shared" si="70"/>
        <v>47453</v>
      </c>
      <c r="AK52" s="59">
        <f t="shared" si="70"/>
        <v>48504</v>
      </c>
      <c r="AL52" s="59">
        <f t="shared" si="70"/>
        <v>48698</v>
      </c>
      <c r="AM52" s="59">
        <f t="shared" si="70"/>
        <v>49474</v>
      </c>
      <c r="AN52" s="59">
        <f t="shared" ref="AN52:AO52" si="71">SUM(AN54:AN62)</f>
        <v>50680</v>
      </c>
      <c r="AO52" s="59">
        <f t="shared" si="71"/>
        <v>53744</v>
      </c>
      <c r="AP52" s="59">
        <f t="shared" ref="AP52:AQ52" si="72">SUM(AP54:AP62)</f>
        <v>57218</v>
      </c>
      <c r="AQ52" s="59">
        <f t="shared" si="72"/>
        <v>59322</v>
      </c>
      <c r="AR52" s="59">
        <f t="shared" ref="AR52:AT52" si="73">SUM(AR54:AR62)</f>
        <v>58735</v>
      </c>
      <c r="AS52" s="59">
        <f t="shared" si="73"/>
        <v>0</v>
      </c>
      <c r="AT52" s="59">
        <f t="shared" si="73"/>
        <v>59135</v>
      </c>
      <c r="AU52" s="59">
        <f t="shared" ref="AU52:AV52" si="74">SUM(AU54:AU62)</f>
        <v>57532</v>
      </c>
      <c r="AV52" s="59">
        <f t="shared" si="74"/>
        <v>56551</v>
      </c>
      <c r="AW52" s="87">
        <f t="shared" si="70"/>
        <v>29066</v>
      </c>
      <c r="AX52" s="59">
        <f t="shared" si="70"/>
        <v>32908</v>
      </c>
      <c r="AY52" s="59">
        <f t="shared" si="70"/>
        <v>36211</v>
      </c>
      <c r="AZ52" s="59">
        <f t="shared" si="70"/>
        <v>41338</v>
      </c>
      <c r="BA52" s="59">
        <f t="shared" si="70"/>
        <v>44598</v>
      </c>
      <c r="BB52" s="59">
        <f t="shared" si="70"/>
        <v>47593</v>
      </c>
      <c r="BC52" s="59">
        <f t="shared" si="70"/>
        <v>51168</v>
      </c>
      <c r="BD52" s="59">
        <f t="shared" si="70"/>
        <v>53579</v>
      </c>
      <c r="BE52" s="59">
        <f t="shared" si="70"/>
        <v>54164</v>
      </c>
      <c r="BF52" s="59">
        <f t="shared" si="70"/>
        <v>55442</v>
      </c>
      <c r="BG52" s="59">
        <f t="shared" si="70"/>
        <v>58642</v>
      </c>
      <c r="BH52" s="59">
        <f t="shared" si="70"/>
        <v>59569</v>
      </c>
      <c r="BI52" s="59">
        <f t="shared" si="70"/>
        <v>61413</v>
      </c>
      <c r="BJ52" s="59">
        <f t="shared" si="70"/>
        <v>63145</v>
      </c>
      <c r="BK52" s="59">
        <f t="shared" si="70"/>
        <v>63182</v>
      </c>
      <c r="BL52" s="59">
        <f t="shared" si="70"/>
        <v>62414</v>
      </c>
      <c r="BM52" s="59">
        <f t="shared" si="70"/>
        <v>61829</v>
      </c>
      <c r="BN52" s="59">
        <f t="shared" si="70"/>
        <v>60345</v>
      </c>
      <c r="BO52" s="59">
        <f t="shared" si="70"/>
        <v>59340</v>
      </c>
      <c r="BP52" s="59">
        <f t="shared" si="70"/>
        <v>62398</v>
      </c>
      <c r="BQ52" s="59">
        <f t="shared" si="70"/>
        <v>65585</v>
      </c>
      <c r="BR52" s="59">
        <f t="shared" si="70"/>
        <v>69368</v>
      </c>
      <c r="BS52" s="59">
        <f t="shared" si="70"/>
        <v>69426</v>
      </c>
      <c r="BT52" s="59">
        <f t="shared" si="70"/>
        <v>70454</v>
      </c>
      <c r="BU52" s="59">
        <f t="shared" si="70"/>
        <v>71060</v>
      </c>
      <c r="BV52" s="59">
        <f t="shared" si="70"/>
        <v>73376</v>
      </c>
      <c r="BW52" s="59">
        <f t="shared" ref="BW52:CH52" si="75">SUM(BW54:BW62)</f>
        <v>73178</v>
      </c>
      <c r="BX52" s="59">
        <f t="shared" si="75"/>
        <v>69399</v>
      </c>
      <c r="BY52" s="59">
        <f t="shared" si="75"/>
        <v>67930</v>
      </c>
      <c r="BZ52" s="59">
        <f t="shared" si="75"/>
        <v>67593</v>
      </c>
      <c r="CA52" s="59">
        <f t="shared" si="75"/>
        <v>67059</v>
      </c>
      <c r="CB52" s="59">
        <f t="shared" si="75"/>
        <v>70100</v>
      </c>
      <c r="CC52" s="59">
        <f t="shared" si="75"/>
        <v>69816</v>
      </c>
      <c r="CD52" s="59">
        <f>SUM(CD54:CD62)</f>
        <v>73520</v>
      </c>
      <c r="CE52" s="59">
        <f t="shared" si="75"/>
        <v>76375</v>
      </c>
      <c r="CF52" s="59">
        <f t="shared" si="75"/>
        <v>77581</v>
      </c>
      <c r="CG52" s="59">
        <f t="shared" si="75"/>
        <v>77908</v>
      </c>
      <c r="CH52" s="59">
        <f t="shared" si="75"/>
        <v>78608</v>
      </c>
      <c r="CI52" s="59">
        <f t="shared" ref="CI52:CJ52" si="76">SUM(CI54:CI62)</f>
        <v>80599</v>
      </c>
      <c r="CJ52" s="59">
        <f t="shared" si="76"/>
        <v>82970</v>
      </c>
      <c r="CK52" s="59">
        <f t="shared" ref="CK52:CL52" si="77">SUM(CK54:CK62)</f>
        <v>86749</v>
      </c>
      <c r="CL52" s="59">
        <f t="shared" si="77"/>
        <v>90115</v>
      </c>
      <c r="CM52" s="59">
        <f t="shared" ref="CM52:CO52" si="78">SUM(CM54:CM62)</f>
        <v>88442</v>
      </c>
      <c r="CN52" s="59">
        <f t="shared" si="78"/>
        <v>0</v>
      </c>
      <c r="CO52" s="59">
        <f t="shared" si="78"/>
        <v>89292</v>
      </c>
      <c r="CP52" s="59">
        <f t="shared" ref="CP52:CQ52" si="79">SUM(CP54:CP62)</f>
        <v>87963</v>
      </c>
      <c r="CQ52" s="59">
        <f t="shared" si="79"/>
        <v>85322</v>
      </c>
    </row>
    <row r="53" spans="1:95">
      <c r="A53" s="47" t="s">
        <v>189</v>
      </c>
      <c r="B53" s="82">
        <f>(B52/B$4)*100</f>
        <v>23.375235875235877</v>
      </c>
      <c r="C53" s="58">
        <f t="shared" ref="C53:BV53" si="80">(C52/C$4)*100</f>
        <v>22.925878467396991</v>
      </c>
      <c r="D53" s="58">
        <f t="shared" si="80"/>
        <v>22.720664945015479</v>
      </c>
      <c r="E53" s="58">
        <f t="shared" si="80"/>
        <v>23.949711279965641</v>
      </c>
      <c r="F53" s="58">
        <f t="shared" si="80"/>
        <v>24.346524131360038</v>
      </c>
      <c r="G53" s="58">
        <f t="shared" si="80"/>
        <v>23.84854949618088</v>
      </c>
      <c r="H53" s="58">
        <f t="shared" si="80"/>
        <v>23.886524283651291</v>
      </c>
      <c r="I53" s="58">
        <f t="shared" si="80"/>
        <v>23.728888888888889</v>
      </c>
      <c r="J53" s="58">
        <f t="shared" si="80"/>
        <v>23.577287433742661</v>
      </c>
      <c r="K53" s="58">
        <f t="shared" si="80"/>
        <v>23.579767833052976</v>
      </c>
      <c r="L53" s="58">
        <f t="shared" si="80"/>
        <v>23.978785582855288</v>
      </c>
      <c r="M53" s="58">
        <f t="shared" si="80"/>
        <v>23.553665430594091</v>
      </c>
      <c r="N53" s="58">
        <f t="shared" si="80"/>
        <v>23.536639184770618</v>
      </c>
      <c r="O53" s="58">
        <f t="shared" si="80"/>
        <v>23.996931106366439</v>
      </c>
      <c r="P53" s="58">
        <f t="shared" si="80"/>
        <v>23.406716626161252</v>
      </c>
      <c r="Q53" s="58">
        <f t="shared" si="80"/>
        <v>23.664364195606101</v>
      </c>
      <c r="R53" s="58">
        <f t="shared" si="80"/>
        <v>23.664364195606101</v>
      </c>
      <c r="S53" s="58">
        <f t="shared" si="80"/>
        <v>23.041222443573634</v>
      </c>
      <c r="T53" s="58">
        <f t="shared" si="80"/>
        <v>22.588428395568322</v>
      </c>
      <c r="U53" s="58">
        <f t="shared" si="80"/>
        <v>21.670566916616178</v>
      </c>
      <c r="V53" s="58">
        <f t="shared" si="80"/>
        <v>22.617024058577407</v>
      </c>
      <c r="W53" s="58">
        <f t="shared" si="80"/>
        <v>23.042270677244399</v>
      </c>
      <c r="X53" s="58">
        <f t="shared" si="80"/>
        <v>23.182924621295943</v>
      </c>
      <c r="Y53" s="58">
        <f t="shared" si="80"/>
        <v>22.625037502643629</v>
      </c>
      <c r="Z53" s="58">
        <f t="shared" si="80"/>
        <v>22.469108250898735</v>
      </c>
      <c r="AA53" s="58">
        <f t="shared" si="80"/>
        <v>21.980916195328355</v>
      </c>
      <c r="AB53" s="58">
        <f t="shared" si="80"/>
        <v>20.98152611972294</v>
      </c>
      <c r="AC53" s="58">
        <f t="shared" si="80"/>
        <v>20.748646169462798</v>
      </c>
      <c r="AD53" s="58">
        <f t="shared" si="80"/>
        <v>19.839347833079827</v>
      </c>
      <c r="AE53" s="58">
        <f t="shared" si="80"/>
        <v>19.992033587129207</v>
      </c>
      <c r="AF53" s="58">
        <f t="shared" si="80"/>
        <v>19.797437711651337</v>
      </c>
      <c r="AG53" s="58">
        <f t="shared" si="80"/>
        <v>19.202659241511796</v>
      </c>
      <c r="AH53" s="58">
        <f t="shared" si="80"/>
        <v>19.382299703077162</v>
      </c>
      <c r="AI53" s="58">
        <f t="shared" si="80"/>
        <v>18.276233736238357</v>
      </c>
      <c r="AJ53" s="58">
        <f t="shared" si="80"/>
        <v>18.248837647529349</v>
      </c>
      <c r="AK53" s="58">
        <f t="shared" si="80"/>
        <v>18.130167606118146</v>
      </c>
      <c r="AL53" s="58">
        <f t="shared" si="80"/>
        <v>17.69633013187396</v>
      </c>
      <c r="AM53" s="58">
        <f t="shared" si="80"/>
        <v>17.511618605342612</v>
      </c>
      <c r="AN53" s="58">
        <f t="shared" ref="AN53:AO53" si="81">(AN52/AN$4)*100</f>
        <v>16.998668415280019</v>
      </c>
      <c r="AO53" s="58">
        <f t="shared" si="81"/>
        <v>16.67928744336168</v>
      </c>
      <c r="AP53" s="58">
        <f t="shared" ref="AP53:AQ53" si="82">(AP52/AP$4)*100</f>
        <v>16.605479825755356</v>
      </c>
      <c r="AQ53" s="58">
        <f t="shared" si="82"/>
        <v>15.320408358276797</v>
      </c>
      <c r="AR53" s="58">
        <f t="shared" ref="AR53:AT53" si="83">(AR52/AR$4)*100</f>
        <v>15.265201526130303</v>
      </c>
      <c r="AS53" s="58" t="e">
        <f t="shared" si="83"/>
        <v>#DIV/0!</v>
      </c>
      <c r="AT53" s="58">
        <f t="shared" si="83"/>
        <v>15.135150353328402</v>
      </c>
      <c r="AU53" s="58">
        <f t="shared" ref="AU53:AV53" si="84">(AU52/AU$4)*100</f>
        <v>14.867532897117044</v>
      </c>
      <c r="AV53" s="58">
        <f t="shared" si="84"/>
        <v>14.536112153568546</v>
      </c>
      <c r="AW53" s="88">
        <f t="shared" si="80"/>
        <v>26.871411798422812</v>
      </c>
      <c r="AX53" s="58">
        <f t="shared" si="80"/>
        <v>26.161686024787933</v>
      </c>
      <c r="AY53" s="58">
        <f t="shared" si="80"/>
        <v>25.725165351198132</v>
      </c>
      <c r="AZ53" s="58">
        <f t="shared" si="80"/>
        <v>26.612503460307856</v>
      </c>
      <c r="BA53" s="58">
        <f t="shared" si="80"/>
        <v>26.365323906026461</v>
      </c>
      <c r="BB53" s="58">
        <f t="shared" si="80"/>
        <v>26.228107881713676</v>
      </c>
      <c r="BC53" s="58">
        <f t="shared" si="80"/>
        <v>26.168205180658195</v>
      </c>
      <c r="BD53" s="58">
        <f t="shared" si="80"/>
        <v>25.821702587037819</v>
      </c>
      <c r="BE53" s="58">
        <f t="shared" si="80"/>
        <v>25.728427432762373</v>
      </c>
      <c r="BF53" s="58">
        <f t="shared" si="80"/>
        <v>25.542011038320851</v>
      </c>
      <c r="BG53" s="58">
        <f t="shared" si="80"/>
        <v>25.767868598897959</v>
      </c>
      <c r="BH53" s="58">
        <f t="shared" si="80"/>
        <v>25.097323805992787</v>
      </c>
      <c r="BI53" s="58">
        <f t="shared" si="80"/>
        <v>25.046493417510892</v>
      </c>
      <c r="BJ53" s="58">
        <f t="shared" si="80"/>
        <v>25.348952039919233</v>
      </c>
      <c r="BK53" s="58">
        <f t="shared" si="80"/>
        <v>25.160583796268643</v>
      </c>
      <c r="BL53" s="58">
        <f t="shared" si="80"/>
        <v>25.209221920641074</v>
      </c>
      <c r="BM53" s="58">
        <f t="shared" si="80"/>
        <v>25.297867465344265</v>
      </c>
      <c r="BN53" s="58">
        <f t="shared" si="80"/>
        <v>24.726186525058079</v>
      </c>
      <c r="BO53" s="58">
        <f t="shared" si="80"/>
        <v>23.84252841696701</v>
      </c>
      <c r="BP53" s="58">
        <f t="shared" si="80"/>
        <v>23.772296767016403</v>
      </c>
      <c r="BQ53" s="58">
        <f t="shared" si="80"/>
        <v>23.28392651104997</v>
      </c>
      <c r="BR53" s="58">
        <f t="shared" si="80"/>
        <v>23.501112921749911</v>
      </c>
      <c r="BS53" s="58">
        <f t="shared" si="80"/>
        <v>23.048959035360596</v>
      </c>
      <c r="BT53" s="58">
        <f t="shared" si="80"/>
        <v>22.473436916864166</v>
      </c>
      <c r="BU53" s="58">
        <f t="shared" si="80"/>
        <v>22.257372402236385</v>
      </c>
      <c r="BV53" s="58">
        <f t="shared" si="80"/>
        <v>21.990325886943545</v>
      </c>
      <c r="BW53" s="58">
        <f t="shared" ref="BW53:CH53" si="85">(BW52/BW$4)*100</f>
        <v>21.204991046021711</v>
      </c>
      <c r="BX53" s="58">
        <f t="shared" si="85"/>
        <v>20.355075056754522</v>
      </c>
      <c r="BY53" s="58">
        <f t="shared" si="85"/>
        <v>19.889499527137616</v>
      </c>
      <c r="BZ53" s="58">
        <f t="shared" si="85"/>
        <v>19.867905893971994</v>
      </c>
      <c r="CA53" s="58">
        <f t="shared" si="85"/>
        <v>19.313115603939863</v>
      </c>
      <c r="CB53" s="58">
        <f t="shared" si="85"/>
        <v>19.634534373039347</v>
      </c>
      <c r="CC53" s="58">
        <f t="shared" si="85"/>
        <v>18.345354932797289</v>
      </c>
      <c r="CD53" s="58">
        <f t="shared" si="85"/>
        <v>18.157928534028827</v>
      </c>
      <c r="CE53" s="58">
        <f t="shared" si="85"/>
        <v>17.797885925746403</v>
      </c>
      <c r="CF53" s="58">
        <f t="shared" si="85"/>
        <v>17.677404066342959</v>
      </c>
      <c r="CG53" s="58">
        <f t="shared" si="85"/>
        <v>17.201005901613282</v>
      </c>
      <c r="CH53" s="58">
        <f t="shared" si="85"/>
        <v>16.809403754573466</v>
      </c>
      <c r="CI53" s="58">
        <f t="shared" ref="CI53:CJ53" si="86">(CI52/CI$4)*100</f>
        <v>16.47621344933604</v>
      </c>
      <c r="CJ53" s="58">
        <f t="shared" si="86"/>
        <v>15.808506908719544</v>
      </c>
      <c r="CK53" s="58">
        <f t="shared" ref="CK53:CL53" si="87">(CK52/CK$4)*100</f>
        <v>15.949996414656884</v>
      </c>
      <c r="CL53" s="58">
        <f t="shared" si="87"/>
        <v>14.612477075526309</v>
      </c>
      <c r="CM53" s="58">
        <f t="shared" ref="CM53:CO53" si="88">(CM52/CM$4)*100</f>
        <v>14.450504383743388</v>
      </c>
      <c r="CN53" s="58" t="e">
        <f t="shared" si="88"/>
        <v>#DIV/0!</v>
      </c>
      <c r="CO53" s="58">
        <f t="shared" si="88"/>
        <v>14.61574975856481</v>
      </c>
      <c r="CP53" s="58">
        <f t="shared" ref="CP53:CQ53" si="89">(CP52/CP$4)*100</f>
        <v>14.398754638594745</v>
      </c>
      <c r="CQ53" s="58">
        <f t="shared" si="89"/>
        <v>14.063270045706206</v>
      </c>
    </row>
    <row r="54" spans="1:95">
      <c r="A54" s="64" t="s">
        <v>116</v>
      </c>
      <c r="B54" s="69">
        <v>2132</v>
      </c>
      <c r="C54" s="68">
        <v>2292</v>
      </c>
      <c r="D54" s="68">
        <v>2362</v>
      </c>
      <c r="E54" s="68">
        <v>2502</v>
      </c>
      <c r="F54" s="68">
        <v>2431</v>
      </c>
      <c r="G54" s="68">
        <v>2469</v>
      </c>
      <c r="H54" s="68">
        <v>2586</v>
      </c>
      <c r="I54" s="68">
        <v>2666</v>
      </c>
      <c r="J54" s="68">
        <v>2357</v>
      </c>
      <c r="K54" s="68">
        <v>2174</v>
      </c>
      <c r="L54" s="68">
        <v>2109</v>
      </c>
      <c r="M54" s="68">
        <v>2134</v>
      </c>
      <c r="N54" s="68">
        <v>2451</v>
      </c>
      <c r="O54" s="68">
        <v>2632</v>
      </c>
      <c r="P54" s="68">
        <v>2433</v>
      </c>
      <c r="Q54" s="68">
        <v>2168</v>
      </c>
      <c r="R54" s="68">
        <v>2168</v>
      </c>
      <c r="S54" s="68">
        <v>1831</v>
      </c>
      <c r="T54" s="68">
        <v>1792</v>
      </c>
      <c r="U54" s="68">
        <v>1781</v>
      </c>
      <c r="V54" s="68">
        <v>1800</v>
      </c>
      <c r="W54" s="68">
        <v>1626</v>
      </c>
      <c r="X54" s="68">
        <v>1829</v>
      </c>
      <c r="Y54" s="68">
        <v>1788</v>
      </c>
      <c r="Z54" s="68">
        <v>1887</v>
      </c>
      <c r="AA54" s="68">
        <v>1695</v>
      </c>
      <c r="AB54" s="68">
        <v>1531</v>
      </c>
      <c r="AC54" s="68">
        <v>1614</v>
      </c>
      <c r="AD54" s="68">
        <v>1491</v>
      </c>
      <c r="AE54" s="68">
        <v>1639</v>
      </c>
      <c r="AF54" s="68">
        <v>1579</v>
      </c>
      <c r="AG54" s="68">
        <v>1515</v>
      </c>
      <c r="AH54" s="68">
        <v>1501</v>
      </c>
      <c r="AI54" s="68">
        <v>1583</v>
      </c>
      <c r="AJ54" s="68">
        <v>1583</v>
      </c>
      <c r="AK54" s="68">
        <v>1555</v>
      </c>
      <c r="AL54" s="68">
        <v>1651</v>
      </c>
      <c r="AM54" s="68">
        <v>1672</v>
      </c>
      <c r="AN54" s="68">
        <v>1888</v>
      </c>
      <c r="AO54" s="68">
        <v>1818</v>
      </c>
      <c r="AP54" s="68">
        <v>2074</v>
      </c>
      <c r="AQ54" s="68">
        <v>2194</v>
      </c>
      <c r="AR54" s="68">
        <v>2287</v>
      </c>
      <c r="AS54" s="68"/>
      <c r="AT54" s="68">
        <v>2404</v>
      </c>
      <c r="AU54" s="68">
        <v>2595</v>
      </c>
      <c r="AV54" s="68">
        <v>2378</v>
      </c>
      <c r="AW54" s="89">
        <v>1181</v>
      </c>
      <c r="AX54" s="68">
        <v>1300</v>
      </c>
      <c r="AY54" s="68">
        <v>1673</v>
      </c>
      <c r="AZ54" s="68">
        <v>2168</v>
      </c>
      <c r="BA54" s="68">
        <v>2354</v>
      </c>
      <c r="BB54" s="68">
        <v>2505</v>
      </c>
      <c r="BC54" s="68">
        <v>2677</v>
      </c>
      <c r="BD54" s="68">
        <v>2734</v>
      </c>
      <c r="BE54" s="68">
        <v>2972</v>
      </c>
      <c r="BF54" s="68">
        <v>3115</v>
      </c>
      <c r="BG54" s="68">
        <v>3272</v>
      </c>
      <c r="BH54" s="68">
        <v>3253</v>
      </c>
      <c r="BI54" s="68">
        <v>3263</v>
      </c>
      <c r="BJ54" s="68">
        <v>3363</v>
      </c>
      <c r="BK54" s="68">
        <v>3330</v>
      </c>
      <c r="BL54" s="68">
        <v>3100</v>
      </c>
      <c r="BM54" s="68">
        <v>3011</v>
      </c>
      <c r="BN54" s="68">
        <v>2989</v>
      </c>
      <c r="BO54" s="68">
        <v>2922</v>
      </c>
      <c r="BP54" s="68">
        <v>2921</v>
      </c>
      <c r="BQ54" s="68">
        <v>3132</v>
      </c>
      <c r="BR54" s="68">
        <v>3165</v>
      </c>
      <c r="BS54" s="68">
        <v>3306</v>
      </c>
      <c r="BT54" s="68">
        <v>3194</v>
      </c>
      <c r="BU54" s="68">
        <v>3105</v>
      </c>
      <c r="BV54" s="68">
        <v>3119</v>
      </c>
      <c r="BW54" s="68">
        <v>3089</v>
      </c>
      <c r="BX54" s="68">
        <v>2859</v>
      </c>
      <c r="BY54" s="68">
        <v>2906</v>
      </c>
      <c r="BZ54" s="68">
        <v>2719</v>
      </c>
      <c r="CA54" s="68">
        <v>2742</v>
      </c>
      <c r="CB54" s="68">
        <v>2912</v>
      </c>
      <c r="CC54" s="68">
        <v>3019</v>
      </c>
      <c r="CD54" s="68">
        <v>3154</v>
      </c>
      <c r="CE54" s="68">
        <v>3357</v>
      </c>
      <c r="CF54" s="68">
        <v>3383</v>
      </c>
      <c r="CG54" s="68">
        <v>3418</v>
      </c>
      <c r="CH54" s="68">
        <v>3384</v>
      </c>
      <c r="CI54" s="68">
        <v>3650</v>
      </c>
      <c r="CJ54" s="68">
        <v>3705</v>
      </c>
      <c r="CK54" s="31">
        <v>3927</v>
      </c>
      <c r="CL54" s="1">
        <v>4317</v>
      </c>
      <c r="CM54" s="1">
        <v>4473</v>
      </c>
      <c r="CO54" s="1">
        <v>4541</v>
      </c>
      <c r="CP54" s="1">
        <v>4626</v>
      </c>
      <c r="CQ54" s="1">
        <v>4457</v>
      </c>
    </row>
    <row r="55" spans="1:95">
      <c r="A55" s="64" t="s">
        <v>124</v>
      </c>
      <c r="B55" s="69">
        <v>281</v>
      </c>
      <c r="C55" s="68">
        <v>438</v>
      </c>
      <c r="D55" s="68">
        <v>538</v>
      </c>
      <c r="E55" s="68">
        <v>612</v>
      </c>
      <c r="F55" s="68">
        <v>671</v>
      </c>
      <c r="G55" s="68">
        <v>795</v>
      </c>
      <c r="H55" s="68">
        <v>820</v>
      </c>
      <c r="I55" s="68">
        <v>874</v>
      </c>
      <c r="J55" s="68">
        <v>773</v>
      </c>
      <c r="K55" s="68">
        <v>795</v>
      </c>
      <c r="L55" s="68">
        <v>689</v>
      </c>
      <c r="M55" s="68">
        <v>840</v>
      </c>
      <c r="N55" s="68">
        <v>768</v>
      </c>
      <c r="O55" s="68">
        <v>768</v>
      </c>
      <c r="P55" s="68">
        <v>900</v>
      </c>
      <c r="Q55" s="68">
        <v>818</v>
      </c>
      <c r="R55" s="68">
        <v>818</v>
      </c>
      <c r="S55" s="68">
        <v>861</v>
      </c>
      <c r="T55" s="68">
        <v>837</v>
      </c>
      <c r="U55" s="68">
        <v>624</v>
      </c>
      <c r="V55" s="68">
        <v>594</v>
      </c>
      <c r="W55" s="68">
        <v>757</v>
      </c>
      <c r="X55" s="68">
        <v>809</v>
      </c>
      <c r="Y55" s="68">
        <v>849</v>
      </c>
      <c r="Z55" s="68">
        <v>874</v>
      </c>
      <c r="AA55" s="68">
        <v>829</v>
      </c>
      <c r="AB55" s="68">
        <v>784</v>
      </c>
      <c r="AC55" s="68">
        <v>823</v>
      </c>
      <c r="AD55" s="68">
        <v>769</v>
      </c>
      <c r="AE55" s="68">
        <v>728</v>
      </c>
      <c r="AF55" s="68">
        <v>775</v>
      </c>
      <c r="AG55" s="68">
        <v>793</v>
      </c>
      <c r="AH55" s="68">
        <v>726</v>
      </c>
      <c r="AI55" s="68">
        <v>843</v>
      </c>
      <c r="AJ55" s="68">
        <v>843</v>
      </c>
      <c r="AK55" s="68">
        <v>877</v>
      </c>
      <c r="AL55" s="68">
        <v>930</v>
      </c>
      <c r="AM55" s="68">
        <v>931</v>
      </c>
      <c r="AN55" s="68">
        <v>992</v>
      </c>
      <c r="AO55" s="68">
        <v>1015</v>
      </c>
      <c r="AP55" s="68">
        <v>1182</v>
      </c>
      <c r="AQ55" s="68">
        <v>1296</v>
      </c>
      <c r="AR55" s="68">
        <v>1221</v>
      </c>
      <c r="AS55" s="68"/>
      <c r="AT55" s="68">
        <v>1237</v>
      </c>
      <c r="AU55" s="68">
        <v>1190</v>
      </c>
      <c r="AV55" s="68">
        <v>1125</v>
      </c>
      <c r="AW55" s="89">
        <v>331</v>
      </c>
      <c r="AX55" s="68">
        <v>369</v>
      </c>
      <c r="AY55" s="68">
        <v>475</v>
      </c>
      <c r="AZ55" s="68">
        <v>609</v>
      </c>
      <c r="BA55" s="68">
        <v>620</v>
      </c>
      <c r="BB55" s="68">
        <v>680</v>
      </c>
      <c r="BC55" s="68">
        <v>870</v>
      </c>
      <c r="BD55" s="68">
        <v>918</v>
      </c>
      <c r="BE55" s="68">
        <v>985</v>
      </c>
      <c r="BF55" s="68">
        <v>1030</v>
      </c>
      <c r="BG55" s="68">
        <v>1042</v>
      </c>
      <c r="BH55" s="68">
        <v>1147</v>
      </c>
      <c r="BI55" s="68">
        <v>1261</v>
      </c>
      <c r="BJ55" s="68">
        <v>1267</v>
      </c>
      <c r="BK55" s="68">
        <v>1323</v>
      </c>
      <c r="BL55" s="68">
        <v>1266</v>
      </c>
      <c r="BM55" s="68">
        <v>1169</v>
      </c>
      <c r="BN55" s="68">
        <v>1232</v>
      </c>
      <c r="BO55" s="68">
        <v>1260</v>
      </c>
      <c r="BP55" s="68">
        <v>1265</v>
      </c>
      <c r="BQ55" s="68">
        <v>1361</v>
      </c>
      <c r="BR55" s="68">
        <v>1662</v>
      </c>
      <c r="BS55" s="68">
        <v>1584</v>
      </c>
      <c r="BT55" s="68">
        <v>1589</v>
      </c>
      <c r="BU55" s="68">
        <v>1616</v>
      </c>
      <c r="BV55" s="68">
        <v>1512</v>
      </c>
      <c r="BW55" s="68">
        <v>1549</v>
      </c>
      <c r="BX55" s="68">
        <v>1567</v>
      </c>
      <c r="BY55" s="68">
        <v>1409</v>
      </c>
      <c r="BZ55" s="68">
        <v>1433</v>
      </c>
      <c r="CA55" s="68">
        <v>1404</v>
      </c>
      <c r="CB55" s="68">
        <v>1249</v>
      </c>
      <c r="CC55" s="68">
        <v>1356</v>
      </c>
      <c r="CD55" s="68">
        <v>1409</v>
      </c>
      <c r="CE55" s="68">
        <v>1511</v>
      </c>
      <c r="CF55" s="68">
        <v>1539</v>
      </c>
      <c r="CG55" s="68">
        <v>1533</v>
      </c>
      <c r="CH55" s="68">
        <v>1748</v>
      </c>
      <c r="CI55" s="68">
        <v>1644</v>
      </c>
      <c r="CJ55" s="68">
        <v>1703</v>
      </c>
      <c r="CK55" s="31">
        <v>2127</v>
      </c>
      <c r="CL55" s="1">
        <v>2025</v>
      </c>
      <c r="CM55" s="1">
        <v>1946</v>
      </c>
      <c r="CO55" s="1">
        <v>1974</v>
      </c>
      <c r="CP55" s="1">
        <v>1913</v>
      </c>
      <c r="CQ55" s="1">
        <v>1739</v>
      </c>
    </row>
    <row r="56" spans="1:95">
      <c r="A56" s="64" t="s">
        <v>123</v>
      </c>
      <c r="B56" s="69">
        <v>4929</v>
      </c>
      <c r="C56" s="68">
        <v>5133</v>
      </c>
      <c r="D56" s="68">
        <v>5649</v>
      </c>
      <c r="E56" s="68">
        <v>6112</v>
      </c>
      <c r="F56" s="68">
        <v>6381</v>
      </c>
      <c r="G56" s="68">
        <v>7808</v>
      </c>
      <c r="H56" s="68">
        <v>8130</v>
      </c>
      <c r="I56" s="68">
        <v>7422</v>
      </c>
      <c r="J56" s="68">
        <v>6232</v>
      </c>
      <c r="K56" s="68">
        <v>5748</v>
      </c>
      <c r="L56" s="68">
        <v>5401</v>
      </c>
      <c r="M56" s="68">
        <v>5656</v>
      </c>
      <c r="N56" s="68">
        <v>5646</v>
      </c>
      <c r="O56" s="68">
        <v>5514</v>
      </c>
      <c r="P56" s="68">
        <v>5181</v>
      </c>
      <c r="Q56" s="68">
        <v>5130</v>
      </c>
      <c r="R56" s="68">
        <v>5130</v>
      </c>
      <c r="S56" s="68">
        <v>4651</v>
      </c>
      <c r="T56" s="68">
        <v>4509</v>
      </c>
      <c r="U56" s="68">
        <v>4298</v>
      </c>
      <c r="V56" s="68">
        <v>4615</v>
      </c>
      <c r="W56" s="68">
        <v>4594</v>
      </c>
      <c r="X56" s="68">
        <v>4632</v>
      </c>
      <c r="Y56" s="68">
        <v>4821</v>
      </c>
      <c r="Z56" s="68">
        <v>4604</v>
      </c>
      <c r="AA56" s="68">
        <v>4377</v>
      </c>
      <c r="AB56" s="68">
        <v>4224</v>
      </c>
      <c r="AC56" s="68">
        <v>4056</v>
      </c>
      <c r="AD56" s="68">
        <v>4006</v>
      </c>
      <c r="AE56" s="68">
        <v>3810</v>
      </c>
      <c r="AF56" s="68">
        <v>3956</v>
      </c>
      <c r="AG56" s="68">
        <v>3938</v>
      </c>
      <c r="AH56" s="68">
        <v>5133</v>
      </c>
      <c r="AI56" s="68">
        <v>4268</v>
      </c>
      <c r="AJ56" s="68">
        <v>4268</v>
      </c>
      <c r="AK56" s="68">
        <v>4047</v>
      </c>
      <c r="AL56" s="68">
        <v>4012</v>
      </c>
      <c r="AM56" s="68">
        <v>4008</v>
      </c>
      <c r="AN56" s="68">
        <v>4316</v>
      </c>
      <c r="AO56" s="68">
        <v>4781</v>
      </c>
      <c r="AP56" s="68">
        <v>5168</v>
      </c>
      <c r="AQ56" s="68">
        <v>5382</v>
      </c>
      <c r="AR56" s="68">
        <v>5264</v>
      </c>
      <c r="AS56" s="68"/>
      <c r="AT56" s="68">
        <v>5585</v>
      </c>
      <c r="AU56" s="68">
        <v>5222</v>
      </c>
      <c r="AV56" s="68">
        <v>5073</v>
      </c>
      <c r="AW56" s="89">
        <v>5099</v>
      </c>
      <c r="AX56" s="68">
        <v>5644</v>
      </c>
      <c r="AY56" s="68">
        <v>5612</v>
      </c>
      <c r="AZ56" s="68">
        <v>6313</v>
      </c>
      <c r="BA56" s="68">
        <v>7067</v>
      </c>
      <c r="BB56" s="68">
        <v>7746</v>
      </c>
      <c r="BC56" s="68">
        <v>8232</v>
      </c>
      <c r="BD56" s="68">
        <v>8929</v>
      </c>
      <c r="BE56" s="68">
        <v>8928</v>
      </c>
      <c r="BF56" s="68">
        <v>8890</v>
      </c>
      <c r="BG56" s="68">
        <v>9231</v>
      </c>
      <c r="BH56" s="68">
        <v>9499</v>
      </c>
      <c r="BI56" s="68">
        <v>9396</v>
      </c>
      <c r="BJ56" s="68">
        <v>9558</v>
      </c>
      <c r="BK56" s="68">
        <v>9600</v>
      </c>
      <c r="BL56" s="68">
        <v>9222</v>
      </c>
      <c r="BM56" s="68">
        <v>8965</v>
      </c>
      <c r="BN56" s="68">
        <v>8538</v>
      </c>
      <c r="BO56" s="68">
        <v>8683</v>
      </c>
      <c r="BP56" s="68">
        <v>8794</v>
      </c>
      <c r="BQ56" s="68">
        <v>8736</v>
      </c>
      <c r="BR56" s="68">
        <v>8802</v>
      </c>
      <c r="BS56" s="68">
        <v>8533</v>
      </c>
      <c r="BT56" s="68">
        <v>8480</v>
      </c>
      <c r="BU56" s="68">
        <v>8431</v>
      </c>
      <c r="BV56" s="68">
        <v>8458</v>
      </c>
      <c r="BW56" s="68">
        <v>7873</v>
      </c>
      <c r="BX56" s="68">
        <v>7906</v>
      </c>
      <c r="BY56" s="68">
        <v>7058</v>
      </c>
      <c r="BZ56" s="68">
        <v>6724</v>
      </c>
      <c r="CA56" s="68">
        <v>6434</v>
      </c>
      <c r="CB56" s="68">
        <v>9118</v>
      </c>
      <c r="CC56" s="68">
        <v>6614</v>
      </c>
      <c r="CD56" s="68">
        <v>7105</v>
      </c>
      <c r="CE56" s="68">
        <v>7402</v>
      </c>
      <c r="CF56" s="68">
        <v>7092</v>
      </c>
      <c r="CG56" s="68">
        <v>6679</v>
      </c>
      <c r="CH56" s="68">
        <v>6918</v>
      </c>
      <c r="CI56" s="68">
        <v>7044</v>
      </c>
      <c r="CJ56" s="68">
        <v>7615</v>
      </c>
      <c r="CK56" s="31">
        <v>7678</v>
      </c>
      <c r="CL56" s="1">
        <v>8206</v>
      </c>
      <c r="CM56" s="1">
        <v>8385</v>
      </c>
      <c r="CO56" s="1">
        <v>8706</v>
      </c>
      <c r="CP56" s="1">
        <v>8487</v>
      </c>
      <c r="CQ56" s="1">
        <v>8238</v>
      </c>
    </row>
    <row r="57" spans="1:95">
      <c r="A57" s="64" t="s">
        <v>132</v>
      </c>
      <c r="B57" s="69">
        <v>333</v>
      </c>
      <c r="C57" s="68">
        <v>373</v>
      </c>
      <c r="D57" s="68">
        <v>440</v>
      </c>
      <c r="E57" s="68">
        <v>745</v>
      </c>
      <c r="F57" s="68">
        <v>770</v>
      </c>
      <c r="G57" s="68">
        <v>1053</v>
      </c>
      <c r="H57" s="68">
        <v>920</v>
      </c>
      <c r="I57" s="68">
        <v>945</v>
      </c>
      <c r="J57" s="68">
        <v>780</v>
      </c>
      <c r="K57" s="68">
        <v>869</v>
      </c>
      <c r="L57" s="68">
        <v>975</v>
      </c>
      <c r="M57" s="68">
        <v>1116</v>
      </c>
      <c r="N57" s="68">
        <v>1176</v>
      </c>
      <c r="O57" s="68">
        <v>1197</v>
      </c>
      <c r="P57" s="68">
        <v>1251</v>
      </c>
      <c r="Q57" s="68">
        <v>1153</v>
      </c>
      <c r="R57" s="68">
        <v>1153</v>
      </c>
      <c r="S57" s="68">
        <v>1002</v>
      </c>
      <c r="T57" s="68">
        <v>989</v>
      </c>
      <c r="U57" s="68">
        <v>972</v>
      </c>
      <c r="V57" s="68">
        <v>966</v>
      </c>
      <c r="W57" s="68">
        <v>1060</v>
      </c>
      <c r="X57" s="68">
        <v>1126</v>
      </c>
      <c r="Y57" s="68">
        <v>1306</v>
      </c>
      <c r="Z57" s="68">
        <v>1274</v>
      </c>
      <c r="AA57" s="68">
        <v>1243</v>
      </c>
      <c r="AB57" s="68">
        <v>1135</v>
      </c>
      <c r="AC57" s="68">
        <v>1142</v>
      </c>
      <c r="AD57" s="68">
        <v>1045</v>
      </c>
      <c r="AE57" s="68">
        <v>1081</v>
      </c>
      <c r="AF57" s="68">
        <v>1129</v>
      </c>
      <c r="AG57" s="68">
        <v>1070</v>
      </c>
      <c r="AH57" s="68">
        <v>1159</v>
      </c>
      <c r="AI57" s="68">
        <v>1269</v>
      </c>
      <c r="AJ57" s="68">
        <v>1278</v>
      </c>
      <c r="AK57" s="68">
        <v>1217</v>
      </c>
      <c r="AL57" s="68">
        <v>1223</v>
      </c>
      <c r="AM57" s="68">
        <v>1176</v>
      </c>
      <c r="AN57" s="68">
        <v>1053</v>
      </c>
      <c r="AO57" s="68">
        <v>1117</v>
      </c>
      <c r="AP57" s="68">
        <v>1175</v>
      </c>
      <c r="AQ57" s="68">
        <v>1231</v>
      </c>
      <c r="AR57" s="68">
        <v>1071</v>
      </c>
      <c r="AS57" s="68"/>
      <c r="AT57" s="68">
        <v>1172</v>
      </c>
      <c r="AU57" s="68">
        <v>1214</v>
      </c>
      <c r="AV57" s="68">
        <v>1459</v>
      </c>
      <c r="AW57" s="89">
        <v>331</v>
      </c>
      <c r="AX57" s="68">
        <v>433</v>
      </c>
      <c r="AY57" s="68">
        <v>507</v>
      </c>
      <c r="AZ57" s="68">
        <v>599</v>
      </c>
      <c r="BA57" s="68">
        <v>580</v>
      </c>
      <c r="BB57" s="68">
        <v>885</v>
      </c>
      <c r="BC57" s="68">
        <v>810</v>
      </c>
      <c r="BD57" s="68">
        <v>1004</v>
      </c>
      <c r="BE57" s="68">
        <v>862</v>
      </c>
      <c r="BF57" s="68">
        <v>892</v>
      </c>
      <c r="BG57" s="68">
        <v>1005</v>
      </c>
      <c r="BH57" s="68">
        <v>1232</v>
      </c>
      <c r="BI57" s="68">
        <v>1436</v>
      </c>
      <c r="BJ57" s="68">
        <v>1280</v>
      </c>
      <c r="BK57" s="68">
        <v>1434</v>
      </c>
      <c r="BL57" s="68">
        <v>1338</v>
      </c>
      <c r="BM57" s="68">
        <v>1370</v>
      </c>
      <c r="BN57" s="68">
        <v>1380</v>
      </c>
      <c r="BO57" s="68">
        <v>1362</v>
      </c>
      <c r="BP57" s="68">
        <v>1546</v>
      </c>
      <c r="BQ57" s="68">
        <v>1597</v>
      </c>
      <c r="BR57" s="68">
        <v>1817</v>
      </c>
      <c r="BS57" s="68">
        <v>2037</v>
      </c>
      <c r="BT57" s="68">
        <v>2076</v>
      </c>
      <c r="BU57" s="68">
        <v>2287</v>
      </c>
      <c r="BV57" s="68">
        <v>2092</v>
      </c>
      <c r="BW57" s="68">
        <v>2111</v>
      </c>
      <c r="BX57" s="68">
        <v>1853</v>
      </c>
      <c r="BY57" s="68">
        <v>1832</v>
      </c>
      <c r="BZ57" s="68">
        <v>1909</v>
      </c>
      <c r="CA57" s="68">
        <v>1905</v>
      </c>
      <c r="CB57" s="68">
        <v>1764</v>
      </c>
      <c r="CC57" s="68">
        <v>1878</v>
      </c>
      <c r="CD57" s="68">
        <v>2003</v>
      </c>
      <c r="CE57" s="68">
        <v>2223</v>
      </c>
      <c r="CF57" s="68">
        <v>2020</v>
      </c>
      <c r="CG57" s="68">
        <v>2123</v>
      </c>
      <c r="CH57" s="68">
        <v>2003</v>
      </c>
      <c r="CI57" s="68">
        <v>1859</v>
      </c>
      <c r="CJ57" s="68">
        <v>1816</v>
      </c>
      <c r="CK57" s="31">
        <v>1887</v>
      </c>
      <c r="CL57" s="1">
        <v>1888</v>
      </c>
      <c r="CM57" s="1">
        <v>1753</v>
      </c>
      <c r="CO57" s="1">
        <v>1862</v>
      </c>
      <c r="CP57" s="1">
        <v>1862</v>
      </c>
      <c r="CQ57" s="1">
        <v>2240</v>
      </c>
    </row>
    <row r="58" spans="1:95">
      <c r="A58" s="64" t="s">
        <v>133</v>
      </c>
      <c r="B58" s="69">
        <v>2968</v>
      </c>
      <c r="C58" s="68">
        <v>3701</v>
      </c>
      <c r="D58" s="68">
        <v>3402</v>
      </c>
      <c r="E58" s="68">
        <v>4298</v>
      </c>
      <c r="F58" s="68">
        <v>4223</v>
      </c>
      <c r="G58" s="68">
        <v>4714</v>
      </c>
      <c r="H58" s="68">
        <v>4861</v>
      </c>
      <c r="I58" s="68">
        <v>4614</v>
      </c>
      <c r="J58" s="68">
        <v>4028</v>
      </c>
      <c r="K58" s="68">
        <v>4031</v>
      </c>
      <c r="L58" s="68">
        <v>3713</v>
      </c>
      <c r="M58" s="68">
        <v>3757</v>
      </c>
      <c r="N58" s="68">
        <v>3801</v>
      </c>
      <c r="O58" s="68">
        <v>3840</v>
      </c>
      <c r="P58" s="68">
        <v>3685</v>
      </c>
      <c r="Q58" s="68">
        <v>3612</v>
      </c>
      <c r="R58" s="68">
        <v>3612</v>
      </c>
      <c r="S58" s="68">
        <v>3560</v>
      </c>
      <c r="T58" s="68">
        <v>3387</v>
      </c>
      <c r="U58" s="68">
        <v>3293</v>
      </c>
      <c r="V58" s="68">
        <v>3650</v>
      </c>
      <c r="W58" s="68">
        <v>3985</v>
      </c>
      <c r="X58" s="68">
        <v>4618</v>
      </c>
      <c r="Y58" s="68">
        <v>4619</v>
      </c>
      <c r="Z58" s="68">
        <v>4792</v>
      </c>
      <c r="AA58" s="68">
        <v>4849</v>
      </c>
      <c r="AB58" s="68">
        <v>4834</v>
      </c>
      <c r="AC58" s="68">
        <v>4931</v>
      </c>
      <c r="AD58" s="68">
        <v>4992</v>
      </c>
      <c r="AE58" s="68">
        <v>4585</v>
      </c>
      <c r="AF58" s="68">
        <v>4520</v>
      </c>
      <c r="AG58" s="68">
        <v>4292</v>
      </c>
      <c r="AH58" s="68">
        <v>4571</v>
      </c>
      <c r="AI58" s="68">
        <v>5096</v>
      </c>
      <c r="AJ58" s="68">
        <v>5096</v>
      </c>
      <c r="AK58" s="68">
        <v>5673</v>
      </c>
      <c r="AL58" s="68">
        <v>5887</v>
      </c>
      <c r="AM58" s="68">
        <v>6450</v>
      </c>
      <c r="AN58" s="68">
        <v>6758</v>
      </c>
      <c r="AO58" s="68">
        <v>7717</v>
      </c>
      <c r="AP58" s="68">
        <v>8438</v>
      </c>
      <c r="AQ58" s="68">
        <v>8616</v>
      </c>
      <c r="AR58" s="68">
        <v>8904</v>
      </c>
      <c r="AS58" s="68"/>
      <c r="AT58" s="68">
        <v>9735</v>
      </c>
      <c r="AU58" s="68">
        <v>9892</v>
      </c>
      <c r="AV58" s="68">
        <v>9729</v>
      </c>
      <c r="AW58" s="89">
        <v>2929</v>
      </c>
      <c r="AX58" s="68">
        <v>3540</v>
      </c>
      <c r="AY58" s="68">
        <v>4017</v>
      </c>
      <c r="AZ58" s="68">
        <v>4354</v>
      </c>
      <c r="BA58" s="68">
        <v>4913</v>
      </c>
      <c r="BB58" s="68">
        <v>5041</v>
      </c>
      <c r="BC58" s="68">
        <v>5560</v>
      </c>
      <c r="BD58" s="68">
        <v>6033</v>
      </c>
      <c r="BE58" s="68">
        <v>5591</v>
      </c>
      <c r="BF58" s="68">
        <v>5858</v>
      </c>
      <c r="BG58" s="68">
        <v>6121</v>
      </c>
      <c r="BH58" s="68">
        <v>6170</v>
      </c>
      <c r="BI58" s="68">
        <v>6430</v>
      </c>
      <c r="BJ58" s="68">
        <v>6534</v>
      </c>
      <c r="BK58" s="68">
        <v>6441</v>
      </c>
      <c r="BL58" s="68">
        <v>6257</v>
      </c>
      <c r="BM58" s="68">
        <v>5974</v>
      </c>
      <c r="BN58" s="68">
        <v>5992</v>
      </c>
      <c r="BO58" s="68">
        <v>6044</v>
      </c>
      <c r="BP58" s="68">
        <v>6285</v>
      </c>
      <c r="BQ58" s="68">
        <v>6718</v>
      </c>
      <c r="BR58" s="68">
        <v>7669</v>
      </c>
      <c r="BS58" s="68">
        <v>7680</v>
      </c>
      <c r="BT58" s="68">
        <v>7833</v>
      </c>
      <c r="BU58" s="68">
        <v>8006</v>
      </c>
      <c r="BV58" s="68">
        <v>8171</v>
      </c>
      <c r="BW58" s="68">
        <v>8049</v>
      </c>
      <c r="BX58" s="68">
        <v>8179</v>
      </c>
      <c r="BY58" s="68">
        <v>7634</v>
      </c>
      <c r="BZ58" s="68">
        <v>7580</v>
      </c>
      <c r="CA58" s="68">
        <v>7482</v>
      </c>
      <c r="CB58" s="68">
        <v>8072</v>
      </c>
      <c r="CC58" s="68">
        <v>8177</v>
      </c>
      <c r="CD58" s="68">
        <v>9110</v>
      </c>
      <c r="CE58" s="68">
        <v>9412</v>
      </c>
      <c r="CF58" s="68">
        <v>9665</v>
      </c>
      <c r="CG58" s="68">
        <v>9961</v>
      </c>
      <c r="CH58" s="68">
        <v>10454</v>
      </c>
      <c r="CI58" s="68">
        <v>10755</v>
      </c>
      <c r="CJ58" s="68">
        <v>11551</v>
      </c>
      <c r="CK58" s="31">
        <v>12686</v>
      </c>
      <c r="CL58" s="1">
        <v>13027</v>
      </c>
      <c r="CM58" s="1">
        <v>12743</v>
      </c>
      <c r="CO58" s="1">
        <v>13419</v>
      </c>
      <c r="CP58" s="1">
        <v>13955</v>
      </c>
      <c r="CQ58" s="1">
        <v>13692</v>
      </c>
    </row>
    <row r="59" spans="1:95">
      <c r="A59" s="64" t="s">
        <v>136</v>
      </c>
      <c r="B59" s="69">
        <v>16223</v>
      </c>
      <c r="C59" s="68">
        <v>18197</v>
      </c>
      <c r="D59" s="68">
        <v>19692</v>
      </c>
      <c r="E59" s="68">
        <v>22868</v>
      </c>
      <c r="F59" s="68">
        <v>23802</v>
      </c>
      <c r="G59" s="68">
        <v>23957</v>
      </c>
      <c r="H59" s="68">
        <v>23856</v>
      </c>
      <c r="I59" s="68">
        <v>22864</v>
      </c>
      <c r="J59" s="68">
        <v>22688</v>
      </c>
      <c r="K59" s="68">
        <v>21520</v>
      </c>
      <c r="L59" s="68">
        <v>21759</v>
      </c>
      <c r="M59" s="68">
        <v>21537</v>
      </c>
      <c r="N59" s="68">
        <v>21843</v>
      </c>
      <c r="O59" s="68">
        <v>21916</v>
      </c>
      <c r="P59" s="68">
        <v>21352</v>
      </c>
      <c r="Q59" s="68">
        <v>20698</v>
      </c>
      <c r="R59" s="68">
        <v>20698</v>
      </c>
      <c r="S59" s="68">
        <v>19370</v>
      </c>
      <c r="T59" s="68">
        <v>18810</v>
      </c>
      <c r="U59" s="68">
        <v>17922</v>
      </c>
      <c r="V59" s="68">
        <v>19472</v>
      </c>
      <c r="W59" s="68">
        <v>20262</v>
      </c>
      <c r="X59" s="68">
        <v>21050</v>
      </c>
      <c r="Y59" s="68">
        <v>21005</v>
      </c>
      <c r="Z59" s="68">
        <v>21058</v>
      </c>
      <c r="AA59" s="68">
        <v>21599</v>
      </c>
      <c r="AB59" s="68">
        <v>19821</v>
      </c>
      <c r="AC59" s="68">
        <v>20339</v>
      </c>
      <c r="AD59" s="68">
        <v>19871</v>
      </c>
      <c r="AE59" s="68">
        <v>19204</v>
      </c>
      <c r="AF59" s="68">
        <v>19081</v>
      </c>
      <c r="AG59" s="68">
        <v>19744</v>
      </c>
      <c r="AH59" s="68">
        <v>19580</v>
      </c>
      <c r="AI59" s="68">
        <v>21067</v>
      </c>
      <c r="AJ59" s="68">
        <v>21067</v>
      </c>
      <c r="AK59" s="68">
        <v>21265</v>
      </c>
      <c r="AL59" s="68">
        <v>21596</v>
      </c>
      <c r="AM59" s="68">
        <v>21774</v>
      </c>
      <c r="AN59" s="68">
        <v>21989</v>
      </c>
      <c r="AO59" s="68">
        <v>23423</v>
      </c>
      <c r="AP59" s="68">
        <v>24626</v>
      </c>
      <c r="AQ59" s="68">
        <v>26096</v>
      </c>
      <c r="AR59" s="68">
        <v>26027</v>
      </c>
      <c r="AS59" s="68"/>
      <c r="AT59" s="68">
        <v>26090</v>
      </c>
      <c r="AU59" s="68">
        <v>25384</v>
      </c>
      <c r="AV59" s="68">
        <v>25028</v>
      </c>
      <c r="AW59" s="89">
        <v>14752</v>
      </c>
      <c r="AX59" s="68">
        <v>16454</v>
      </c>
      <c r="AY59" s="68">
        <v>18180</v>
      </c>
      <c r="AZ59" s="68">
        <v>21105</v>
      </c>
      <c r="BA59" s="68">
        <v>22296</v>
      </c>
      <c r="BB59" s="68">
        <v>23451</v>
      </c>
      <c r="BC59" s="68">
        <v>24716</v>
      </c>
      <c r="BD59" s="68">
        <v>24663</v>
      </c>
      <c r="BE59" s="68">
        <v>25452</v>
      </c>
      <c r="BF59" s="68">
        <v>25885</v>
      </c>
      <c r="BG59" s="68">
        <v>26920</v>
      </c>
      <c r="BH59" s="68">
        <v>27058</v>
      </c>
      <c r="BI59" s="68">
        <v>27764</v>
      </c>
      <c r="BJ59" s="68">
        <v>28949</v>
      </c>
      <c r="BK59" s="68">
        <v>28654</v>
      </c>
      <c r="BL59" s="68">
        <v>28996</v>
      </c>
      <c r="BM59" s="68">
        <v>28586</v>
      </c>
      <c r="BN59" s="68">
        <v>28087</v>
      </c>
      <c r="BO59" s="68">
        <v>27543</v>
      </c>
      <c r="BP59" s="68">
        <v>29484</v>
      </c>
      <c r="BQ59" s="68">
        <v>30603</v>
      </c>
      <c r="BR59" s="68">
        <v>31993</v>
      </c>
      <c r="BS59" s="68">
        <v>32388</v>
      </c>
      <c r="BT59" s="68">
        <v>32726</v>
      </c>
      <c r="BU59" s="68">
        <v>33072</v>
      </c>
      <c r="BV59" s="68">
        <v>33388</v>
      </c>
      <c r="BW59" s="68">
        <v>33952</v>
      </c>
      <c r="BX59" s="68">
        <v>31530</v>
      </c>
      <c r="BY59" s="68">
        <v>31140</v>
      </c>
      <c r="BZ59" s="68">
        <v>31183</v>
      </c>
      <c r="CA59" s="68">
        <v>31861</v>
      </c>
      <c r="CB59" s="68">
        <v>31568</v>
      </c>
      <c r="CC59" s="68">
        <v>33072</v>
      </c>
      <c r="CD59" s="68">
        <v>34567</v>
      </c>
      <c r="CE59" s="68">
        <v>35473</v>
      </c>
      <c r="CF59" s="68">
        <v>36259</v>
      </c>
      <c r="CG59" s="68">
        <v>36179</v>
      </c>
      <c r="CH59" s="68">
        <v>36033</v>
      </c>
      <c r="CI59" s="68">
        <v>37059</v>
      </c>
      <c r="CJ59" s="68">
        <v>38195</v>
      </c>
      <c r="CK59" s="31">
        <v>39319</v>
      </c>
      <c r="CL59" s="1">
        <v>41117</v>
      </c>
      <c r="CM59" s="1">
        <v>40055</v>
      </c>
      <c r="CO59" s="1">
        <v>40174</v>
      </c>
      <c r="CP59" s="1">
        <v>39651</v>
      </c>
      <c r="CQ59" s="1">
        <v>38476</v>
      </c>
    </row>
    <row r="60" spans="1:95">
      <c r="A60" s="64" t="s">
        <v>139</v>
      </c>
      <c r="B60" s="100">
        <v>5761</v>
      </c>
      <c r="C60" s="68">
        <v>6728</v>
      </c>
      <c r="D60" s="68">
        <v>6658</v>
      </c>
      <c r="E60" s="68">
        <v>6829</v>
      </c>
      <c r="F60" s="68">
        <v>6524</v>
      </c>
      <c r="G60" s="68">
        <v>6657</v>
      </c>
      <c r="H60" s="68">
        <v>6539</v>
      </c>
      <c r="I60" s="68">
        <v>6611</v>
      </c>
      <c r="J60" s="68">
        <v>5786</v>
      </c>
      <c r="K60" s="68">
        <v>5448</v>
      </c>
      <c r="L60" s="68">
        <v>7598</v>
      </c>
      <c r="M60" s="68">
        <v>8307</v>
      </c>
      <c r="N60" s="68">
        <v>9009</v>
      </c>
      <c r="O60" s="68">
        <v>9268</v>
      </c>
      <c r="P60" s="68">
        <v>9047</v>
      </c>
      <c r="Q60" s="68">
        <v>8876</v>
      </c>
      <c r="R60" s="68">
        <v>8876</v>
      </c>
      <c r="S60" s="68">
        <v>8384</v>
      </c>
      <c r="T60" s="68">
        <v>8645</v>
      </c>
      <c r="U60" s="68">
        <v>7750</v>
      </c>
      <c r="V60" s="68">
        <v>8123</v>
      </c>
      <c r="W60" s="68">
        <v>9044</v>
      </c>
      <c r="X60" s="68">
        <v>9452</v>
      </c>
      <c r="Y60" s="68">
        <v>8993</v>
      </c>
      <c r="Z60" s="68">
        <v>9353</v>
      </c>
      <c r="AA60" s="68">
        <v>8873</v>
      </c>
      <c r="AB60" s="68">
        <v>9179</v>
      </c>
      <c r="AC60" s="68">
        <v>9194</v>
      </c>
      <c r="AD60" s="68">
        <v>8631</v>
      </c>
      <c r="AE60" s="68">
        <v>10185</v>
      </c>
      <c r="AF60" s="68">
        <v>11006</v>
      </c>
      <c r="AG60" s="68">
        <v>10687</v>
      </c>
      <c r="AH60" s="68">
        <v>11058</v>
      </c>
      <c r="AI60" s="68">
        <v>11005</v>
      </c>
      <c r="AJ60" s="68">
        <v>10971</v>
      </c>
      <c r="AK60" s="68">
        <v>11429</v>
      </c>
      <c r="AL60" s="68">
        <v>11024</v>
      </c>
      <c r="AM60" s="68">
        <v>11189</v>
      </c>
      <c r="AN60" s="68">
        <v>11202</v>
      </c>
      <c r="AO60" s="68">
        <v>11470</v>
      </c>
      <c r="AP60" s="68">
        <v>12313</v>
      </c>
      <c r="AQ60" s="68">
        <v>12390</v>
      </c>
      <c r="AR60" s="68">
        <v>11752</v>
      </c>
      <c r="AS60" s="68"/>
      <c r="AT60" s="68">
        <v>10816</v>
      </c>
      <c r="AU60" s="68">
        <v>10173</v>
      </c>
      <c r="AV60" s="68">
        <v>9858</v>
      </c>
      <c r="AW60" s="89">
        <v>3337</v>
      </c>
      <c r="AX60" s="68">
        <v>3992</v>
      </c>
      <c r="AY60" s="68">
        <v>4469</v>
      </c>
      <c r="AZ60" s="68">
        <v>4721</v>
      </c>
      <c r="BA60" s="68">
        <v>5118</v>
      </c>
      <c r="BB60" s="68">
        <v>5513</v>
      </c>
      <c r="BC60" s="68">
        <v>6369</v>
      </c>
      <c r="BD60" s="68">
        <v>7205</v>
      </c>
      <c r="BE60" s="68">
        <v>7287</v>
      </c>
      <c r="BF60" s="68">
        <v>7557</v>
      </c>
      <c r="BG60" s="68">
        <v>8680</v>
      </c>
      <c r="BH60" s="68">
        <v>8868</v>
      </c>
      <c r="BI60" s="68">
        <v>9576</v>
      </c>
      <c r="BJ60" s="68">
        <v>9781</v>
      </c>
      <c r="BK60" s="68">
        <v>9985</v>
      </c>
      <c r="BL60" s="68">
        <v>9736</v>
      </c>
      <c r="BM60" s="68">
        <v>10245</v>
      </c>
      <c r="BN60" s="68">
        <v>9636</v>
      </c>
      <c r="BO60" s="68">
        <v>9073</v>
      </c>
      <c r="BP60" s="68">
        <v>9640</v>
      </c>
      <c r="BQ60" s="68">
        <v>10840</v>
      </c>
      <c r="BR60" s="68">
        <v>11480</v>
      </c>
      <c r="BS60" s="68">
        <v>11098</v>
      </c>
      <c r="BT60" s="68">
        <v>11819</v>
      </c>
      <c r="BU60" s="68">
        <v>11696</v>
      </c>
      <c r="BV60" s="68">
        <v>13763</v>
      </c>
      <c r="BW60" s="68">
        <v>13874</v>
      </c>
      <c r="BX60" s="68">
        <v>12839</v>
      </c>
      <c r="BY60" s="68">
        <v>13248</v>
      </c>
      <c r="BZ60" s="68">
        <v>13344</v>
      </c>
      <c r="CA60" s="68">
        <v>12608</v>
      </c>
      <c r="CB60" s="68">
        <v>12768</v>
      </c>
      <c r="CC60" s="68">
        <v>13113</v>
      </c>
      <c r="CD60" s="68">
        <v>13589</v>
      </c>
      <c r="CE60" s="68">
        <v>14322</v>
      </c>
      <c r="CF60" s="68">
        <v>14853</v>
      </c>
      <c r="CG60" s="68">
        <v>15293</v>
      </c>
      <c r="CH60" s="68">
        <v>15386</v>
      </c>
      <c r="CI60" s="68">
        <v>15843</v>
      </c>
      <c r="CJ60" s="68">
        <v>15932</v>
      </c>
      <c r="CK60" s="31">
        <v>16683</v>
      </c>
      <c r="CL60" s="1">
        <v>16919</v>
      </c>
      <c r="CM60" s="1">
        <v>16289</v>
      </c>
      <c r="CO60" s="1">
        <v>15950</v>
      </c>
      <c r="CP60" s="1">
        <v>14864</v>
      </c>
      <c r="CQ60" s="1">
        <v>13972</v>
      </c>
    </row>
    <row r="61" spans="1:95">
      <c r="A61" s="64" t="s">
        <v>140</v>
      </c>
      <c r="B61" s="69">
        <v>804</v>
      </c>
      <c r="C61" s="68">
        <v>962</v>
      </c>
      <c r="D61" s="68">
        <v>906</v>
      </c>
      <c r="E61" s="68">
        <v>897</v>
      </c>
      <c r="F61" s="68">
        <v>1291</v>
      </c>
      <c r="G61" s="68">
        <v>2191</v>
      </c>
      <c r="H61" s="68">
        <v>2106</v>
      </c>
      <c r="I61" s="68">
        <v>1647</v>
      </c>
      <c r="J61" s="68">
        <v>1478</v>
      </c>
      <c r="K61" s="68">
        <v>1531</v>
      </c>
      <c r="L61" s="68">
        <v>1600</v>
      </c>
      <c r="M61" s="68">
        <v>1605</v>
      </c>
      <c r="N61" s="68">
        <v>1808</v>
      </c>
      <c r="O61" s="68">
        <v>1936</v>
      </c>
      <c r="P61" s="68">
        <v>1790</v>
      </c>
      <c r="Q61" s="68">
        <v>1859</v>
      </c>
      <c r="R61" s="68">
        <v>1859</v>
      </c>
      <c r="S61" s="68">
        <v>2002</v>
      </c>
      <c r="T61" s="68">
        <v>1870</v>
      </c>
      <c r="U61" s="68">
        <v>1905</v>
      </c>
      <c r="V61" s="68">
        <v>1776</v>
      </c>
      <c r="W61" s="68">
        <v>2086</v>
      </c>
      <c r="X61" s="68">
        <v>2089</v>
      </c>
      <c r="Y61" s="68">
        <v>2154</v>
      </c>
      <c r="Z61" s="68">
        <v>2013</v>
      </c>
      <c r="AA61" s="68">
        <v>1895</v>
      </c>
      <c r="AB61" s="68">
        <v>1945</v>
      </c>
      <c r="AC61" s="68">
        <v>1915</v>
      </c>
      <c r="AD61" s="68">
        <v>1795</v>
      </c>
      <c r="AE61" s="68">
        <v>1789</v>
      </c>
      <c r="AF61" s="68">
        <v>1746</v>
      </c>
      <c r="AG61" s="68">
        <v>1750</v>
      </c>
      <c r="AH61" s="68">
        <v>1705</v>
      </c>
      <c r="AI61" s="68">
        <v>1695</v>
      </c>
      <c r="AJ61" s="68">
        <v>1695</v>
      </c>
      <c r="AK61" s="68">
        <v>1837</v>
      </c>
      <c r="AL61" s="68">
        <v>1858</v>
      </c>
      <c r="AM61" s="68">
        <v>1763</v>
      </c>
      <c r="AN61" s="68">
        <v>1974</v>
      </c>
      <c r="AO61" s="68">
        <v>1899</v>
      </c>
      <c r="AP61" s="68">
        <v>1759</v>
      </c>
      <c r="AQ61" s="68">
        <v>1660</v>
      </c>
      <c r="AR61" s="68">
        <v>1709</v>
      </c>
      <c r="AS61" s="68"/>
      <c r="AT61" s="68">
        <v>1679</v>
      </c>
      <c r="AU61" s="68">
        <v>1431</v>
      </c>
      <c r="AV61" s="68">
        <v>1497</v>
      </c>
      <c r="AW61" s="89">
        <v>484</v>
      </c>
      <c r="AX61" s="68">
        <v>615</v>
      </c>
      <c r="AY61" s="68">
        <v>593</v>
      </c>
      <c r="AZ61" s="68">
        <v>705</v>
      </c>
      <c r="BA61" s="68">
        <v>846</v>
      </c>
      <c r="BB61" s="68">
        <v>898</v>
      </c>
      <c r="BC61" s="68">
        <v>1108</v>
      </c>
      <c r="BD61" s="68">
        <v>1195</v>
      </c>
      <c r="BE61" s="68">
        <v>1304</v>
      </c>
      <c r="BF61" s="68">
        <v>1425</v>
      </c>
      <c r="BG61" s="68">
        <v>1550</v>
      </c>
      <c r="BH61" s="68">
        <v>1556</v>
      </c>
      <c r="BI61" s="68">
        <v>1577</v>
      </c>
      <c r="BJ61" s="68">
        <v>1652</v>
      </c>
      <c r="BK61" s="68">
        <v>1671</v>
      </c>
      <c r="BL61" s="68">
        <v>1783</v>
      </c>
      <c r="BM61" s="68">
        <v>1820</v>
      </c>
      <c r="BN61" s="68">
        <v>1789</v>
      </c>
      <c r="BO61" s="68">
        <v>1758</v>
      </c>
      <c r="BP61" s="68">
        <v>1719</v>
      </c>
      <c r="BQ61" s="68">
        <v>1844</v>
      </c>
      <c r="BR61" s="68">
        <v>1954</v>
      </c>
      <c r="BS61" s="68">
        <v>2002</v>
      </c>
      <c r="BT61" s="68">
        <v>1928</v>
      </c>
      <c r="BU61" s="68">
        <v>1995</v>
      </c>
      <c r="BV61" s="68">
        <v>1994</v>
      </c>
      <c r="BW61" s="68">
        <v>1852</v>
      </c>
      <c r="BX61" s="68">
        <v>1797</v>
      </c>
      <c r="BY61" s="68">
        <v>1802</v>
      </c>
      <c r="BZ61" s="68">
        <v>1804</v>
      </c>
      <c r="CA61" s="68">
        <v>1832</v>
      </c>
      <c r="CB61" s="68">
        <v>1852</v>
      </c>
      <c r="CC61" s="68">
        <v>1828</v>
      </c>
      <c r="CD61" s="68">
        <v>1845</v>
      </c>
      <c r="CE61" s="68">
        <v>1910</v>
      </c>
      <c r="CF61" s="68">
        <v>1994</v>
      </c>
      <c r="CG61" s="68">
        <v>1964</v>
      </c>
      <c r="CH61" s="68">
        <v>1929</v>
      </c>
      <c r="CI61" s="68">
        <v>2055</v>
      </c>
      <c r="CJ61" s="68">
        <v>1691</v>
      </c>
      <c r="CK61" s="31">
        <v>1702</v>
      </c>
      <c r="CL61" s="1">
        <v>1877</v>
      </c>
      <c r="CM61" s="1">
        <v>2018</v>
      </c>
      <c r="CO61" s="1">
        <v>1927</v>
      </c>
      <c r="CP61" s="1">
        <v>1860</v>
      </c>
      <c r="CQ61" s="1">
        <v>1856</v>
      </c>
    </row>
    <row r="62" spans="1:95">
      <c r="A62" s="64" t="s">
        <v>143</v>
      </c>
      <c r="B62" s="69">
        <v>263</v>
      </c>
      <c r="C62" s="68">
        <v>285</v>
      </c>
      <c r="D62" s="68">
        <v>208</v>
      </c>
      <c r="E62" s="68">
        <v>304</v>
      </c>
      <c r="F62" s="68">
        <v>413</v>
      </c>
      <c r="G62" s="68">
        <v>437</v>
      </c>
      <c r="H62" s="68">
        <v>466</v>
      </c>
      <c r="I62" s="68">
        <v>408</v>
      </c>
      <c r="J62" s="68">
        <v>403</v>
      </c>
      <c r="K62" s="68">
        <v>358</v>
      </c>
      <c r="L62" s="68">
        <v>464</v>
      </c>
      <c r="M62" s="68">
        <v>463</v>
      </c>
      <c r="N62" s="68">
        <v>431</v>
      </c>
      <c r="O62" s="68">
        <v>471</v>
      </c>
      <c r="P62" s="68">
        <v>494</v>
      </c>
      <c r="Q62" s="68">
        <v>463</v>
      </c>
      <c r="R62" s="68">
        <v>463</v>
      </c>
      <c r="S62" s="68">
        <v>439</v>
      </c>
      <c r="T62" s="68">
        <v>447</v>
      </c>
      <c r="U62" s="68">
        <v>441</v>
      </c>
      <c r="V62" s="68">
        <v>518</v>
      </c>
      <c r="W62" s="68">
        <v>473</v>
      </c>
      <c r="X62" s="68">
        <v>491</v>
      </c>
      <c r="Y62" s="68">
        <v>466</v>
      </c>
      <c r="Z62" s="68">
        <v>459</v>
      </c>
      <c r="AA62" s="68">
        <v>459</v>
      </c>
      <c r="AB62" s="68">
        <v>591</v>
      </c>
      <c r="AC62" s="68">
        <v>546</v>
      </c>
      <c r="AD62" s="68">
        <v>573</v>
      </c>
      <c r="AE62" s="68">
        <v>645</v>
      </c>
      <c r="AF62" s="68">
        <v>697</v>
      </c>
      <c r="AG62" s="68">
        <v>693</v>
      </c>
      <c r="AH62" s="68">
        <v>718</v>
      </c>
      <c r="AI62" s="68">
        <v>652</v>
      </c>
      <c r="AJ62" s="68">
        <v>652</v>
      </c>
      <c r="AK62" s="68">
        <v>604</v>
      </c>
      <c r="AL62" s="68">
        <v>517</v>
      </c>
      <c r="AM62" s="68">
        <v>511</v>
      </c>
      <c r="AN62" s="68">
        <v>508</v>
      </c>
      <c r="AO62" s="68">
        <v>504</v>
      </c>
      <c r="AP62" s="68">
        <v>483</v>
      </c>
      <c r="AQ62" s="68">
        <v>457</v>
      </c>
      <c r="AR62" s="68">
        <v>500</v>
      </c>
      <c r="AS62" s="68"/>
      <c r="AT62" s="68">
        <v>417</v>
      </c>
      <c r="AU62" s="68">
        <v>431</v>
      </c>
      <c r="AV62" s="68">
        <v>404</v>
      </c>
      <c r="AW62" s="89">
        <v>622</v>
      </c>
      <c r="AX62" s="68">
        <v>561</v>
      </c>
      <c r="AY62" s="68">
        <v>685</v>
      </c>
      <c r="AZ62" s="68">
        <v>764</v>
      </c>
      <c r="BA62" s="68">
        <v>804</v>
      </c>
      <c r="BB62" s="68">
        <v>874</v>
      </c>
      <c r="BC62" s="68">
        <v>826</v>
      </c>
      <c r="BD62" s="68">
        <v>898</v>
      </c>
      <c r="BE62" s="68">
        <v>783</v>
      </c>
      <c r="BF62" s="68">
        <v>790</v>
      </c>
      <c r="BG62" s="68">
        <v>821</v>
      </c>
      <c r="BH62" s="68">
        <v>786</v>
      </c>
      <c r="BI62" s="68">
        <v>710</v>
      </c>
      <c r="BJ62" s="68">
        <v>761</v>
      </c>
      <c r="BK62" s="68">
        <v>744</v>
      </c>
      <c r="BL62" s="68">
        <v>716</v>
      </c>
      <c r="BM62" s="68">
        <v>689</v>
      </c>
      <c r="BN62" s="68">
        <v>702</v>
      </c>
      <c r="BO62" s="68">
        <v>695</v>
      </c>
      <c r="BP62" s="68">
        <v>744</v>
      </c>
      <c r="BQ62" s="68">
        <v>754</v>
      </c>
      <c r="BR62" s="68">
        <v>826</v>
      </c>
      <c r="BS62" s="68">
        <v>798</v>
      </c>
      <c r="BT62" s="68">
        <v>809</v>
      </c>
      <c r="BU62" s="68">
        <v>852</v>
      </c>
      <c r="BV62" s="68">
        <v>879</v>
      </c>
      <c r="BW62" s="68">
        <v>829</v>
      </c>
      <c r="BX62" s="68">
        <v>869</v>
      </c>
      <c r="BY62" s="68">
        <v>901</v>
      </c>
      <c r="BZ62" s="68">
        <v>897</v>
      </c>
      <c r="CA62" s="68">
        <v>791</v>
      </c>
      <c r="CB62" s="68">
        <v>797</v>
      </c>
      <c r="CC62" s="68">
        <v>759</v>
      </c>
      <c r="CD62" s="68">
        <v>738</v>
      </c>
      <c r="CE62" s="68">
        <v>765</v>
      </c>
      <c r="CF62" s="68">
        <v>776</v>
      </c>
      <c r="CG62" s="68">
        <v>758</v>
      </c>
      <c r="CH62" s="68">
        <v>753</v>
      </c>
      <c r="CI62" s="68">
        <v>690</v>
      </c>
      <c r="CJ62" s="68">
        <v>762</v>
      </c>
      <c r="CK62" s="31">
        <v>740</v>
      </c>
      <c r="CL62" s="5">
        <v>739</v>
      </c>
      <c r="CM62" s="1">
        <v>780</v>
      </c>
      <c r="CO62" s="1">
        <v>739</v>
      </c>
      <c r="CP62" s="1">
        <v>745</v>
      </c>
      <c r="CQ62" s="1">
        <v>652</v>
      </c>
    </row>
    <row r="63" spans="1:95">
      <c r="A63" s="49" t="s">
        <v>129</v>
      </c>
      <c r="B63" s="83">
        <v>310</v>
      </c>
      <c r="C63" s="65">
        <v>333</v>
      </c>
      <c r="D63" s="65">
        <v>446</v>
      </c>
      <c r="E63" s="65">
        <v>438</v>
      </c>
      <c r="F63" s="65">
        <v>542</v>
      </c>
      <c r="G63" s="65">
        <v>477</v>
      </c>
      <c r="H63" s="65">
        <v>491</v>
      </c>
      <c r="I63" s="65">
        <v>332</v>
      </c>
      <c r="J63" s="65">
        <v>338</v>
      </c>
      <c r="K63" s="65">
        <v>201</v>
      </c>
      <c r="L63" s="65">
        <v>300</v>
      </c>
      <c r="M63" s="65">
        <v>257</v>
      </c>
      <c r="N63" s="65">
        <v>230</v>
      </c>
      <c r="O63" s="65">
        <v>220</v>
      </c>
      <c r="P63" s="65">
        <v>255</v>
      </c>
      <c r="Q63" s="65">
        <v>211</v>
      </c>
      <c r="R63" s="65">
        <v>211</v>
      </c>
      <c r="S63" s="65">
        <v>187</v>
      </c>
      <c r="T63" s="65">
        <v>165</v>
      </c>
      <c r="U63" s="65">
        <v>185</v>
      </c>
      <c r="V63" s="65">
        <v>179</v>
      </c>
      <c r="W63" s="65">
        <v>138</v>
      </c>
      <c r="X63" s="65">
        <v>182</v>
      </c>
      <c r="Y63" s="65">
        <v>220</v>
      </c>
      <c r="Z63" s="65">
        <v>142</v>
      </c>
      <c r="AA63" s="65">
        <v>97</v>
      </c>
      <c r="AB63" s="65">
        <v>179</v>
      </c>
      <c r="AC63" s="65">
        <v>126</v>
      </c>
      <c r="AD63" s="65">
        <v>187</v>
      </c>
      <c r="AE63" s="65">
        <v>173</v>
      </c>
      <c r="AF63" s="65">
        <v>153</v>
      </c>
      <c r="AG63" s="65">
        <v>244</v>
      </c>
      <c r="AH63" s="65">
        <v>222</v>
      </c>
      <c r="AI63" s="65">
        <v>273</v>
      </c>
      <c r="AJ63" s="65">
        <v>273</v>
      </c>
      <c r="AK63" s="65">
        <v>379</v>
      </c>
      <c r="AL63" s="65">
        <v>391</v>
      </c>
      <c r="AM63" s="65">
        <v>343</v>
      </c>
      <c r="AN63" s="65">
        <v>400</v>
      </c>
      <c r="AO63" s="65">
        <v>171</v>
      </c>
      <c r="AP63" s="65">
        <v>188</v>
      </c>
      <c r="AQ63" s="65">
        <v>179</v>
      </c>
      <c r="AR63" s="65">
        <v>246</v>
      </c>
      <c r="AS63" s="65"/>
      <c r="AT63" s="65">
        <v>282</v>
      </c>
      <c r="AU63" s="65">
        <v>236</v>
      </c>
      <c r="AV63" s="65">
        <v>257</v>
      </c>
      <c r="AW63" s="90">
        <v>524</v>
      </c>
      <c r="AX63" s="65">
        <v>439</v>
      </c>
      <c r="AY63" s="65">
        <v>441</v>
      </c>
      <c r="AZ63" s="65">
        <v>454</v>
      </c>
      <c r="BA63" s="65">
        <v>438</v>
      </c>
      <c r="BB63" s="65">
        <v>451</v>
      </c>
      <c r="BC63" s="65">
        <v>549</v>
      </c>
      <c r="BD63" s="65">
        <v>482</v>
      </c>
      <c r="BE63" s="65">
        <v>357</v>
      </c>
      <c r="BF63" s="65">
        <v>276</v>
      </c>
      <c r="BG63" s="65">
        <v>339</v>
      </c>
      <c r="BH63" s="65">
        <v>317</v>
      </c>
      <c r="BI63" s="65">
        <v>266</v>
      </c>
      <c r="BJ63" s="65">
        <v>275</v>
      </c>
      <c r="BK63" s="65">
        <v>374</v>
      </c>
      <c r="BL63" s="65">
        <v>250</v>
      </c>
      <c r="BM63" s="65">
        <v>182</v>
      </c>
      <c r="BN63" s="65">
        <v>226</v>
      </c>
      <c r="BO63" s="65">
        <v>222</v>
      </c>
      <c r="BP63" s="65">
        <v>224</v>
      </c>
      <c r="BQ63" s="65">
        <v>187</v>
      </c>
      <c r="BR63" s="65">
        <v>217</v>
      </c>
      <c r="BS63" s="65">
        <v>215</v>
      </c>
      <c r="BT63" s="65">
        <v>163</v>
      </c>
      <c r="BU63" s="65">
        <v>108</v>
      </c>
      <c r="BV63" s="65">
        <v>210</v>
      </c>
      <c r="BW63" s="65">
        <v>243</v>
      </c>
      <c r="BX63" s="65">
        <v>267</v>
      </c>
      <c r="BY63" s="65">
        <v>249</v>
      </c>
      <c r="BZ63" s="65">
        <v>254</v>
      </c>
      <c r="CA63" s="65">
        <v>415</v>
      </c>
      <c r="CB63" s="65">
        <v>390</v>
      </c>
      <c r="CC63" s="65">
        <v>440</v>
      </c>
      <c r="CD63" s="65">
        <v>543</v>
      </c>
      <c r="CE63" s="65">
        <v>292</v>
      </c>
      <c r="CF63" s="65">
        <v>726</v>
      </c>
      <c r="CG63" s="65">
        <v>692</v>
      </c>
      <c r="CH63" s="65">
        <v>704</v>
      </c>
      <c r="CI63" s="65">
        <v>735</v>
      </c>
      <c r="CJ63" s="65">
        <v>170</v>
      </c>
      <c r="CK63" s="65">
        <v>273</v>
      </c>
      <c r="CL63" s="5">
        <v>284</v>
      </c>
      <c r="CM63" s="8">
        <v>440</v>
      </c>
      <c r="CN63" s="8"/>
      <c r="CO63" s="8">
        <v>459</v>
      </c>
      <c r="CP63" s="8">
        <v>367</v>
      </c>
      <c r="CQ63" s="8">
        <v>470</v>
      </c>
    </row>
    <row r="64" spans="1:95">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row>
    <row r="65" spans="2:8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row>
    <row r="66" spans="2:89">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row>
    <row r="67" spans="2:89">
      <c r="B67" s="33" t="s">
        <v>71</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123" t="s">
        <v>71</v>
      </c>
      <c r="AJ67" s="31"/>
      <c r="AK67" s="31"/>
      <c r="AL67" s="123" t="s">
        <v>71</v>
      </c>
      <c r="AM67" s="123" t="s">
        <v>71</v>
      </c>
      <c r="AN67" s="2" t="s">
        <v>71</v>
      </c>
      <c r="AO67" s="2"/>
      <c r="AP67" s="2"/>
      <c r="AQ67" s="2"/>
      <c r="AR67" s="2"/>
      <c r="AS67" s="2"/>
      <c r="AT67" s="2"/>
      <c r="AU67" s="2"/>
      <c r="AV67" s="2"/>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123" t="s">
        <v>71</v>
      </c>
      <c r="CE67" s="31"/>
      <c r="CF67" s="31"/>
      <c r="CG67" s="123" t="s">
        <v>71</v>
      </c>
      <c r="CH67" s="123" t="s">
        <v>71</v>
      </c>
      <c r="CI67" s="2" t="s">
        <v>71</v>
      </c>
      <c r="CJ67" s="2"/>
      <c r="CK67" s="31"/>
    </row>
    <row r="68" spans="2:89">
      <c r="B68" s="33" t="s">
        <v>172</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123" t="s">
        <v>157</v>
      </c>
      <c r="AJ68" s="31"/>
      <c r="AK68" s="31"/>
      <c r="AL68" s="123" t="s">
        <v>157</v>
      </c>
      <c r="AM68" s="123" t="s">
        <v>157</v>
      </c>
      <c r="AN68" s="1" t="s">
        <v>157</v>
      </c>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123" t="s">
        <v>157</v>
      </c>
      <c r="CE68" s="31"/>
      <c r="CF68" s="31"/>
      <c r="CG68" s="123" t="s">
        <v>157</v>
      </c>
      <c r="CH68" s="123" t="s">
        <v>157</v>
      </c>
      <c r="CI68" s="1" t="s">
        <v>157</v>
      </c>
      <c r="CK68" s="31"/>
    </row>
    <row r="69" spans="2:89">
      <c r="B69" s="33" t="s">
        <v>173</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123" t="s">
        <v>158</v>
      </c>
      <c r="AJ69" s="31"/>
      <c r="AK69" s="31"/>
      <c r="AL69" s="123" t="s">
        <v>158</v>
      </c>
      <c r="AM69" s="123" t="s">
        <v>158</v>
      </c>
      <c r="AN69" s="1" t="s">
        <v>158</v>
      </c>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123" t="s">
        <v>158</v>
      </c>
      <c r="CE69" s="31"/>
      <c r="CF69" s="31"/>
      <c r="CG69" s="123" t="s">
        <v>158</v>
      </c>
      <c r="CH69" s="123" t="s">
        <v>158</v>
      </c>
      <c r="CI69" s="1" t="s">
        <v>158</v>
      </c>
      <c r="CK69" s="31"/>
    </row>
    <row r="70" spans="2:89" ht="12.75" customHeight="1">
      <c r="B70" s="33" t="s">
        <v>174</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123" t="s">
        <v>159</v>
      </c>
      <c r="AJ70" s="31"/>
      <c r="AK70" s="31"/>
      <c r="AL70" s="123" t="s">
        <v>159</v>
      </c>
      <c r="AM70" s="123" t="s">
        <v>159</v>
      </c>
      <c r="AN70" s="1" t="s">
        <v>159</v>
      </c>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123" t="s">
        <v>159</v>
      </c>
      <c r="CE70" s="31"/>
      <c r="CF70" s="31"/>
      <c r="CG70" s="123" t="s">
        <v>159</v>
      </c>
      <c r="CH70" s="123" t="s">
        <v>159</v>
      </c>
      <c r="CI70" s="1" t="s">
        <v>159</v>
      </c>
      <c r="CK70" s="31"/>
    </row>
    <row r="71" spans="2:89" ht="12.75" customHeight="1">
      <c r="B71" s="33" t="s">
        <v>175</v>
      </c>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123" t="s">
        <v>84</v>
      </c>
      <c r="AJ71" s="31"/>
      <c r="AK71" s="31"/>
      <c r="AL71" s="123" t="s">
        <v>84</v>
      </c>
      <c r="AM71" s="123" t="s">
        <v>84</v>
      </c>
      <c r="AN71" s="1" t="s">
        <v>84</v>
      </c>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123" t="s">
        <v>84</v>
      </c>
      <c r="CE71" s="31"/>
      <c r="CF71" s="31"/>
      <c r="CG71" s="123" t="s">
        <v>84</v>
      </c>
      <c r="CH71" s="123" t="s">
        <v>84</v>
      </c>
      <c r="CI71" s="1" t="s">
        <v>84</v>
      </c>
      <c r="CK71" s="31"/>
    </row>
    <row r="72" spans="2:89" ht="12.75" customHeight="1">
      <c r="B72" s="33" t="s">
        <v>176</v>
      </c>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123" t="s">
        <v>160</v>
      </c>
      <c r="AJ72" s="31"/>
      <c r="AK72" s="31"/>
      <c r="AL72" s="123" t="s">
        <v>160</v>
      </c>
      <c r="AM72" s="123" t="s">
        <v>160</v>
      </c>
      <c r="AN72" s="1" t="s">
        <v>160</v>
      </c>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123" t="s">
        <v>160</v>
      </c>
      <c r="CE72" s="31"/>
      <c r="CF72" s="31"/>
      <c r="CG72" s="123" t="s">
        <v>160</v>
      </c>
      <c r="CH72" s="123" t="s">
        <v>160</v>
      </c>
      <c r="CI72" s="1" t="s">
        <v>160</v>
      </c>
      <c r="CK72" s="31"/>
    </row>
    <row r="73" spans="2:89" ht="12.75" customHeight="1">
      <c r="B73" s="33" t="s">
        <v>177</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123" t="s">
        <v>161</v>
      </c>
      <c r="AJ73" s="31"/>
      <c r="AK73" s="31"/>
      <c r="AL73" s="123" t="s">
        <v>161</v>
      </c>
      <c r="AM73" s="123" t="s">
        <v>161</v>
      </c>
      <c r="AN73" s="1" t="s">
        <v>191</v>
      </c>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123" t="s">
        <v>161</v>
      </c>
      <c r="CE73" s="31"/>
      <c r="CF73" s="31"/>
      <c r="CG73" s="123" t="s">
        <v>161</v>
      </c>
      <c r="CH73" s="123" t="s">
        <v>161</v>
      </c>
      <c r="CI73" s="1" t="s">
        <v>191</v>
      </c>
      <c r="CK73" s="31"/>
    </row>
    <row r="74" spans="2:89">
      <c r="B74" s="34" t="s">
        <v>179</v>
      </c>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123" t="s">
        <v>162</v>
      </c>
      <c r="AJ74" s="31"/>
      <c r="AK74" s="31"/>
      <c r="AL74" s="123" t="s">
        <v>162</v>
      </c>
      <c r="AM74" s="123" t="s">
        <v>162</v>
      </c>
      <c r="AN74" s="1" t="s">
        <v>192</v>
      </c>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123" t="s">
        <v>162</v>
      </c>
      <c r="CE74" s="31"/>
      <c r="CF74" s="31"/>
      <c r="CG74" s="123" t="s">
        <v>162</v>
      </c>
      <c r="CH74" s="123" t="s">
        <v>162</v>
      </c>
      <c r="CI74" s="1" t="s">
        <v>192</v>
      </c>
      <c r="CK74" s="31"/>
    </row>
    <row r="75" spans="2:89">
      <c r="B75" s="33" t="s">
        <v>178</v>
      </c>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123" t="s">
        <v>163</v>
      </c>
      <c r="AJ75" s="31"/>
      <c r="AK75" s="31"/>
      <c r="AL75" s="123" t="s">
        <v>163</v>
      </c>
      <c r="AM75" s="123" t="s">
        <v>163</v>
      </c>
      <c r="AN75" s="1" t="s">
        <v>194</v>
      </c>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123" t="s">
        <v>163</v>
      </c>
      <c r="CE75" s="31"/>
      <c r="CF75" s="31"/>
      <c r="CG75" s="123" t="s">
        <v>163</v>
      </c>
      <c r="CH75" s="123" t="s">
        <v>163</v>
      </c>
      <c r="CI75" s="1" t="s">
        <v>194</v>
      </c>
      <c r="CK75" s="31"/>
    </row>
    <row r="76" spans="2:89">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123" t="s">
        <v>164</v>
      </c>
      <c r="AJ76" s="31"/>
      <c r="AK76" s="31"/>
      <c r="AL76" s="123" t="s">
        <v>164</v>
      </c>
      <c r="AM76" s="123" t="s">
        <v>164</v>
      </c>
      <c r="AN76" s="1" t="s">
        <v>193</v>
      </c>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123" t="s">
        <v>164</v>
      </c>
      <c r="CE76" s="31"/>
      <c r="CF76" s="31"/>
      <c r="CG76" s="123" t="s">
        <v>164</v>
      </c>
      <c r="CH76" s="123" t="s">
        <v>164</v>
      </c>
      <c r="CI76" s="1" t="s">
        <v>193</v>
      </c>
      <c r="CK76" s="31"/>
    </row>
    <row r="77" spans="2:89">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123" t="s">
        <v>165</v>
      </c>
      <c r="AJ77" s="31"/>
      <c r="AK77" s="31"/>
      <c r="AL77" s="123" t="s">
        <v>165</v>
      </c>
      <c r="AM77" s="123" t="s">
        <v>165</v>
      </c>
      <c r="AN77" s="1" t="s">
        <v>165</v>
      </c>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123" t="s">
        <v>165</v>
      </c>
      <c r="CE77" s="31"/>
      <c r="CF77" s="31"/>
      <c r="CG77" s="123" t="s">
        <v>165</v>
      </c>
      <c r="CH77" s="123" t="s">
        <v>165</v>
      </c>
      <c r="CI77" s="1" t="s">
        <v>165</v>
      </c>
      <c r="CK77" s="31"/>
    </row>
    <row r="78" spans="2:89">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row>
    <row r="79" spans="2:8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row>
    <row r="80" spans="2:89">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row>
    <row r="81" spans="2:89">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row>
    <row r="82" spans="2:89">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row>
    <row r="83" spans="2:89">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row>
    <row r="84" spans="2:89">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row>
    <row r="85" spans="2:89">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row>
    <row r="86" spans="2:89">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row>
    <row r="87" spans="2:89">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row>
    <row r="88" spans="2:89">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row>
    <row r="89" spans="2:89">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row>
    <row r="90" spans="2:8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row>
    <row r="91" spans="2:89">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row>
    <row r="92" spans="2:8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row>
    <row r="93" spans="2:89">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row>
    <row r="94" spans="2:89">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row>
    <row r="95" spans="2:89">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row>
    <row r="96" spans="2:89">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row>
    <row r="97" spans="2:89">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row>
    <row r="98" spans="2:89">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row>
    <row r="99" spans="2:89" ht="9.9499999999999993" customHeight="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row>
    <row r="100" spans="2:89" ht="9.9499999999999993" customHeight="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row>
    <row r="101" spans="2:89" ht="9.9499999999999993" customHeight="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row>
    <row r="102" spans="2:89" ht="9.9499999999999993" customHeight="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row>
    <row r="103" spans="2:89" ht="9.9499999999999993" customHeight="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row>
    <row r="104" spans="2:89" ht="9.9499999999999993" customHeight="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row>
    <row r="105" spans="2:89" ht="9.9499999999999993" customHeight="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row>
    <row r="106" spans="2:89">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row>
    <row r="107" spans="2:89">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row>
    <row r="108" spans="2:89">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row>
    <row r="109" spans="2:89">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row>
    <row r="110" spans="2:89">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row>
    <row r="111" spans="2:89">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row>
    <row r="112" spans="2:89">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row>
    <row r="113" spans="2:89">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row>
    <row r="114" spans="2:89" ht="9.9499999999999993" customHeight="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row>
    <row r="115" spans="2:89" ht="9.9499999999999993" customHeight="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row>
    <row r="116" spans="2:89" ht="9.9499999999999993" customHeight="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row>
    <row r="117" spans="2:89" ht="9.9499999999999993" customHeight="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row>
    <row r="118" spans="2:89" ht="12" customHeight="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row>
    <row r="119" spans="2:89" ht="9.9499999999999993" customHeight="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row>
    <row r="120" spans="2:89">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row>
    <row r="121" spans="2:89">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row>
    <row r="122" spans="2:89">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row>
    <row r="123" spans="2:89">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row>
    <row r="124" spans="2:89">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row>
    <row r="125" spans="2:89">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row>
    <row r="126" spans="2:89">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row>
    <row r="127" spans="2:89">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row>
    <row r="128" spans="2:89">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row>
    <row r="129" spans="2:89">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row>
    <row r="130" spans="2:89">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row>
    <row r="131" spans="2:89">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row>
    <row r="132" spans="2:89">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row>
    <row r="133" spans="2:89">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row>
    <row r="134" spans="2:89">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row>
    <row r="135" spans="2:89">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row>
    <row r="136" spans="2:89">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row>
    <row r="137" spans="2:89">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row>
    <row r="138" spans="2:89">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row>
    <row r="139" spans="2:89">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row>
    <row r="140" spans="2:89">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row>
    <row r="141" spans="2:89">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row>
    <row r="142" spans="2:89">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row>
    <row r="143" spans="2:89">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row>
    <row r="144" spans="2:89">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row>
    <row r="145" spans="2:89" ht="9.9499999999999993" customHeight="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row>
    <row r="146" spans="2:89" ht="9.9499999999999993" customHeight="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row>
    <row r="147" spans="2:89" ht="9.9499999999999993" customHeight="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row>
    <row r="148" spans="2:89" ht="9.9499999999999993" customHeight="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row>
    <row r="149" spans="2:89" ht="9.9499999999999993" customHeight="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row>
    <row r="150" spans="2:89" ht="12" customHeight="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row>
    <row r="151" spans="2:89" ht="9.9499999999999993" customHeight="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row>
    <row r="152" spans="2:89" ht="9.9499999999999993" customHeight="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row>
    <row r="153" spans="2:89" ht="9.9499999999999993" customHeight="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row>
    <row r="154" spans="2:89" ht="9.9499999999999993" customHeight="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row>
    <row r="155" spans="2:89" ht="12" customHeight="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row>
    <row r="156" spans="2:89" ht="9.9499999999999993" customHeight="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row>
    <row r="157" spans="2:89" ht="9.9499999999999993" customHeight="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row>
    <row r="158" spans="2:89" ht="9.9499999999999993" customHeight="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row>
    <row r="159" spans="2:89" ht="9.9499999999999993" customHeight="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row>
    <row r="160" spans="2:89">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row>
    <row r="161" spans="2:89">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row>
    <row r="162" spans="2:89">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row>
    <row r="163" spans="2:89">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row>
    <row r="164" spans="2:89">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row>
    <row r="165" spans="2:89">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row>
    <row r="166" spans="2:89">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row>
    <row r="167" spans="2:89">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row>
    <row r="168" spans="2:89">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row>
    <row r="169" spans="2:89">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row>
    <row r="170" spans="2:89">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row>
    <row r="171" spans="2:89">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row>
    <row r="172" spans="2:89">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row>
    <row r="173" spans="2:89">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row>
    <row r="174" spans="2:89">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row>
    <row r="175" spans="2:89">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row>
    <row r="176" spans="2:89">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row>
    <row r="177" spans="2:89">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row>
    <row r="178" spans="2:89">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row>
    <row r="179" spans="2:89">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row>
    <row r="180" spans="2:89" ht="12" customHeight="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row>
    <row r="181" spans="2:89" ht="9.9499999999999993" customHeight="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row>
    <row r="182" spans="2:89">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row>
    <row r="183" spans="2:89">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row>
    <row r="184" spans="2:89">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row>
    <row r="185" spans="2:89">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row>
    <row r="186" spans="2:89">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row>
    <row r="187" spans="2:89">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row>
    <row r="188" spans="2:89">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row>
    <row r="189" spans="2:89">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row>
    <row r="190" spans="2:89">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row>
    <row r="191" spans="2:89">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row>
    <row r="192" spans="2:89">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row>
    <row r="193" spans="2:89">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row>
    <row r="194" spans="2:89">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row>
    <row r="195" spans="2:89">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row>
    <row r="196" spans="2:89">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row>
    <row r="197" spans="2:89">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row>
    <row r="198" spans="2:89">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row>
    <row r="199" spans="2:89">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row>
    <row r="200" spans="2:89">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row>
    <row r="201" spans="2:89">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row>
    <row r="202" spans="2:89">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row>
    <row r="203" spans="2:89">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row>
    <row r="204" spans="2:89">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row>
    <row r="205" spans="2:89">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row>
    <row r="206" spans="2:89">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row>
    <row r="207" spans="2:89" ht="9.9499999999999993" customHeight="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row>
    <row r="208" spans="2:89" ht="9.9499999999999993" customHeight="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row>
    <row r="209" spans="2:89" ht="9.9499999999999993" customHeight="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row>
    <row r="210" spans="2:89" ht="12" customHeight="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row>
    <row r="211" spans="2:89" ht="9.9499999999999993" customHeight="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row>
    <row r="212" spans="2:89" ht="9.9499999999999993" customHeight="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row>
    <row r="213" spans="2:89" ht="9.9499999999999993" customHeight="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c r="CA213" s="31"/>
      <c r="CB213" s="31"/>
      <c r="CC213" s="31"/>
      <c r="CD213" s="31"/>
      <c r="CE213" s="31"/>
      <c r="CF213" s="31"/>
      <c r="CG213" s="31"/>
      <c r="CH213" s="31"/>
      <c r="CI213" s="31"/>
      <c r="CJ213" s="31"/>
      <c r="CK213" s="31"/>
    </row>
    <row r="214" spans="2:89" ht="9.9499999999999993" customHeight="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row>
    <row r="215" spans="2:89" ht="9.9499999999999993" customHeight="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row>
    <row r="216" spans="2:89" ht="9.9499999999999993" customHeight="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row>
    <row r="217" spans="2:89">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row>
    <row r="218" spans="2:89">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row>
    <row r="219" spans="2:89">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row>
    <row r="220" spans="2:89">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row>
    <row r="221" spans="2:89">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row>
    <row r="222" spans="2:89">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row>
    <row r="223" spans="2:89">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row>
    <row r="224" spans="2:89">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row>
    <row r="225" spans="2:89">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row>
    <row r="226" spans="2:89">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row>
    <row r="227" spans="2:89">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row>
    <row r="228" spans="2:89">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row>
    <row r="229" spans="2:89">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row>
    <row r="230" spans="2:89">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c r="CB230" s="31"/>
      <c r="CC230" s="31"/>
      <c r="CD230" s="31"/>
      <c r="CE230" s="31"/>
      <c r="CF230" s="31"/>
      <c r="CG230" s="31"/>
      <c r="CH230" s="31"/>
      <c r="CI230" s="31"/>
      <c r="CJ230" s="31"/>
      <c r="CK230" s="31"/>
    </row>
    <row r="231" spans="2:89">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c r="CB231" s="31"/>
      <c r="CC231" s="31"/>
      <c r="CD231" s="31"/>
      <c r="CE231" s="31"/>
      <c r="CF231" s="31"/>
      <c r="CG231" s="31"/>
      <c r="CH231" s="31"/>
      <c r="CI231" s="31"/>
      <c r="CJ231" s="31"/>
      <c r="CK231" s="31"/>
    </row>
    <row r="232" spans="2:89">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c r="CB232" s="31"/>
      <c r="CC232" s="31"/>
      <c r="CD232" s="31"/>
      <c r="CE232" s="31"/>
      <c r="CF232" s="31"/>
      <c r="CG232" s="31"/>
      <c r="CH232" s="31"/>
      <c r="CI232" s="31"/>
      <c r="CJ232" s="31"/>
      <c r="CK232" s="31"/>
    </row>
    <row r="233" spans="2:89">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row>
    <row r="234" spans="2:89">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c r="BR234" s="31"/>
      <c r="BS234" s="31"/>
      <c r="BT234" s="31"/>
      <c r="BU234" s="31"/>
      <c r="BV234" s="31"/>
      <c r="BW234" s="31"/>
      <c r="BX234" s="31"/>
      <c r="BY234" s="31"/>
      <c r="BZ234" s="31"/>
      <c r="CA234" s="31"/>
      <c r="CB234" s="31"/>
      <c r="CC234" s="31"/>
      <c r="CD234" s="31"/>
      <c r="CE234" s="31"/>
      <c r="CF234" s="31"/>
      <c r="CG234" s="31"/>
      <c r="CH234" s="31"/>
      <c r="CI234" s="31"/>
      <c r="CJ234" s="31"/>
      <c r="CK234" s="31"/>
    </row>
    <row r="235" spans="2:89">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row>
    <row r="236" spans="2:89">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row>
    <row r="237" spans="2:89">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1"/>
      <c r="CJ237" s="31"/>
      <c r="CK237" s="31"/>
    </row>
    <row r="238" spans="2:89">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1"/>
      <c r="BX238" s="31"/>
      <c r="BY238" s="31"/>
      <c r="BZ238" s="31"/>
      <c r="CA238" s="31"/>
      <c r="CB238" s="31"/>
      <c r="CC238" s="31"/>
      <c r="CD238" s="31"/>
      <c r="CE238" s="31"/>
      <c r="CF238" s="31"/>
      <c r="CG238" s="31"/>
      <c r="CH238" s="31"/>
      <c r="CI238" s="31"/>
      <c r="CJ238" s="31"/>
      <c r="CK238" s="31"/>
    </row>
    <row r="239" spans="2:89">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1"/>
      <c r="BX239" s="31"/>
      <c r="BY239" s="31"/>
      <c r="BZ239" s="31"/>
      <c r="CA239" s="31"/>
      <c r="CB239" s="31"/>
      <c r="CC239" s="31"/>
      <c r="CD239" s="31"/>
      <c r="CE239" s="31"/>
      <c r="CF239" s="31"/>
      <c r="CG239" s="31"/>
      <c r="CH239" s="31"/>
      <c r="CI239" s="31"/>
      <c r="CJ239" s="31"/>
      <c r="CK239" s="31"/>
    </row>
    <row r="240" spans="2:89">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row>
    <row r="241" spans="2:89">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row>
    <row r="242" spans="2:89">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row>
    <row r="243" spans="2:89">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1"/>
      <c r="CJ243" s="31"/>
      <c r="CK243" s="31"/>
    </row>
    <row r="244" spans="2:89">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row>
    <row r="245" spans="2:89">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1"/>
      <c r="CJ245" s="31"/>
      <c r="CK245" s="31"/>
    </row>
    <row r="246" spans="2:89">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row>
    <row r="247" spans="2:89">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c r="CA247" s="31"/>
      <c r="CB247" s="31"/>
      <c r="CC247" s="31"/>
      <c r="CD247" s="31"/>
      <c r="CE247" s="31"/>
      <c r="CF247" s="31"/>
      <c r="CG247" s="31"/>
      <c r="CH247" s="31"/>
      <c r="CI247" s="31"/>
      <c r="CJ247" s="31"/>
      <c r="CK247" s="31"/>
    </row>
    <row r="248" spans="2:89">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1"/>
      <c r="CJ248" s="31"/>
      <c r="CK248" s="31"/>
    </row>
    <row r="249" spans="2:89">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c r="CA249" s="31"/>
      <c r="CB249" s="31"/>
      <c r="CC249" s="31"/>
      <c r="CD249" s="31"/>
      <c r="CE249" s="31"/>
      <c r="CF249" s="31"/>
      <c r="CG249" s="31"/>
      <c r="CH249" s="31"/>
      <c r="CI249" s="31"/>
      <c r="CJ249" s="31"/>
      <c r="CK249" s="31"/>
    </row>
    <row r="250" spans="2:89">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1"/>
      <c r="CJ250" s="31"/>
      <c r="CK250" s="31"/>
    </row>
    <row r="251" spans="2:89">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1"/>
      <c r="CJ251" s="31"/>
      <c r="CK251" s="31"/>
    </row>
    <row r="252" spans="2:89">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c r="BR252" s="31"/>
      <c r="BS252" s="31"/>
      <c r="BT252" s="31"/>
      <c r="BU252" s="31"/>
      <c r="BV252" s="31"/>
      <c r="BW252" s="31"/>
      <c r="BX252" s="31"/>
      <c r="BY252" s="31"/>
      <c r="BZ252" s="31"/>
      <c r="CA252" s="31"/>
      <c r="CB252" s="31"/>
      <c r="CC252" s="31"/>
      <c r="CD252" s="31"/>
      <c r="CE252" s="31"/>
      <c r="CF252" s="31"/>
      <c r="CG252" s="31"/>
      <c r="CH252" s="31"/>
      <c r="CI252" s="31"/>
      <c r="CJ252" s="31"/>
      <c r="CK252" s="31"/>
    </row>
    <row r="253" spans="2:89">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c r="BR253" s="31"/>
      <c r="BS253" s="31"/>
      <c r="BT253" s="31"/>
      <c r="BU253" s="31"/>
      <c r="BV253" s="31"/>
      <c r="BW253" s="31"/>
      <c r="BX253" s="31"/>
      <c r="BY253" s="31"/>
      <c r="BZ253" s="31"/>
      <c r="CA253" s="31"/>
      <c r="CB253" s="31"/>
      <c r="CC253" s="31"/>
      <c r="CD253" s="31"/>
      <c r="CE253" s="31"/>
      <c r="CF253" s="31"/>
      <c r="CG253" s="31"/>
      <c r="CH253" s="31"/>
      <c r="CI253" s="31"/>
      <c r="CJ253" s="31"/>
      <c r="CK253" s="31"/>
    </row>
    <row r="254" spans="2:89">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c r="CB254" s="31"/>
      <c r="CC254" s="31"/>
      <c r="CD254" s="31"/>
      <c r="CE254" s="31"/>
      <c r="CF254" s="31"/>
      <c r="CG254" s="31"/>
      <c r="CH254" s="31"/>
      <c r="CI254" s="31"/>
      <c r="CJ254" s="31"/>
      <c r="CK254" s="31"/>
    </row>
    <row r="255" spans="2:89">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c r="CB255" s="31"/>
      <c r="CC255" s="31"/>
      <c r="CD255" s="31"/>
      <c r="CE255" s="31"/>
      <c r="CF255" s="31"/>
      <c r="CG255" s="31"/>
      <c r="CH255" s="31"/>
      <c r="CI255" s="31"/>
      <c r="CJ255" s="31"/>
      <c r="CK255" s="31"/>
    </row>
    <row r="256" spans="2:89">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row>
    <row r="257" spans="2:89">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row>
    <row r="258" spans="2:89">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row>
    <row r="259" spans="2:89">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1"/>
      <c r="CJ259" s="31"/>
      <c r="CK259" s="31"/>
    </row>
    <row r="260" spans="2:89">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row>
    <row r="261" spans="2:89">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1"/>
      <c r="CJ261" s="31"/>
      <c r="CK261" s="31"/>
    </row>
    <row r="262" spans="2:89">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row>
    <row r="263" spans="2:89">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c r="CB263" s="31"/>
      <c r="CC263" s="31"/>
      <c r="CD263" s="31"/>
      <c r="CE263" s="31"/>
      <c r="CF263" s="31"/>
      <c r="CG263" s="31"/>
      <c r="CH263" s="31"/>
      <c r="CI263" s="31"/>
      <c r="CJ263" s="31"/>
      <c r="CK263" s="31"/>
    </row>
    <row r="264" spans="2:89">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c r="CB264" s="31"/>
      <c r="CC264" s="31"/>
      <c r="CD264" s="31"/>
      <c r="CE264" s="31"/>
      <c r="CF264" s="31"/>
      <c r="CG264" s="31"/>
      <c r="CH264" s="31"/>
      <c r="CI264" s="31"/>
      <c r="CJ264" s="31"/>
      <c r="CK264" s="31"/>
    </row>
    <row r="265" spans="2:89">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c r="CA265" s="31"/>
      <c r="CB265" s="31"/>
      <c r="CC265" s="31"/>
      <c r="CD265" s="31"/>
      <c r="CE265" s="31"/>
      <c r="CF265" s="31"/>
      <c r="CG265" s="31"/>
      <c r="CH265" s="31"/>
      <c r="CI265" s="31"/>
      <c r="CJ265" s="31"/>
      <c r="CK265" s="31"/>
    </row>
    <row r="266" spans="2:89">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c r="CA266" s="31"/>
      <c r="CB266" s="31"/>
      <c r="CC266" s="31"/>
      <c r="CD266" s="31"/>
      <c r="CE266" s="31"/>
      <c r="CF266" s="31"/>
      <c r="CG266" s="31"/>
      <c r="CH266" s="31"/>
      <c r="CI266" s="31"/>
      <c r="CJ266" s="31"/>
      <c r="CK266" s="31"/>
    </row>
    <row r="267" spans="2:89">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31"/>
      <c r="CA267" s="31"/>
      <c r="CB267" s="31"/>
      <c r="CC267" s="31"/>
      <c r="CD267" s="31"/>
      <c r="CE267" s="31"/>
      <c r="CF267" s="31"/>
      <c r="CG267" s="31"/>
      <c r="CH267" s="31"/>
      <c r="CI267" s="31"/>
      <c r="CJ267" s="31"/>
      <c r="CK267" s="31"/>
    </row>
    <row r="268" spans="2:89">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c r="CA268" s="31"/>
      <c r="CB268" s="31"/>
      <c r="CC268" s="31"/>
      <c r="CD268" s="31"/>
      <c r="CE268" s="31"/>
      <c r="CF268" s="31"/>
      <c r="CG268" s="31"/>
      <c r="CH268" s="31"/>
      <c r="CI268" s="31"/>
      <c r="CJ268" s="31"/>
      <c r="CK268" s="31"/>
    </row>
    <row r="269" spans="2:89">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c r="CA269" s="31"/>
      <c r="CB269" s="31"/>
      <c r="CC269" s="31"/>
      <c r="CD269" s="31"/>
      <c r="CE269" s="31"/>
      <c r="CF269" s="31"/>
      <c r="CG269" s="31"/>
      <c r="CH269" s="31"/>
      <c r="CI269" s="31"/>
      <c r="CJ269" s="31"/>
      <c r="CK269" s="31"/>
    </row>
    <row r="270" spans="2:89">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1"/>
      <c r="BQ270" s="31"/>
      <c r="BR270" s="31"/>
      <c r="BS270" s="31"/>
      <c r="BT270" s="31"/>
      <c r="BU270" s="31"/>
      <c r="BV270" s="31"/>
      <c r="BW270" s="31"/>
      <c r="BX270" s="31"/>
      <c r="BY270" s="31"/>
      <c r="BZ270" s="31"/>
      <c r="CA270" s="31"/>
      <c r="CB270" s="31"/>
      <c r="CC270" s="31"/>
      <c r="CD270" s="31"/>
      <c r="CE270" s="31"/>
      <c r="CF270" s="31"/>
      <c r="CG270" s="31"/>
      <c r="CH270" s="31"/>
      <c r="CI270" s="31"/>
      <c r="CJ270" s="31"/>
      <c r="CK270" s="31"/>
    </row>
    <row r="271" spans="2:89">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1"/>
      <c r="BQ271" s="31"/>
      <c r="BR271" s="31"/>
      <c r="BS271" s="31"/>
      <c r="BT271" s="31"/>
      <c r="BU271" s="31"/>
      <c r="BV271" s="31"/>
      <c r="BW271" s="31"/>
      <c r="BX271" s="31"/>
      <c r="BY271" s="31"/>
      <c r="BZ271" s="31"/>
      <c r="CA271" s="31"/>
      <c r="CB271" s="31"/>
      <c r="CC271" s="31"/>
      <c r="CD271" s="31"/>
      <c r="CE271" s="31"/>
      <c r="CF271" s="31"/>
      <c r="CG271" s="31"/>
      <c r="CH271" s="31"/>
      <c r="CI271" s="31"/>
      <c r="CJ271" s="31"/>
      <c r="CK271" s="31"/>
    </row>
    <row r="272" spans="2:89">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1"/>
      <c r="BQ272" s="31"/>
      <c r="BR272" s="31"/>
      <c r="BS272" s="31"/>
      <c r="BT272" s="31"/>
      <c r="BU272" s="31"/>
      <c r="BV272" s="31"/>
      <c r="BW272" s="31"/>
      <c r="BX272" s="31"/>
      <c r="BY272" s="31"/>
      <c r="BZ272" s="31"/>
      <c r="CA272" s="31"/>
      <c r="CB272" s="31"/>
      <c r="CC272" s="31"/>
      <c r="CD272" s="31"/>
      <c r="CE272" s="31"/>
      <c r="CF272" s="31"/>
      <c r="CG272" s="31"/>
      <c r="CH272" s="31"/>
      <c r="CI272" s="31"/>
      <c r="CJ272" s="31"/>
      <c r="CK272" s="31"/>
    </row>
    <row r="273" spans="2:89">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c r="AY273" s="31"/>
      <c r="AZ273" s="31"/>
      <c r="BA273" s="31"/>
      <c r="BB273" s="31"/>
      <c r="BC273" s="31"/>
      <c r="BD273" s="31"/>
      <c r="BE273" s="31"/>
      <c r="BF273" s="31"/>
      <c r="BG273" s="31"/>
      <c r="BH273" s="31"/>
      <c r="BI273" s="31"/>
      <c r="BJ273" s="31"/>
      <c r="BK273" s="31"/>
      <c r="BL273" s="31"/>
      <c r="BM273" s="31"/>
      <c r="BN273" s="31"/>
      <c r="BO273" s="31"/>
      <c r="BP273" s="31"/>
      <c r="BQ273" s="31"/>
      <c r="BR273" s="31"/>
      <c r="BS273" s="31"/>
      <c r="BT273" s="31"/>
      <c r="BU273" s="31"/>
      <c r="BV273" s="31"/>
      <c r="BW273" s="31"/>
      <c r="BX273" s="31"/>
      <c r="BY273" s="31"/>
      <c r="BZ273" s="31"/>
      <c r="CA273" s="31"/>
      <c r="CB273" s="31"/>
      <c r="CC273" s="31"/>
      <c r="CD273" s="31"/>
      <c r="CE273" s="31"/>
      <c r="CF273" s="31"/>
      <c r="CG273" s="31"/>
      <c r="CH273" s="31"/>
      <c r="CI273" s="31"/>
      <c r="CJ273" s="31"/>
      <c r="CK273" s="31"/>
    </row>
    <row r="274" spans="2:89">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c r="BK274" s="31"/>
      <c r="BL274" s="31"/>
      <c r="BM274" s="31"/>
      <c r="BN274" s="31"/>
      <c r="BO274" s="31"/>
      <c r="BP274" s="31"/>
      <c r="BQ274" s="31"/>
      <c r="BR274" s="31"/>
      <c r="BS274" s="31"/>
      <c r="BT274" s="31"/>
      <c r="BU274" s="31"/>
      <c r="BV274" s="31"/>
      <c r="BW274" s="31"/>
      <c r="BX274" s="31"/>
      <c r="BY274" s="31"/>
      <c r="BZ274" s="31"/>
      <c r="CA274" s="31"/>
      <c r="CB274" s="31"/>
      <c r="CC274" s="31"/>
      <c r="CD274" s="31"/>
      <c r="CE274" s="31"/>
      <c r="CF274" s="31"/>
      <c r="CG274" s="31"/>
      <c r="CH274" s="31"/>
      <c r="CI274" s="31"/>
      <c r="CJ274" s="31"/>
      <c r="CK274" s="31"/>
    </row>
  </sheetData>
  <phoneticPr fontId="11" type="noConversion"/>
  <hyperlinks>
    <hyperlink ref="B74" r:id="rId1" xr:uid="{00000000-0004-0000-0300-000000000000}"/>
    <hyperlink ref="AL77" r:id="rId2" display="www.nces.ed.gov" xr:uid="{00000000-0004-0000-0300-000001000000}"/>
    <hyperlink ref="CG77" r:id="rId3" display="www.nces.ed.gov" xr:uid="{00000000-0004-0000-0300-000002000000}"/>
    <hyperlink ref="AN77" r:id="rId4" display="www.nces.ed.gov" xr:uid="{00000000-0004-0000-0300-000003000000}"/>
    <hyperlink ref="CI77" r:id="rId5" display="www.nces.ed.gov" xr:uid="{00000000-0004-0000-0300-000004000000}"/>
    <hyperlink ref="CD77" r:id="rId6" display="www.nces.ed.gov" xr:uid="{00000000-0004-0000-0300-000005000000}"/>
    <hyperlink ref="AI77" r:id="rId7" display="www.nces.ed.gov" xr:uid="{00000000-0004-0000-0300-000006000000}"/>
    <hyperlink ref="AM77" r:id="rId8" display="www.nces.ed.gov" xr:uid="{00000000-0004-0000-0300-000007000000}"/>
    <hyperlink ref="CH77" r:id="rId9" display="www.nces.ed.gov" xr:uid="{00000000-0004-0000-0300-000008000000}"/>
  </hyperlinks>
  <pageMargins left="0.5" right="0.5" top="0.5" bottom="0.55000000000000004" header="0.5" footer="0.5"/>
  <pageSetup orientation="portrait" verticalDpi="300" r:id="rId10"/>
  <headerFooter alignWithMargins="0">
    <oddFooter>&amp;LSREB Fact Book 1996/1997&amp;CDraft&amp;R&amp;D</oddFooter>
  </headerFooter>
  <drawing r:id="rId11"/>
  <legacyDrawing r:id="rId1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AE215"/>
  <sheetViews>
    <sheetView zoomScale="80" zoomScaleNormal="80" workbookViewId="0">
      <pane xSplit="1" ySplit="3" topLeftCell="B4" activePane="bottomRight" state="frozen"/>
      <selection pane="topRight" activeCell="B1" sqref="B1"/>
      <selection pane="bottomLeft" activeCell="A4" sqref="A4"/>
      <selection pane="bottomRight" activeCell="X17" sqref="X17"/>
    </sheetView>
  </sheetViews>
  <sheetFormatPr defaultColWidth="9.7109375" defaultRowHeight="12.75"/>
  <cols>
    <col min="1" max="1" width="21.140625" style="1" customWidth="1"/>
    <col min="2" max="9" width="10.28515625" style="6" customWidth="1"/>
    <col min="10" max="10" width="8.7109375" style="6" customWidth="1"/>
    <col min="11" max="13" width="9.7109375" style="6" customWidth="1"/>
    <col min="14" max="16" width="8.7109375" style="6" customWidth="1"/>
    <col min="17" max="25" width="9.140625" style="6" customWidth="1"/>
    <col min="26" max="16384" width="9.7109375" style="1"/>
  </cols>
  <sheetData>
    <row r="1" spans="1:31">
      <c r="A1" s="4" t="s">
        <v>218</v>
      </c>
    </row>
    <row r="2" spans="1:31">
      <c r="B2" s="70"/>
      <c r="E2" s="71"/>
      <c r="F2" s="71"/>
      <c r="G2" s="71"/>
      <c r="H2" s="71"/>
      <c r="I2" s="71"/>
      <c r="J2" s="71"/>
      <c r="K2" s="71"/>
      <c r="Y2" s="7"/>
      <c r="Z2" s="5"/>
      <c r="AA2" s="5"/>
      <c r="AB2" s="5"/>
      <c r="AC2" s="5"/>
      <c r="AD2" s="5"/>
      <c r="AE2" s="5"/>
    </row>
    <row r="3" spans="1:31" s="4" customFormat="1">
      <c r="A3" s="75"/>
      <c r="B3" s="91" t="s">
        <v>7</v>
      </c>
      <c r="C3" s="76" t="s">
        <v>8</v>
      </c>
      <c r="D3" s="76" t="s">
        <v>9</v>
      </c>
      <c r="E3" s="76" t="s">
        <v>10</v>
      </c>
      <c r="F3" s="76" t="s">
        <v>11</v>
      </c>
      <c r="G3" s="76" t="s">
        <v>64</v>
      </c>
      <c r="H3" s="76" t="s">
        <v>12</v>
      </c>
      <c r="I3" s="76" t="s">
        <v>65</v>
      </c>
      <c r="J3" s="76" t="s">
        <v>51</v>
      </c>
      <c r="K3" s="76" t="s">
        <v>79</v>
      </c>
      <c r="L3" s="76" t="s">
        <v>108</v>
      </c>
      <c r="M3" s="76" t="s">
        <v>146</v>
      </c>
      <c r="N3" s="76" t="s">
        <v>147</v>
      </c>
      <c r="O3" s="76" t="s">
        <v>170</v>
      </c>
      <c r="P3" s="76" t="s">
        <v>171</v>
      </c>
      <c r="Q3" s="77" t="s">
        <v>156</v>
      </c>
      <c r="R3" s="77" t="s">
        <v>168</v>
      </c>
      <c r="S3" s="77" t="s">
        <v>169</v>
      </c>
      <c r="T3" s="77" t="s">
        <v>180</v>
      </c>
      <c r="U3" s="77" t="s">
        <v>182</v>
      </c>
      <c r="V3" s="77" t="s">
        <v>184</v>
      </c>
      <c r="W3" s="55" t="s">
        <v>190</v>
      </c>
      <c r="X3" s="55" t="s">
        <v>204</v>
      </c>
      <c r="Y3" s="203" t="s">
        <v>205</v>
      </c>
      <c r="Z3" s="4" t="s">
        <v>208</v>
      </c>
      <c r="AA3" s="4" t="s">
        <v>210</v>
      </c>
      <c r="AB3" s="4" t="s">
        <v>221</v>
      </c>
      <c r="AC3" s="4" t="s">
        <v>222</v>
      </c>
      <c r="AD3" s="4" t="s">
        <v>225</v>
      </c>
      <c r="AE3" s="4" t="s">
        <v>226</v>
      </c>
    </row>
    <row r="4" spans="1:31">
      <c r="A4" s="45" t="s">
        <v>188</v>
      </c>
      <c r="B4" s="92">
        <f>360344+72235</f>
        <v>432579</v>
      </c>
      <c r="C4" s="56">
        <f>C5+C23+C38+C52+C63</f>
        <v>402886</v>
      </c>
      <c r="D4" s="66">
        <f>335516+71533</f>
        <v>407049</v>
      </c>
      <c r="E4" s="66">
        <f>350365+72629</f>
        <v>422994</v>
      </c>
      <c r="F4" s="56">
        <f t="shared" ref="F4:L4" si="0">F5+F23+F38+F52+F63</f>
        <v>471860</v>
      </c>
      <c r="G4" s="56">
        <f t="shared" si="0"/>
        <v>483118</v>
      </c>
      <c r="H4" s="56">
        <f t="shared" si="0"/>
        <v>509915</v>
      </c>
      <c r="I4" s="56">
        <f t="shared" si="0"/>
        <v>503644</v>
      </c>
      <c r="J4" s="56">
        <f t="shared" si="0"/>
        <v>521993</v>
      </c>
      <c r="K4" s="56">
        <f t="shared" si="0"/>
        <v>536707</v>
      </c>
      <c r="L4" s="56">
        <f t="shared" si="0"/>
        <v>533321</v>
      </c>
      <c r="M4" s="66">
        <f>SUM(M7:M56)</f>
        <v>0</v>
      </c>
      <c r="N4" s="56">
        <f>N5+N23+N38+N52+N63</f>
        <v>537591</v>
      </c>
      <c r="O4" s="66">
        <f>SUM(O7:O56)</f>
        <v>0</v>
      </c>
      <c r="P4" s="66">
        <f>SUM(P7:P56)</f>
        <v>0</v>
      </c>
      <c r="Q4" s="56">
        <f t="shared" ref="Q4:Y4" si="1">Q5+Q23+Q38+Q52+Q63</f>
        <v>589169</v>
      </c>
      <c r="R4" s="56">
        <f t="shared" si="1"/>
        <v>614983</v>
      </c>
      <c r="S4" s="56">
        <f t="shared" si="1"/>
        <v>639949</v>
      </c>
      <c r="T4" s="56">
        <f t="shared" si="1"/>
        <v>653008</v>
      </c>
      <c r="U4" s="56">
        <f t="shared" si="1"/>
        <v>671003</v>
      </c>
      <c r="V4" s="56">
        <f t="shared" si="1"/>
        <v>686168</v>
      </c>
      <c r="W4" s="56">
        <f t="shared" si="1"/>
        <v>720503</v>
      </c>
      <c r="X4" s="56">
        <f t="shared" si="1"/>
        <v>774191</v>
      </c>
      <c r="Y4" s="56">
        <f t="shared" si="1"/>
        <v>815794</v>
      </c>
      <c r="Z4" s="56">
        <f t="shared" ref="Z4:AA4" si="2">Z5+Z23+Z38+Z52+Z63</f>
        <v>914130</v>
      </c>
      <c r="AA4" s="56">
        <f t="shared" si="2"/>
        <v>922618</v>
      </c>
      <c r="AB4" s="56">
        <f t="shared" ref="AB4:AC4" si="3">AB5+AB23+AB38+AB52+AB63</f>
        <v>0</v>
      </c>
      <c r="AC4" s="56">
        <f t="shared" si="3"/>
        <v>936361</v>
      </c>
      <c r="AD4" s="56">
        <f t="shared" ref="AD4:AE4" si="4">AD5+AD23+AD38+AD52+AD63</f>
        <v>937802</v>
      </c>
      <c r="AE4" s="56">
        <f t="shared" si="4"/>
        <v>939629</v>
      </c>
    </row>
    <row r="5" spans="1:31">
      <c r="A5" s="46" t="s">
        <v>70</v>
      </c>
      <c r="B5" s="93">
        <f t="shared" ref="B5:V5" si="5">SUM(B7:B22)</f>
        <v>124381</v>
      </c>
      <c r="C5" s="52">
        <f t="shared" si="5"/>
        <v>118386</v>
      </c>
      <c r="D5" s="52">
        <f t="shared" si="5"/>
        <v>125595</v>
      </c>
      <c r="E5" s="52">
        <f t="shared" si="5"/>
        <v>130794</v>
      </c>
      <c r="F5" s="52">
        <f t="shared" si="5"/>
        <v>143774</v>
      </c>
      <c r="G5" s="52">
        <f t="shared" si="5"/>
        <v>148589</v>
      </c>
      <c r="H5" s="52">
        <f t="shared" si="5"/>
        <v>155224</v>
      </c>
      <c r="I5" s="52">
        <f t="shared" si="5"/>
        <v>155074</v>
      </c>
      <c r="J5" s="52">
        <f t="shared" si="5"/>
        <v>160278</v>
      </c>
      <c r="K5" s="52">
        <f t="shared" si="5"/>
        <v>168455</v>
      </c>
      <c r="L5" s="52">
        <f t="shared" si="5"/>
        <v>168941</v>
      </c>
      <c r="M5" s="52">
        <f t="shared" si="5"/>
        <v>0</v>
      </c>
      <c r="N5" s="52">
        <f t="shared" si="5"/>
        <v>168094</v>
      </c>
      <c r="O5" s="52">
        <f t="shared" si="5"/>
        <v>0</v>
      </c>
      <c r="P5" s="52">
        <f t="shared" si="5"/>
        <v>0</v>
      </c>
      <c r="Q5" s="52">
        <f t="shared" si="5"/>
        <v>193425</v>
      </c>
      <c r="R5" s="52">
        <f t="shared" si="5"/>
        <v>207782</v>
      </c>
      <c r="S5" s="52">
        <f t="shared" si="5"/>
        <v>217647</v>
      </c>
      <c r="T5" s="52">
        <f t="shared" ref="T5" si="6">SUM(T7:T22)</f>
        <v>223886</v>
      </c>
      <c r="U5" s="52">
        <f t="shared" si="5"/>
        <v>228005</v>
      </c>
      <c r="V5" s="52">
        <f t="shared" si="5"/>
        <v>232639</v>
      </c>
      <c r="W5" s="52">
        <f t="shared" ref="W5:X5" si="7">SUM(W7:W22)</f>
        <v>245402</v>
      </c>
      <c r="X5" s="52">
        <f t="shared" si="7"/>
        <v>270302</v>
      </c>
      <c r="Y5" s="52">
        <f t="shared" ref="Y5:Z5" si="8">SUM(Y7:Y22)</f>
        <v>298403</v>
      </c>
      <c r="Z5" s="52">
        <f t="shared" si="8"/>
        <v>334112</v>
      </c>
      <c r="AA5" s="52">
        <f t="shared" ref="AA5:AC5" si="9">SUM(AA7:AA22)</f>
        <v>336389</v>
      </c>
      <c r="AB5" s="52">
        <f t="shared" si="9"/>
        <v>0</v>
      </c>
      <c r="AC5" s="52">
        <f t="shared" si="9"/>
        <v>345737</v>
      </c>
      <c r="AD5" s="52">
        <f t="shared" ref="AD5:AE5" si="10">SUM(AD7:AD22)</f>
        <v>351723</v>
      </c>
      <c r="AE5" s="52">
        <f t="shared" si="10"/>
        <v>355747</v>
      </c>
    </row>
    <row r="6" spans="1:31">
      <c r="A6" s="47" t="s">
        <v>189</v>
      </c>
      <c r="B6" s="82">
        <f t="shared" ref="B6:V6" si="11">(B5/B$4)*100</f>
        <v>28.753360657822043</v>
      </c>
      <c r="C6" s="58">
        <f t="shared" si="11"/>
        <v>29.384490898169709</v>
      </c>
      <c r="D6" s="58">
        <f t="shared" si="11"/>
        <v>30.855007628074262</v>
      </c>
      <c r="E6" s="58">
        <f t="shared" si="11"/>
        <v>30.92100597171591</v>
      </c>
      <c r="F6" s="58">
        <f t="shared" si="11"/>
        <v>30.469630822701649</v>
      </c>
      <c r="G6" s="58">
        <f t="shared" si="11"/>
        <v>30.756254165648972</v>
      </c>
      <c r="H6" s="58">
        <f t="shared" si="11"/>
        <v>30.441151956698665</v>
      </c>
      <c r="I6" s="58">
        <f t="shared" si="11"/>
        <v>30.790399567948789</v>
      </c>
      <c r="J6" s="58">
        <f t="shared" si="11"/>
        <v>30.705009454149767</v>
      </c>
      <c r="K6" s="58">
        <f t="shared" si="11"/>
        <v>31.386771553193825</v>
      </c>
      <c r="L6" s="58">
        <f t="shared" si="11"/>
        <v>31.677170034557051</v>
      </c>
      <c r="M6" s="58" t="e">
        <f t="shared" si="11"/>
        <v>#DIV/0!</v>
      </c>
      <c r="N6" s="58">
        <f t="shared" si="11"/>
        <v>31.268008579012669</v>
      </c>
      <c r="O6" s="58" t="e">
        <f t="shared" si="11"/>
        <v>#DIV/0!</v>
      </c>
      <c r="P6" s="58" t="e">
        <f t="shared" si="11"/>
        <v>#DIV/0!</v>
      </c>
      <c r="Q6" s="58">
        <f t="shared" si="11"/>
        <v>32.830138720808463</v>
      </c>
      <c r="R6" s="58">
        <f t="shared" si="11"/>
        <v>33.786624996138102</v>
      </c>
      <c r="S6" s="58">
        <f t="shared" si="11"/>
        <v>34.01005392617224</v>
      </c>
      <c r="T6" s="58">
        <f t="shared" ref="T6" si="12">(T5/T$4)*100</f>
        <v>34.285338005047414</v>
      </c>
      <c r="U6" s="58">
        <f t="shared" si="11"/>
        <v>33.97972885367129</v>
      </c>
      <c r="V6" s="58">
        <f t="shared" si="11"/>
        <v>33.904087628685687</v>
      </c>
      <c r="W6" s="58">
        <f t="shared" ref="W6:X6" si="13">(W5/W$4)*100</f>
        <v>34.059816544830483</v>
      </c>
      <c r="X6" s="58">
        <f t="shared" si="13"/>
        <v>34.914123258989058</v>
      </c>
      <c r="Y6" s="58">
        <f t="shared" ref="Y6:Z6" si="14">(Y5/Y$4)*100</f>
        <v>36.578229307888996</v>
      </c>
      <c r="Z6" s="58">
        <f t="shared" si="14"/>
        <v>36.549724875017773</v>
      </c>
      <c r="AA6" s="58">
        <f t="shared" ref="AA6:AC6" si="15">(AA5/AA$4)*100</f>
        <v>36.460268496821001</v>
      </c>
      <c r="AB6" s="58" t="e">
        <f t="shared" si="15"/>
        <v>#DIV/0!</v>
      </c>
      <c r="AC6" s="58">
        <f t="shared" si="15"/>
        <v>36.923472891331443</v>
      </c>
      <c r="AD6" s="58">
        <f t="shared" ref="AD6:AE6" si="16">(AD5/AD$4)*100</f>
        <v>37.50503837697083</v>
      </c>
      <c r="AE6" s="58">
        <f t="shared" si="16"/>
        <v>37.860368294294879</v>
      </c>
    </row>
    <row r="7" spans="1:31">
      <c r="A7" s="46" t="s">
        <v>14</v>
      </c>
      <c r="B7" s="94">
        <f>4660+1285</f>
        <v>5945</v>
      </c>
      <c r="C7" s="72">
        <v>6133</v>
      </c>
      <c r="D7" s="6">
        <f>4779+1086</f>
        <v>5865</v>
      </c>
      <c r="E7" s="6">
        <f>5005+968</f>
        <v>5973</v>
      </c>
      <c r="F7" s="72">
        <v>7167</v>
      </c>
      <c r="G7" s="72">
        <v>7448</v>
      </c>
      <c r="H7" s="72">
        <v>7723</v>
      </c>
      <c r="I7" s="72">
        <v>7782</v>
      </c>
      <c r="J7" s="72">
        <v>8174</v>
      </c>
      <c r="K7" s="6">
        <v>8574</v>
      </c>
      <c r="L7" s="6">
        <v>9029</v>
      </c>
      <c r="N7" s="6">
        <v>8687</v>
      </c>
      <c r="Q7" s="6">
        <v>8603</v>
      </c>
      <c r="R7" s="6">
        <v>8735</v>
      </c>
      <c r="S7" s="6">
        <v>9102</v>
      </c>
      <c r="T7" s="6">
        <v>8771</v>
      </c>
      <c r="U7" s="6">
        <v>8099</v>
      </c>
      <c r="V7" s="6">
        <v>8924</v>
      </c>
      <c r="W7" s="6">
        <v>9027</v>
      </c>
      <c r="X7" s="6">
        <v>9795</v>
      </c>
      <c r="Y7" s="6">
        <v>10621</v>
      </c>
      <c r="Z7" s="1">
        <v>12176</v>
      </c>
      <c r="AA7" s="1">
        <v>12818</v>
      </c>
      <c r="AC7" s="1">
        <v>11013</v>
      </c>
      <c r="AD7" s="1">
        <v>10537</v>
      </c>
      <c r="AE7" s="1">
        <v>10592</v>
      </c>
    </row>
    <row r="8" spans="1:31">
      <c r="A8" s="46" t="s">
        <v>15</v>
      </c>
      <c r="B8" s="94">
        <f>1697+400</f>
        <v>2097</v>
      </c>
      <c r="C8" s="72">
        <v>2013</v>
      </c>
      <c r="D8" s="6">
        <f>1658+549</f>
        <v>2207</v>
      </c>
      <c r="E8" s="6">
        <f>1924+682</f>
        <v>2606</v>
      </c>
      <c r="F8" s="72">
        <v>2466</v>
      </c>
      <c r="G8" s="72">
        <v>2606</v>
      </c>
      <c r="H8" s="72">
        <v>2788</v>
      </c>
      <c r="I8" s="72">
        <v>2477</v>
      </c>
      <c r="J8" s="72">
        <v>2952</v>
      </c>
      <c r="K8" s="6">
        <v>3307</v>
      </c>
      <c r="L8" s="6">
        <v>3139</v>
      </c>
      <c r="N8" s="6">
        <v>3865</v>
      </c>
      <c r="Q8" s="6">
        <v>4680</v>
      </c>
      <c r="R8" s="6">
        <v>4853</v>
      </c>
      <c r="S8" s="6">
        <v>5122</v>
      </c>
      <c r="T8" s="6">
        <v>5418</v>
      </c>
      <c r="U8" s="6">
        <v>5677</v>
      </c>
      <c r="V8" s="6">
        <v>5514</v>
      </c>
      <c r="W8" s="6">
        <v>6429</v>
      </c>
      <c r="X8" s="6">
        <v>6786</v>
      </c>
      <c r="Y8" s="6">
        <v>9506</v>
      </c>
      <c r="Z8" s="1">
        <v>8434</v>
      </c>
      <c r="AA8" s="1">
        <v>8400</v>
      </c>
      <c r="AC8" s="1">
        <v>9004</v>
      </c>
      <c r="AD8" s="1">
        <v>8648</v>
      </c>
      <c r="AE8" s="1">
        <v>8477</v>
      </c>
    </row>
    <row r="9" spans="1:31">
      <c r="A9" s="46" t="s">
        <v>50</v>
      </c>
      <c r="B9" s="94">
        <v>1291</v>
      </c>
      <c r="C9" s="72">
        <v>1137</v>
      </c>
      <c r="D9" s="6">
        <v>1138</v>
      </c>
      <c r="E9" s="6">
        <v>1288</v>
      </c>
      <c r="F9" s="72">
        <v>1140</v>
      </c>
      <c r="G9" s="72">
        <v>1309</v>
      </c>
      <c r="H9" s="72">
        <v>1177</v>
      </c>
      <c r="I9" s="72">
        <v>1134</v>
      </c>
      <c r="J9" s="72">
        <v>1174</v>
      </c>
      <c r="K9" s="6">
        <v>1021</v>
      </c>
      <c r="L9" s="6">
        <v>1069</v>
      </c>
      <c r="N9" s="6">
        <v>1078</v>
      </c>
      <c r="Q9" s="6">
        <v>1076</v>
      </c>
      <c r="R9" s="6">
        <v>1091</v>
      </c>
      <c r="S9" s="6">
        <v>1186</v>
      </c>
      <c r="T9" s="6">
        <v>1238</v>
      </c>
      <c r="U9" s="6">
        <v>1286</v>
      </c>
      <c r="V9" s="6">
        <v>1385</v>
      </c>
      <c r="W9" s="6">
        <v>1546</v>
      </c>
      <c r="X9" s="6">
        <v>1582</v>
      </c>
      <c r="Y9" s="6">
        <v>1711</v>
      </c>
      <c r="Z9" s="1">
        <v>1872</v>
      </c>
      <c r="AA9" s="1">
        <v>1979</v>
      </c>
      <c r="AC9" s="1">
        <v>1971</v>
      </c>
      <c r="AD9" s="1">
        <v>1974</v>
      </c>
      <c r="AE9" s="1">
        <v>2020</v>
      </c>
    </row>
    <row r="10" spans="1:31">
      <c r="A10" s="46" t="s">
        <v>16</v>
      </c>
      <c r="B10" s="94">
        <f>27100+3831</f>
        <v>30931</v>
      </c>
      <c r="C10" s="72">
        <v>27522</v>
      </c>
      <c r="D10" s="6">
        <f>27960+3541</f>
        <v>31501</v>
      </c>
      <c r="E10" s="6">
        <f>29404+3826</f>
        <v>33230</v>
      </c>
      <c r="F10" s="72">
        <v>37647</v>
      </c>
      <c r="G10" s="72">
        <v>37598</v>
      </c>
      <c r="H10" s="72">
        <v>39049</v>
      </c>
      <c r="I10" s="72">
        <v>39271</v>
      </c>
      <c r="J10" s="72">
        <v>41131</v>
      </c>
      <c r="K10" s="6">
        <v>43371</v>
      </c>
      <c r="L10" s="6">
        <v>46397</v>
      </c>
      <c r="N10" s="6">
        <v>42689</v>
      </c>
      <c r="Q10" s="6">
        <v>51557</v>
      </c>
      <c r="R10" s="6">
        <v>53905</v>
      </c>
      <c r="S10" s="6">
        <v>56480</v>
      </c>
      <c r="T10" s="6">
        <v>58917</v>
      </c>
      <c r="U10" s="6">
        <v>58674</v>
      </c>
      <c r="V10" s="6">
        <v>61267</v>
      </c>
      <c r="W10" s="6">
        <v>66134</v>
      </c>
      <c r="X10" s="6">
        <v>74760</v>
      </c>
      <c r="Y10" s="6">
        <v>80028</v>
      </c>
      <c r="Z10" s="1">
        <v>94773</v>
      </c>
      <c r="AA10" s="1">
        <v>92530</v>
      </c>
      <c r="AC10" s="1">
        <v>85739</v>
      </c>
      <c r="AD10" s="1">
        <v>85939</v>
      </c>
      <c r="AE10" s="1">
        <v>86213</v>
      </c>
    </row>
    <row r="11" spans="1:31">
      <c r="A11" s="46" t="s">
        <v>17</v>
      </c>
      <c r="B11" s="94">
        <f>4244+1554</f>
        <v>5798</v>
      </c>
      <c r="C11" s="72">
        <v>6530</v>
      </c>
      <c r="D11" s="6">
        <f>4211+2772</f>
        <v>6983</v>
      </c>
      <c r="E11" s="6">
        <f>4974+2413</f>
        <v>7387</v>
      </c>
      <c r="F11" s="72">
        <v>8315</v>
      </c>
      <c r="G11" s="72">
        <v>8160</v>
      </c>
      <c r="H11" s="72">
        <v>9253</v>
      </c>
      <c r="I11" s="72">
        <v>8881</v>
      </c>
      <c r="J11" s="72">
        <v>9237</v>
      </c>
      <c r="K11" s="6">
        <v>8912</v>
      </c>
      <c r="L11" s="6">
        <v>9072</v>
      </c>
      <c r="N11" s="6">
        <v>7568</v>
      </c>
      <c r="Q11" s="6">
        <v>10045</v>
      </c>
      <c r="R11" s="6">
        <v>12123</v>
      </c>
      <c r="S11" s="6">
        <v>11862</v>
      </c>
      <c r="T11" s="6">
        <v>12503</v>
      </c>
      <c r="U11" s="6">
        <v>12671</v>
      </c>
      <c r="V11" s="6">
        <v>13227</v>
      </c>
      <c r="W11" s="6">
        <v>13797</v>
      </c>
      <c r="X11" s="6">
        <v>14807</v>
      </c>
      <c r="Y11" s="6">
        <v>16971</v>
      </c>
      <c r="Z11" s="1">
        <v>17312</v>
      </c>
      <c r="AA11" s="1">
        <v>17456</v>
      </c>
      <c r="AC11" s="1">
        <v>17957</v>
      </c>
      <c r="AD11" s="1">
        <v>18567</v>
      </c>
      <c r="AE11" s="1">
        <v>18293</v>
      </c>
    </row>
    <row r="12" spans="1:31">
      <c r="A12" s="46" t="s">
        <v>18</v>
      </c>
      <c r="B12" s="94">
        <f>4146+1799</f>
        <v>5945</v>
      </c>
      <c r="C12" s="72">
        <v>5129</v>
      </c>
      <c r="D12" s="6">
        <f>3406+1194</f>
        <v>4600</v>
      </c>
      <c r="E12" s="6">
        <f>3717+1594</f>
        <v>5311</v>
      </c>
      <c r="F12" s="72">
        <v>5865</v>
      </c>
      <c r="G12" s="72">
        <v>6494</v>
      </c>
      <c r="H12" s="72">
        <v>6363</v>
      </c>
      <c r="I12" s="72">
        <v>6413</v>
      </c>
      <c r="J12" s="72">
        <v>6511</v>
      </c>
      <c r="K12" s="6">
        <v>6732</v>
      </c>
      <c r="L12" s="6">
        <v>6326</v>
      </c>
      <c r="N12" s="6">
        <v>6450</v>
      </c>
      <c r="Q12" s="6">
        <v>7674</v>
      </c>
      <c r="R12" s="6">
        <v>8377</v>
      </c>
      <c r="S12" s="6">
        <v>8589</v>
      </c>
      <c r="T12" s="6">
        <v>9031</v>
      </c>
      <c r="U12" s="6">
        <v>9428</v>
      </c>
      <c r="V12" s="6">
        <v>9672</v>
      </c>
      <c r="W12" s="6">
        <v>10326</v>
      </c>
      <c r="X12" s="6">
        <v>11004</v>
      </c>
      <c r="Y12" s="6">
        <v>12635</v>
      </c>
      <c r="Z12" s="1">
        <v>14229</v>
      </c>
      <c r="AA12" s="1">
        <v>13530</v>
      </c>
      <c r="AC12" s="1">
        <v>12812</v>
      </c>
      <c r="AD12" s="1">
        <v>11988</v>
      </c>
      <c r="AE12" s="1">
        <v>12108</v>
      </c>
    </row>
    <row r="13" spans="1:31">
      <c r="A13" s="46" t="s">
        <v>19</v>
      </c>
      <c r="B13" s="94">
        <f>2288+357</f>
        <v>2645</v>
      </c>
      <c r="C13" s="72">
        <v>2577</v>
      </c>
      <c r="D13" s="6">
        <f>1914+628</f>
        <v>2542</v>
      </c>
      <c r="E13" s="6">
        <f>2008+544</f>
        <v>2552</v>
      </c>
      <c r="F13" s="72">
        <v>2594</v>
      </c>
      <c r="G13" s="72">
        <v>2791</v>
      </c>
      <c r="H13" s="72">
        <v>3232</v>
      </c>
      <c r="I13" s="72">
        <v>3300</v>
      </c>
      <c r="J13" s="72">
        <v>4214</v>
      </c>
      <c r="K13" s="6">
        <v>5584</v>
      </c>
      <c r="L13" s="6">
        <v>4747</v>
      </c>
      <c r="N13" s="6">
        <v>5495</v>
      </c>
      <c r="Q13" s="6">
        <v>5269</v>
      </c>
      <c r="R13" s="6">
        <v>5829</v>
      </c>
      <c r="S13" s="6">
        <v>5393</v>
      </c>
      <c r="T13" s="6">
        <v>4205</v>
      </c>
      <c r="U13" s="6">
        <v>4775</v>
      </c>
      <c r="V13" s="6">
        <v>4821</v>
      </c>
      <c r="W13" s="6">
        <v>5233</v>
      </c>
      <c r="X13" s="6">
        <v>5621</v>
      </c>
      <c r="Y13" s="6">
        <v>6829</v>
      </c>
      <c r="Z13" s="1">
        <v>7100</v>
      </c>
      <c r="AA13" s="1">
        <v>6709</v>
      </c>
      <c r="AC13" s="1">
        <v>6857</v>
      </c>
      <c r="AD13" s="1">
        <v>7102</v>
      </c>
      <c r="AE13" s="1">
        <v>6655</v>
      </c>
    </row>
    <row r="14" spans="1:31">
      <c r="A14" s="46" t="s">
        <v>20</v>
      </c>
      <c r="B14" s="94">
        <f>6869+445</f>
        <v>7314</v>
      </c>
      <c r="C14" s="72">
        <v>7052</v>
      </c>
      <c r="D14" s="6">
        <f>6322+616</f>
        <v>6938</v>
      </c>
      <c r="E14" s="6">
        <f>6809+569</f>
        <v>7378</v>
      </c>
      <c r="F14" s="72">
        <v>8031</v>
      </c>
      <c r="G14" s="72">
        <v>8245</v>
      </c>
      <c r="H14" s="72">
        <v>8083</v>
      </c>
      <c r="I14" s="72">
        <v>8405</v>
      </c>
      <c r="J14" s="72">
        <v>8355</v>
      </c>
      <c r="K14" s="6">
        <v>7828</v>
      </c>
      <c r="L14" s="6">
        <v>7629</v>
      </c>
      <c r="N14" s="6">
        <v>7159</v>
      </c>
      <c r="Q14" s="6">
        <v>8098</v>
      </c>
      <c r="R14" s="6">
        <v>8573</v>
      </c>
      <c r="S14" s="6">
        <v>9309</v>
      </c>
      <c r="T14" s="6">
        <v>9547</v>
      </c>
      <c r="U14" s="6">
        <v>9693</v>
      </c>
      <c r="V14" s="6">
        <v>10101</v>
      </c>
      <c r="W14" s="6">
        <v>10360</v>
      </c>
      <c r="X14" s="6">
        <v>11268</v>
      </c>
      <c r="Y14" s="6">
        <v>12726</v>
      </c>
      <c r="Z14" s="1">
        <v>13714</v>
      </c>
      <c r="AA14" s="1">
        <v>14370</v>
      </c>
      <c r="AC14" s="1">
        <v>15950</v>
      </c>
      <c r="AD14" s="1">
        <v>15948</v>
      </c>
      <c r="AE14" s="1">
        <v>15823</v>
      </c>
    </row>
    <row r="15" spans="1:31">
      <c r="A15" s="46" t="s">
        <v>21</v>
      </c>
      <c r="B15" s="94">
        <f>3427+688</f>
        <v>4115</v>
      </c>
      <c r="C15" s="72">
        <v>4340</v>
      </c>
      <c r="D15" s="6">
        <f>4287+518</f>
        <v>4805</v>
      </c>
      <c r="E15" s="6">
        <f>4166+584</f>
        <v>4750</v>
      </c>
      <c r="F15" s="72">
        <v>5411</v>
      </c>
      <c r="G15" s="72">
        <v>5543</v>
      </c>
      <c r="H15" s="72">
        <v>5513</v>
      </c>
      <c r="I15" s="72">
        <v>5499</v>
      </c>
      <c r="J15" s="72">
        <v>5881</v>
      </c>
      <c r="K15" s="6">
        <v>5747</v>
      </c>
      <c r="L15" s="6">
        <v>5724</v>
      </c>
      <c r="N15" s="6">
        <v>6698</v>
      </c>
      <c r="Q15" s="6">
        <v>7422</v>
      </c>
      <c r="R15" s="6">
        <v>8082</v>
      </c>
      <c r="S15" s="6">
        <v>8439</v>
      </c>
      <c r="T15" s="6">
        <v>8259</v>
      </c>
      <c r="U15" s="6">
        <v>8414</v>
      </c>
      <c r="V15" s="6">
        <v>8649</v>
      </c>
      <c r="W15" s="6">
        <v>8868</v>
      </c>
      <c r="X15" s="6">
        <v>9657</v>
      </c>
      <c r="Y15" s="6">
        <v>11209</v>
      </c>
      <c r="Z15" s="1">
        <v>12765</v>
      </c>
      <c r="AA15" s="1">
        <v>11809</v>
      </c>
      <c r="AC15" s="1">
        <v>13065</v>
      </c>
      <c r="AD15" s="1">
        <v>13486</v>
      </c>
      <c r="AE15" s="1">
        <v>13282</v>
      </c>
    </row>
    <row r="16" spans="1:31">
      <c r="A16" s="46" t="s">
        <v>22</v>
      </c>
      <c r="B16" s="94">
        <f>9421+1624</f>
        <v>11045</v>
      </c>
      <c r="C16" s="72">
        <v>10599</v>
      </c>
      <c r="D16" s="6">
        <f>8437+1455</f>
        <v>9892</v>
      </c>
      <c r="E16" s="6">
        <f>9222+1424</f>
        <v>10646</v>
      </c>
      <c r="F16" s="72">
        <v>11719</v>
      </c>
      <c r="G16" s="72">
        <v>12118</v>
      </c>
      <c r="H16" s="72">
        <v>12808</v>
      </c>
      <c r="I16" s="72">
        <v>13031</v>
      </c>
      <c r="J16" s="72">
        <v>13798</v>
      </c>
      <c r="K16" s="6">
        <v>15534</v>
      </c>
      <c r="L16" s="6">
        <v>13951</v>
      </c>
      <c r="N16" s="6">
        <v>13391</v>
      </c>
      <c r="Q16" s="6">
        <v>15199</v>
      </c>
      <c r="R16" s="6">
        <v>17176</v>
      </c>
      <c r="S16" s="6">
        <v>18049</v>
      </c>
      <c r="T16" s="6">
        <v>18948</v>
      </c>
      <c r="U16" s="6">
        <v>19276</v>
      </c>
      <c r="V16" s="6">
        <v>18764</v>
      </c>
      <c r="W16" s="6">
        <v>19673</v>
      </c>
      <c r="X16" s="6">
        <v>21258</v>
      </c>
      <c r="Y16" s="6">
        <v>23514</v>
      </c>
      <c r="Z16" s="1">
        <v>25771</v>
      </c>
      <c r="AA16" s="1">
        <v>26757</v>
      </c>
      <c r="AC16" s="1">
        <v>30121</v>
      </c>
      <c r="AD16" s="1">
        <v>30407</v>
      </c>
      <c r="AE16" s="1">
        <v>31953</v>
      </c>
    </row>
    <row r="17" spans="1:31">
      <c r="A17" s="46" t="s">
        <v>23</v>
      </c>
      <c r="B17" s="94">
        <f>3916+526</f>
        <v>4442</v>
      </c>
      <c r="C17" s="72">
        <v>5248</v>
      </c>
      <c r="D17" s="6">
        <f>4971+1205</f>
        <v>6176</v>
      </c>
      <c r="E17" s="6">
        <f>5276+492</f>
        <v>5768</v>
      </c>
      <c r="F17" s="72">
        <v>6127</v>
      </c>
      <c r="G17" s="72">
        <v>6256</v>
      </c>
      <c r="H17" s="72">
        <v>6650</v>
      </c>
      <c r="I17" s="72">
        <v>6972</v>
      </c>
      <c r="J17" s="72">
        <v>6085</v>
      </c>
      <c r="K17" s="6">
        <v>6525</v>
      </c>
      <c r="L17" s="6">
        <v>6715</v>
      </c>
      <c r="N17" s="6">
        <v>6327</v>
      </c>
      <c r="Q17" s="6">
        <v>7930</v>
      </c>
      <c r="R17" s="6">
        <v>8513</v>
      </c>
      <c r="S17" s="6">
        <v>8971</v>
      </c>
      <c r="T17" s="6">
        <v>8989</v>
      </c>
      <c r="U17" s="6">
        <v>9535</v>
      </c>
      <c r="V17" s="6">
        <v>9225</v>
      </c>
      <c r="W17" s="6">
        <v>9069</v>
      </c>
      <c r="X17" s="6">
        <v>9533</v>
      </c>
      <c r="Y17" s="6">
        <v>10203</v>
      </c>
      <c r="Z17" s="1">
        <v>10813</v>
      </c>
      <c r="AA17" s="1">
        <v>11765</v>
      </c>
      <c r="AC17" s="1">
        <v>12384</v>
      </c>
      <c r="AD17" s="1">
        <v>11424</v>
      </c>
      <c r="AE17" s="1">
        <v>10874</v>
      </c>
    </row>
    <row r="18" spans="1:31">
      <c r="A18" s="46" t="s">
        <v>24</v>
      </c>
      <c r="B18" s="94">
        <f>4376+868</f>
        <v>5244</v>
      </c>
      <c r="C18" s="72">
        <v>4753</v>
      </c>
      <c r="D18" s="6">
        <f>3930+840</f>
        <v>4770</v>
      </c>
      <c r="E18" s="6">
        <f>4198+957</f>
        <v>5155</v>
      </c>
      <c r="F18" s="72">
        <v>6001</v>
      </c>
      <c r="G18" s="72">
        <v>5823</v>
      </c>
      <c r="H18" s="72">
        <v>6084</v>
      </c>
      <c r="I18" s="72">
        <v>6110</v>
      </c>
      <c r="J18" s="72">
        <v>6313</v>
      </c>
      <c r="K18" s="6">
        <v>6346</v>
      </c>
      <c r="L18" s="6">
        <v>6325</v>
      </c>
      <c r="N18" s="6">
        <v>6679</v>
      </c>
      <c r="Q18" s="6">
        <v>7397</v>
      </c>
      <c r="R18" s="6">
        <v>7867</v>
      </c>
      <c r="S18" s="6">
        <v>7957</v>
      </c>
      <c r="T18" s="6">
        <v>7755</v>
      </c>
      <c r="U18" s="6">
        <v>7635</v>
      </c>
      <c r="V18" s="6">
        <v>7778</v>
      </c>
      <c r="W18" s="6">
        <v>8243</v>
      </c>
      <c r="X18" s="6">
        <v>8037</v>
      </c>
      <c r="Y18" s="6">
        <v>9383</v>
      </c>
      <c r="Z18" s="1">
        <v>10335</v>
      </c>
      <c r="AA18" s="1">
        <v>11333</v>
      </c>
      <c r="AC18" s="1">
        <v>11505</v>
      </c>
      <c r="AD18" s="1">
        <v>11261</v>
      </c>
      <c r="AE18" s="1">
        <v>10868</v>
      </c>
    </row>
    <row r="19" spans="1:31">
      <c r="A19" s="46" t="s">
        <v>25</v>
      </c>
      <c r="B19" s="94">
        <f>4888+1253</f>
        <v>6141</v>
      </c>
      <c r="C19" s="72">
        <v>5558</v>
      </c>
      <c r="D19" s="6">
        <f>4281+1279</f>
        <v>5560</v>
      </c>
      <c r="E19" s="6">
        <f>4147+1127</f>
        <v>5274</v>
      </c>
      <c r="F19" s="72">
        <v>6424</v>
      </c>
      <c r="G19" s="72">
        <v>6666</v>
      </c>
      <c r="H19" s="72">
        <v>6887</v>
      </c>
      <c r="I19" s="72">
        <v>6693</v>
      </c>
      <c r="J19" s="72">
        <v>7031</v>
      </c>
      <c r="K19" s="6">
        <v>7231</v>
      </c>
      <c r="L19" s="6">
        <v>7010</v>
      </c>
      <c r="N19" s="6">
        <v>7610</v>
      </c>
      <c r="Q19" s="6">
        <v>8688</v>
      </c>
      <c r="R19" s="6">
        <v>8524</v>
      </c>
      <c r="S19" s="6">
        <v>9504</v>
      </c>
      <c r="T19" s="6">
        <v>9973</v>
      </c>
      <c r="U19" s="6">
        <v>10285</v>
      </c>
      <c r="V19" s="6">
        <v>9509</v>
      </c>
      <c r="W19" s="6">
        <v>9458</v>
      </c>
      <c r="X19" s="6">
        <v>10331</v>
      </c>
      <c r="Y19" s="6">
        <v>12169</v>
      </c>
      <c r="Z19" s="1">
        <v>13017</v>
      </c>
      <c r="AA19" s="1">
        <v>12908</v>
      </c>
      <c r="AC19" s="1">
        <v>12587</v>
      </c>
      <c r="AD19" s="1">
        <v>12999</v>
      </c>
      <c r="AE19" s="1">
        <v>13293</v>
      </c>
    </row>
    <row r="20" spans="1:31">
      <c r="A20" s="46" t="s">
        <v>26</v>
      </c>
      <c r="B20" s="94">
        <f>20310+1085</f>
        <v>21395</v>
      </c>
      <c r="C20" s="72">
        <v>20508</v>
      </c>
      <c r="D20" s="6">
        <f>20729+1813</f>
        <v>22542</v>
      </c>
      <c r="E20" s="6">
        <f>20775+1580</f>
        <v>22355</v>
      </c>
      <c r="F20" s="72">
        <v>22506</v>
      </c>
      <c r="G20" s="72">
        <v>24466</v>
      </c>
      <c r="H20" s="72">
        <v>25344</v>
      </c>
      <c r="I20" s="72">
        <v>25460</v>
      </c>
      <c r="J20" s="72">
        <v>25597</v>
      </c>
      <c r="K20" s="6">
        <v>26476</v>
      </c>
      <c r="L20" s="6">
        <v>27648</v>
      </c>
      <c r="N20" s="6">
        <v>30021</v>
      </c>
      <c r="Q20" s="6">
        <v>33722</v>
      </c>
      <c r="R20" s="6">
        <v>37851</v>
      </c>
      <c r="S20" s="6">
        <v>39891</v>
      </c>
      <c r="T20" s="6">
        <v>41647</v>
      </c>
      <c r="U20" s="6">
        <v>42549</v>
      </c>
      <c r="V20" s="6">
        <v>43214</v>
      </c>
      <c r="W20" s="6">
        <v>45522</v>
      </c>
      <c r="X20" s="6">
        <v>52387</v>
      </c>
      <c r="Y20" s="6">
        <v>54154</v>
      </c>
      <c r="Z20" s="1">
        <v>63310</v>
      </c>
      <c r="AA20" s="1">
        <v>65458</v>
      </c>
      <c r="AC20" s="1">
        <v>75836</v>
      </c>
      <c r="AD20" s="1">
        <v>83152</v>
      </c>
      <c r="AE20" s="1">
        <v>87953</v>
      </c>
    </row>
    <row r="21" spans="1:31">
      <c r="A21" s="46" t="s">
        <v>27</v>
      </c>
      <c r="B21" s="94">
        <f>6689+463</f>
        <v>7152</v>
      </c>
      <c r="C21" s="72">
        <v>6748</v>
      </c>
      <c r="D21" s="6">
        <f>6841+598</f>
        <v>7439</v>
      </c>
      <c r="E21" s="6">
        <f>7393+985</f>
        <v>8378</v>
      </c>
      <c r="F21" s="72">
        <v>9661</v>
      </c>
      <c r="G21" s="72">
        <v>10175</v>
      </c>
      <c r="H21" s="72">
        <v>11279</v>
      </c>
      <c r="I21" s="72">
        <v>10830</v>
      </c>
      <c r="J21" s="72">
        <v>11025</v>
      </c>
      <c r="K21" s="6">
        <v>11556</v>
      </c>
      <c r="L21" s="6">
        <v>11282</v>
      </c>
      <c r="N21" s="6">
        <v>11350</v>
      </c>
      <c r="Q21" s="6">
        <v>13223</v>
      </c>
      <c r="R21" s="6">
        <v>13588</v>
      </c>
      <c r="S21" s="6">
        <v>14265</v>
      </c>
      <c r="T21" s="6">
        <v>15467</v>
      </c>
      <c r="U21" s="6">
        <v>16514</v>
      </c>
      <c r="V21" s="6">
        <v>16902</v>
      </c>
      <c r="W21" s="6">
        <v>18004</v>
      </c>
      <c r="X21" s="6">
        <v>19605</v>
      </c>
      <c r="Y21" s="6">
        <v>22855</v>
      </c>
      <c r="Z21" s="1">
        <v>24663</v>
      </c>
      <c r="AA21" s="1">
        <v>24645</v>
      </c>
      <c r="AC21" s="1">
        <v>24603</v>
      </c>
      <c r="AD21" s="1">
        <v>24043</v>
      </c>
      <c r="AE21" s="1">
        <v>23113</v>
      </c>
    </row>
    <row r="22" spans="1:31">
      <c r="A22" s="48" t="s">
        <v>28</v>
      </c>
      <c r="B22" s="95">
        <f>2120+761</f>
        <v>2881</v>
      </c>
      <c r="C22" s="79">
        <v>2539</v>
      </c>
      <c r="D22" s="7">
        <f>1842+795</f>
        <v>2637</v>
      </c>
      <c r="E22" s="7">
        <f>1964+779</f>
        <v>2743</v>
      </c>
      <c r="F22" s="79">
        <v>2700</v>
      </c>
      <c r="G22" s="79">
        <v>2891</v>
      </c>
      <c r="H22" s="79">
        <v>2991</v>
      </c>
      <c r="I22" s="79">
        <v>2816</v>
      </c>
      <c r="J22" s="79">
        <v>2800</v>
      </c>
      <c r="K22" s="7">
        <v>3711</v>
      </c>
      <c r="L22" s="7">
        <v>2878</v>
      </c>
      <c r="M22" s="7"/>
      <c r="N22" s="7">
        <v>3027</v>
      </c>
      <c r="O22" s="7"/>
      <c r="P22" s="7"/>
      <c r="Q22" s="7">
        <v>2842</v>
      </c>
      <c r="R22" s="7">
        <v>2695</v>
      </c>
      <c r="S22" s="7">
        <v>3528</v>
      </c>
      <c r="T22" s="7">
        <v>3218</v>
      </c>
      <c r="U22" s="7">
        <v>3494</v>
      </c>
      <c r="V22" s="7">
        <v>3687</v>
      </c>
      <c r="W22" s="7">
        <v>3713</v>
      </c>
      <c r="X22" s="7">
        <v>3871</v>
      </c>
      <c r="Y22" s="7">
        <v>3889</v>
      </c>
      <c r="Z22" s="1">
        <v>3828</v>
      </c>
      <c r="AA22" s="1">
        <v>3922</v>
      </c>
      <c r="AC22" s="1">
        <v>4333</v>
      </c>
      <c r="AD22" s="1">
        <v>4248</v>
      </c>
      <c r="AE22" s="1">
        <v>4230</v>
      </c>
    </row>
    <row r="23" spans="1:31">
      <c r="A23" s="46" t="s">
        <v>185</v>
      </c>
      <c r="B23" s="94"/>
      <c r="C23" s="57">
        <f>SUM(C25:C37)</f>
        <v>82113</v>
      </c>
      <c r="F23" s="57">
        <f t="shared" ref="F23:L23" si="17">SUM(F25:F37)</f>
        <v>97626</v>
      </c>
      <c r="G23" s="57">
        <f t="shared" si="17"/>
        <v>101070</v>
      </c>
      <c r="H23" s="57">
        <f t="shared" si="17"/>
        <v>106815</v>
      </c>
      <c r="I23" s="57">
        <f t="shared" si="17"/>
        <v>111311</v>
      </c>
      <c r="J23" s="57">
        <f t="shared" si="17"/>
        <v>120039</v>
      </c>
      <c r="K23" s="57">
        <f t="shared" si="17"/>
        <v>127296</v>
      </c>
      <c r="L23" s="57">
        <f t="shared" si="17"/>
        <v>129307</v>
      </c>
      <c r="N23" s="57">
        <f>SUM(N25:N37)</f>
        <v>137590</v>
      </c>
      <c r="Q23" s="57">
        <f t="shared" ref="Q23:Y23" si="18">SUM(Q25:Q37)</f>
        <v>151610</v>
      </c>
      <c r="R23" s="57">
        <f t="shared" si="18"/>
        <v>154082</v>
      </c>
      <c r="S23" s="57">
        <f t="shared" si="18"/>
        <v>159438</v>
      </c>
      <c r="T23" s="57">
        <f t="shared" si="18"/>
        <v>159211</v>
      </c>
      <c r="U23" s="57">
        <f t="shared" si="18"/>
        <v>167537</v>
      </c>
      <c r="V23" s="57">
        <f t="shared" si="18"/>
        <v>172965</v>
      </c>
      <c r="W23" s="57">
        <f t="shared" si="18"/>
        <v>186886</v>
      </c>
      <c r="X23" s="57">
        <f t="shared" si="18"/>
        <v>200472</v>
      </c>
      <c r="Y23" s="57">
        <f t="shared" si="18"/>
        <v>190361</v>
      </c>
      <c r="Z23" s="59">
        <f t="shared" ref="Z23:AA23" si="19">SUM(Z25:Z37)</f>
        <v>237921</v>
      </c>
      <c r="AA23" s="59">
        <f t="shared" si="19"/>
        <v>242064</v>
      </c>
      <c r="AB23" s="59">
        <f t="shared" ref="AB23:AC23" si="20">SUM(AB25:AB37)</f>
        <v>0</v>
      </c>
      <c r="AC23" s="59">
        <f t="shared" si="20"/>
        <v>250437</v>
      </c>
      <c r="AD23" s="59">
        <f t="shared" ref="AD23:AE23" si="21">SUM(AD25:AD37)</f>
        <v>257865</v>
      </c>
      <c r="AE23" s="59">
        <f t="shared" si="21"/>
        <v>264535</v>
      </c>
    </row>
    <row r="24" spans="1:31">
      <c r="A24" s="47" t="s">
        <v>189</v>
      </c>
      <c r="B24" s="94"/>
      <c r="C24" s="58">
        <f>(C23/C$4)*100</f>
        <v>20.381199644564468</v>
      </c>
      <c r="F24" s="58">
        <f t="shared" ref="F24:L24" si="22">(F23/F$4)*100</f>
        <v>20.689611325393127</v>
      </c>
      <c r="G24" s="58">
        <f t="shared" si="22"/>
        <v>20.920354861545214</v>
      </c>
      <c r="H24" s="58">
        <f t="shared" si="22"/>
        <v>20.947608915211358</v>
      </c>
      <c r="I24" s="58">
        <f t="shared" si="22"/>
        <v>22.101126986522228</v>
      </c>
      <c r="J24" s="58">
        <f t="shared" si="22"/>
        <v>22.99628539080026</v>
      </c>
      <c r="K24" s="58">
        <f t="shared" si="22"/>
        <v>23.717969022203921</v>
      </c>
      <c r="L24" s="58">
        <f t="shared" si="22"/>
        <v>24.245623180036038</v>
      </c>
      <c r="N24" s="58">
        <f>(N23/N$4)*100</f>
        <v>25.593806443932284</v>
      </c>
      <c r="Q24" s="58">
        <f t="shared" ref="Q24:Y24" si="23">(Q23/Q$4)*100</f>
        <v>25.732854240464111</v>
      </c>
      <c r="R24" s="58">
        <f t="shared" si="23"/>
        <v>25.05467630812559</v>
      </c>
      <c r="S24" s="58">
        <f t="shared" si="23"/>
        <v>24.914172848148837</v>
      </c>
      <c r="T24" s="58">
        <f t="shared" si="23"/>
        <v>24.3811714404724</v>
      </c>
      <c r="U24" s="58">
        <f t="shared" si="23"/>
        <v>24.968144702780762</v>
      </c>
      <c r="V24" s="58">
        <f t="shared" si="23"/>
        <v>25.207383614508398</v>
      </c>
      <c r="W24" s="58">
        <f t="shared" si="23"/>
        <v>25.938268126572684</v>
      </c>
      <c r="X24" s="58">
        <f t="shared" si="23"/>
        <v>25.894385235684737</v>
      </c>
      <c r="Y24" s="58">
        <f t="shared" si="23"/>
        <v>23.334444725016365</v>
      </c>
      <c r="Z24" s="58">
        <f t="shared" ref="Z24:AA24" si="24">(Z23/Z$4)*100</f>
        <v>26.027042105608611</v>
      </c>
      <c r="AA24" s="58">
        <f t="shared" si="24"/>
        <v>26.236643984834462</v>
      </c>
      <c r="AB24" s="58" t="e">
        <f t="shared" ref="AB24:AC24" si="25">(AB23/AB$4)*100</f>
        <v>#DIV/0!</v>
      </c>
      <c r="AC24" s="58">
        <f t="shared" si="25"/>
        <v>26.745774332762686</v>
      </c>
      <c r="AD24" s="58">
        <f t="shared" ref="AD24:AE24" si="26">(AD23/AD$4)*100</f>
        <v>27.496742382720445</v>
      </c>
      <c r="AE24" s="58">
        <f t="shared" si="26"/>
        <v>28.153132779001073</v>
      </c>
    </row>
    <row r="25" spans="1:31">
      <c r="A25" s="46" t="s">
        <v>112</v>
      </c>
      <c r="B25" s="94"/>
      <c r="C25" s="72">
        <v>741</v>
      </c>
      <c r="F25" s="72">
        <v>744</v>
      </c>
      <c r="G25" s="72">
        <v>884</v>
      </c>
      <c r="H25" s="72">
        <v>955</v>
      </c>
      <c r="I25" s="72">
        <v>927</v>
      </c>
      <c r="J25" s="72">
        <v>918</v>
      </c>
      <c r="K25" s="72">
        <v>880</v>
      </c>
      <c r="L25" s="6">
        <v>930</v>
      </c>
      <c r="N25" s="6">
        <v>865</v>
      </c>
      <c r="Q25" s="6">
        <v>916</v>
      </c>
      <c r="R25" s="6">
        <v>938</v>
      </c>
      <c r="S25" s="6">
        <v>840</v>
      </c>
      <c r="T25" s="6">
        <v>1001</v>
      </c>
      <c r="U25" s="6">
        <v>995</v>
      </c>
      <c r="V25" s="6">
        <v>981</v>
      </c>
      <c r="W25" s="6">
        <v>960</v>
      </c>
      <c r="X25" s="6">
        <v>1123</v>
      </c>
      <c r="Y25" s="6">
        <v>1418</v>
      </c>
      <c r="Z25" s="1">
        <v>1548</v>
      </c>
      <c r="AA25" s="1">
        <v>1614</v>
      </c>
      <c r="AC25" s="1">
        <v>1566</v>
      </c>
      <c r="AD25" s="1">
        <v>1235</v>
      </c>
      <c r="AE25" s="1">
        <v>1234</v>
      </c>
    </row>
    <row r="26" spans="1:31">
      <c r="A26" s="46" t="s">
        <v>113</v>
      </c>
      <c r="B26" s="94"/>
      <c r="C26" s="72">
        <v>5006</v>
      </c>
      <c r="F26" s="72">
        <v>6493</v>
      </c>
      <c r="G26" s="72">
        <v>6335</v>
      </c>
      <c r="H26" s="72">
        <v>6704</v>
      </c>
      <c r="I26" s="72">
        <v>6681</v>
      </c>
      <c r="J26" s="72">
        <v>7740</v>
      </c>
      <c r="K26" s="72">
        <v>8826</v>
      </c>
      <c r="L26" s="6">
        <v>9016</v>
      </c>
      <c r="N26" s="6">
        <v>10241</v>
      </c>
      <c r="Q26" s="6">
        <v>11140</v>
      </c>
      <c r="R26" s="6">
        <v>12672</v>
      </c>
      <c r="S26" s="6">
        <v>13801</v>
      </c>
      <c r="T26" s="6">
        <v>13960</v>
      </c>
      <c r="U26" s="6">
        <v>21680</v>
      </c>
      <c r="V26" s="6">
        <v>24296</v>
      </c>
      <c r="W26" s="6">
        <v>33359</v>
      </c>
      <c r="X26" s="6">
        <v>40418</v>
      </c>
      <c r="Y26" s="6">
        <v>18497</v>
      </c>
      <c r="Z26" s="1">
        <v>49199</v>
      </c>
      <c r="AA26" s="1">
        <v>41264</v>
      </c>
      <c r="AC26" s="1">
        <v>32185</v>
      </c>
      <c r="AD26" s="1">
        <v>28544</v>
      </c>
      <c r="AE26" s="1">
        <v>26466</v>
      </c>
    </row>
    <row r="27" spans="1:31">
      <c r="A27" s="46" t="s">
        <v>114</v>
      </c>
      <c r="B27" s="94"/>
      <c r="C27" s="72">
        <v>42858</v>
      </c>
      <c r="F27" s="72">
        <v>48411</v>
      </c>
      <c r="G27" s="72">
        <v>49811</v>
      </c>
      <c r="H27" s="72">
        <v>51558</v>
      </c>
      <c r="I27" s="72">
        <v>55071</v>
      </c>
      <c r="J27" s="72">
        <v>59044</v>
      </c>
      <c r="K27" s="72">
        <v>64483</v>
      </c>
      <c r="L27" s="6">
        <v>64265</v>
      </c>
      <c r="N27" s="6">
        <v>71678</v>
      </c>
      <c r="Q27" s="6">
        <v>79337</v>
      </c>
      <c r="R27" s="6">
        <v>78338</v>
      </c>
      <c r="S27" s="6">
        <v>81194</v>
      </c>
      <c r="T27" s="6">
        <v>81165</v>
      </c>
      <c r="U27" s="6">
        <v>84323</v>
      </c>
      <c r="V27" s="6">
        <v>85137</v>
      </c>
      <c r="W27" s="6">
        <v>85411</v>
      </c>
      <c r="X27" s="6">
        <v>88673</v>
      </c>
      <c r="Y27" s="6">
        <v>93431</v>
      </c>
      <c r="Z27" s="1">
        <v>101522</v>
      </c>
      <c r="AA27" s="1">
        <v>108908</v>
      </c>
      <c r="AC27" s="1">
        <v>125311</v>
      </c>
      <c r="AD27" s="1">
        <v>135515</v>
      </c>
      <c r="AE27" s="1">
        <v>144091</v>
      </c>
    </row>
    <row r="28" spans="1:31">
      <c r="A28" s="46" t="s">
        <v>115</v>
      </c>
      <c r="B28" s="94"/>
      <c r="C28" s="72">
        <v>5638</v>
      </c>
      <c r="F28" s="72">
        <v>5994</v>
      </c>
      <c r="G28" s="72">
        <v>6036</v>
      </c>
      <c r="H28" s="72">
        <v>6491</v>
      </c>
      <c r="I28" s="72">
        <v>6689</v>
      </c>
      <c r="J28" s="72">
        <v>8311</v>
      </c>
      <c r="K28" s="72">
        <v>7611</v>
      </c>
      <c r="L28" s="6">
        <v>7502</v>
      </c>
      <c r="N28" s="6">
        <v>7050</v>
      </c>
      <c r="Q28" s="6">
        <v>8239</v>
      </c>
      <c r="R28" s="6">
        <v>9256</v>
      </c>
      <c r="S28" s="6">
        <v>9239</v>
      </c>
      <c r="T28" s="6">
        <v>9064</v>
      </c>
      <c r="U28" s="6">
        <v>8314</v>
      </c>
      <c r="V28" s="6">
        <v>10534</v>
      </c>
      <c r="W28" s="6">
        <v>13761</v>
      </c>
      <c r="X28" s="6">
        <v>13638</v>
      </c>
      <c r="Y28" s="6">
        <v>10540</v>
      </c>
      <c r="Z28" s="1">
        <v>11159</v>
      </c>
      <c r="AA28" s="1">
        <v>11991</v>
      </c>
      <c r="AC28" s="1">
        <v>11221</v>
      </c>
      <c r="AD28" s="1">
        <v>13010</v>
      </c>
      <c r="AE28" s="1">
        <v>12689</v>
      </c>
    </row>
    <row r="29" spans="1:31">
      <c r="A29" s="46" t="s">
        <v>117</v>
      </c>
      <c r="B29" s="94"/>
      <c r="C29" s="72">
        <v>2318</v>
      </c>
      <c r="F29" s="72">
        <v>2161</v>
      </c>
      <c r="G29" s="72">
        <v>2262</v>
      </c>
      <c r="H29" s="72">
        <v>2233</v>
      </c>
      <c r="I29" s="72">
        <v>2360</v>
      </c>
      <c r="J29" s="72">
        <v>2663</v>
      </c>
      <c r="K29" s="72">
        <v>3050</v>
      </c>
      <c r="L29" s="6">
        <v>3413</v>
      </c>
      <c r="N29" s="6">
        <v>3218</v>
      </c>
      <c r="Q29" s="6">
        <v>3708</v>
      </c>
      <c r="R29" s="6">
        <v>3548</v>
      </c>
      <c r="S29" s="6">
        <v>3360</v>
      </c>
      <c r="T29" s="6">
        <v>3169</v>
      </c>
      <c r="U29" s="6">
        <v>3073</v>
      </c>
      <c r="V29" s="6">
        <v>2910</v>
      </c>
      <c r="W29" s="6">
        <v>3034</v>
      </c>
      <c r="X29" s="6">
        <v>3003</v>
      </c>
      <c r="Y29" s="6">
        <v>3164</v>
      </c>
      <c r="Z29" s="1">
        <v>3987</v>
      </c>
      <c r="AA29" s="1">
        <v>4122</v>
      </c>
      <c r="AC29" s="1">
        <v>4193</v>
      </c>
      <c r="AD29" s="1">
        <v>4288</v>
      </c>
      <c r="AE29" s="1">
        <v>4202</v>
      </c>
    </row>
    <row r="30" spans="1:31">
      <c r="A30" s="46" t="s">
        <v>119</v>
      </c>
      <c r="B30" s="94"/>
      <c r="C30" s="72">
        <v>2235</v>
      </c>
      <c r="F30" s="72">
        <v>3106</v>
      </c>
      <c r="G30" s="72">
        <v>3417</v>
      </c>
      <c r="H30" s="72">
        <v>3873</v>
      </c>
      <c r="I30" s="72">
        <v>4030</v>
      </c>
      <c r="J30" s="72">
        <v>4079</v>
      </c>
      <c r="K30" s="72">
        <v>4132</v>
      </c>
      <c r="L30" s="6">
        <v>4863</v>
      </c>
      <c r="N30" s="6">
        <v>4723</v>
      </c>
      <c r="Q30" s="6">
        <v>3649</v>
      </c>
      <c r="R30" s="6">
        <v>3028</v>
      </c>
      <c r="S30" s="6">
        <v>2983</v>
      </c>
      <c r="T30" s="6">
        <v>2810</v>
      </c>
      <c r="U30" s="6">
        <v>2714</v>
      </c>
      <c r="V30" s="6">
        <v>2684</v>
      </c>
      <c r="W30" s="6">
        <v>3117</v>
      </c>
      <c r="X30" s="6">
        <v>3268</v>
      </c>
      <c r="Y30" s="6">
        <v>3702</v>
      </c>
      <c r="Z30" s="1">
        <v>4603</v>
      </c>
      <c r="AA30" s="1">
        <v>5461</v>
      </c>
      <c r="AC30" s="1">
        <v>4748</v>
      </c>
      <c r="AD30" s="1">
        <v>5136</v>
      </c>
      <c r="AE30" s="1">
        <v>4890</v>
      </c>
    </row>
    <row r="31" spans="1:31">
      <c r="A31" s="46" t="s">
        <v>128</v>
      </c>
      <c r="B31" s="94"/>
      <c r="C31" s="72">
        <v>729</v>
      </c>
      <c r="F31" s="72">
        <v>818</v>
      </c>
      <c r="G31" s="72">
        <v>695</v>
      </c>
      <c r="H31" s="72">
        <v>940</v>
      </c>
      <c r="I31" s="72">
        <v>1256</v>
      </c>
      <c r="J31" s="72">
        <v>1206</v>
      </c>
      <c r="K31" s="6">
        <v>1339</v>
      </c>
      <c r="L31" s="6">
        <v>1521</v>
      </c>
      <c r="N31" s="6">
        <v>1513</v>
      </c>
      <c r="Q31" s="6">
        <v>1595</v>
      </c>
      <c r="R31" s="6">
        <v>1701</v>
      </c>
      <c r="S31" s="6">
        <v>1656</v>
      </c>
      <c r="T31" s="6">
        <v>1682</v>
      </c>
      <c r="U31" s="6">
        <v>1508</v>
      </c>
      <c r="V31" s="6">
        <v>1476</v>
      </c>
      <c r="W31" s="6">
        <v>1519</v>
      </c>
      <c r="X31" s="6">
        <v>1637</v>
      </c>
      <c r="Y31" s="6">
        <v>1956</v>
      </c>
      <c r="Z31" s="1">
        <v>2268</v>
      </c>
      <c r="AA31" s="1">
        <v>2203</v>
      </c>
      <c r="AC31" s="1">
        <v>2354</v>
      </c>
      <c r="AD31" s="1">
        <v>2239</v>
      </c>
      <c r="AE31" s="1">
        <v>2103</v>
      </c>
    </row>
    <row r="32" spans="1:31">
      <c r="A32" s="46" t="s">
        <v>135</v>
      </c>
      <c r="B32" s="94"/>
      <c r="C32" s="72">
        <v>884</v>
      </c>
      <c r="F32" s="72">
        <v>1112</v>
      </c>
      <c r="G32" s="72">
        <v>1247</v>
      </c>
      <c r="H32" s="72">
        <v>1193</v>
      </c>
      <c r="I32" s="72">
        <v>1272</v>
      </c>
      <c r="J32" s="72">
        <v>1274</v>
      </c>
      <c r="K32" s="6">
        <v>1623</v>
      </c>
      <c r="L32" s="6">
        <v>1497</v>
      </c>
      <c r="N32" s="6">
        <v>1846</v>
      </c>
      <c r="Q32" s="6">
        <v>2190</v>
      </c>
      <c r="R32" s="6">
        <v>2567</v>
      </c>
      <c r="S32" s="6">
        <v>2859</v>
      </c>
      <c r="T32" s="6">
        <v>3272</v>
      </c>
      <c r="U32" s="6">
        <v>3369</v>
      </c>
      <c r="V32" s="6">
        <v>3134</v>
      </c>
      <c r="W32" s="6">
        <v>3320</v>
      </c>
      <c r="X32" s="6">
        <v>3696</v>
      </c>
      <c r="Y32" s="6">
        <v>4605</v>
      </c>
      <c r="Z32" s="1">
        <v>4942</v>
      </c>
      <c r="AA32" s="1">
        <v>5008</v>
      </c>
      <c r="AC32" s="1">
        <v>5725</v>
      </c>
      <c r="AD32" s="1">
        <v>5777</v>
      </c>
      <c r="AE32" s="1">
        <v>5890</v>
      </c>
    </row>
    <row r="33" spans="1:31">
      <c r="A33" s="46" t="s">
        <v>134</v>
      </c>
      <c r="B33" s="94"/>
      <c r="C33" s="72">
        <v>1745</v>
      </c>
      <c r="F33" s="72">
        <v>2807</v>
      </c>
      <c r="G33" s="72">
        <v>2948</v>
      </c>
      <c r="H33" s="72">
        <v>3011</v>
      </c>
      <c r="I33" s="72">
        <v>3226</v>
      </c>
      <c r="J33" s="72">
        <v>3431</v>
      </c>
      <c r="K33" s="6">
        <v>3568</v>
      </c>
      <c r="L33" s="6">
        <v>3422</v>
      </c>
      <c r="N33" s="6">
        <v>3701</v>
      </c>
      <c r="Q33" s="6">
        <v>3523</v>
      </c>
      <c r="R33" s="6">
        <v>3939</v>
      </c>
      <c r="S33" s="6">
        <v>4198</v>
      </c>
      <c r="T33" s="6">
        <v>4552</v>
      </c>
      <c r="U33" s="6">
        <v>4456</v>
      </c>
      <c r="V33" s="6">
        <v>4775</v>
      </c>
      <c r="W33" s="6">
        <v>4732</v>
      </c>
      <c r="X33" s="6">
        <v>4718</v>
      </c>
      <c r="Y33" s="6">
        <v>6197</v>
      </c>
      <c r="Z33" s="1">
        <v>7314</v>
      </c>
      <c r="AA33" s="1">
        <v>8517</v>
      </c>
      <c r="AC33" s="1">
        <v>10004</v>
      </c>
      <c r="AD33" s="1">
        <v>8967</v>
      </c>
      <c r="AE33" s="1">
        <v>9909</v>
      </c>
    </row>
    <row r="34" spans="1:31">
      <c r="A34" s="46" t="s">
        <v>138</v>
      </c>
      <c r="B34" s="94"/>
      <c r="C34" s="72">
        <v>4632</v>
      </c>
      <c r="F34" s="72">
        <v>4557</v>
      </c>
      <c r="G34" s="72">
        <v>5406</v>
      </c>
      <c r="H34" s="72">
        <v>5713</v>
      </c>
      <c r="I34" s="72">
        <v>4844</v>
      </c>
      <c r="J34" s="72">
        <v>5226</v>
      </c>
      <c r="K34" s="6">
        <v>5129</v>
      </c>
      <c r="L34" s="6">
        <v>5353</v>
      </c>
      <c r="N34" s="6">
        <v>5847</v>
      </c>
      <c r="Q34" s="6">
        <v>6575</v>
      </c>
      <c r="R34" s="6">
        <v>7473</v>
      </c>
      <c r="S34" s="6">
        <v>7760</v>
      </c>
      <c r="T34" s="6">
        <v>7557</v>
      </c>
      <c r="U34" s="6">
        <v>7399</v>
      </c>
      <c r="V34" s="6">
        <v>7303</v>
      </c>
      <c r="W34" s="6">
        <v>7357</v>
      </c>
      <c r="X34" s="6">
        <v>8066</v>
      </c>
      <c r="Y34" s="6">
        <v>8960</v>
      </c>
      <c r="Z34" s="1">
        <v>11295</v>
      </c>
      <c r="AA34" s="1">
        <v>12728</v>
      </c>
      <c r="AC34" s="1">
        <v>12506</v>
      </c>
      <c r="AD34" s="1">
        <v>11844</v>
      </c>
      <c r="AE34" s="1">
        <v>11847</v>
      </c>
    </row>
    <row r="35" spans="1:31">
      <c r="A35" s="46" t="s">
        <v>142</v>
      </c>
      <c r="B35" s="94"/>
      <c r="C35" s="72">
        <v>3104</v>
      </c>
      <c r="F35" s="72">
        <v>4297</v>
      </c>
      <c r="G35" s="72">
        <v>4624</v>
      </c>
      <c r="H35" s="72">
        <v>5075</v>
      </c>
      <c r="I35" s="72">
        <v>5542</v>
      </c>
      <c r="J35" s="72">
        <v>6233</v>
      </c>
      <c r="K35" s="6">
        <v>6446</v>
      </c>
      <c r="L35" s="6">
        <v>7822</v>
      </c>
      <c r="N35" s="6">
        <v>7508</v>
      </c>
      <c r="Q35" s="6">
        <v>8723</v>
      </c>
      <c r="R35" s="6">
        <v>8645</v>
      </c>
      <c r="S35" s="6">
        <v>8978</v>
      </c>
      <c r="T35" s="6">
        <v>8824</v>
      </c>
      <c r="U35" s="6">
        <v>8856</v>
      </c>
      <c r="V35" s="6">
        <v>8837</v>
      </c>
      <c r="W35" s="6">
        <v>9166</v>
      </c>
      <c r="X35" s="6">
        <v>10014</v>
      </c>
      <c r="Y35" s="6">
        <v>11186</v>
      </c>
      <c r="Z35" s="1">
        <v>12123</v>
      </c>
      <c r="AA35" s="1">
        <v>12137</v>
      </c>
      <c r="AC35" s="1">
        <v>12173</v>
      </c>
      <c r="AD35" s="1">
        <v>12533</v>
      </c>
      <c r="AE35" s="1">
        <v>12914</v>
      </c>
    </row>
    <row r="36" spans="1:31">
      <c r="A36" s="46" t="s">
        <v>66</v>
      </c>
      <c r="B36" s="94"/>
      <c r="C36" s="72">
        <v>10920</v>
      </c>
      <c r="F36" s="72">
        <v>15490</v>
      </c>
      <c r="G36" s="72">
        <v>15599</v>
      </c>
      <c r="H36" s="72">
        <v>17217</v>
      </c>
      <c r="I36" s="72">
        <v>17770</v>
      </c>
      <c r="J36" s="72">
        <v>17947</v>
      </c>
      <c r="K36" s="6">
        <v>18266</v>
      </c>
      <c r="L36" s="6">
        <v>17711</v>
      </c>
      <c r="N36" s="6">
        <v>17457</v>
      </c>
      <c r="Q36" s="6">
        <v>19349</v>
      </c>
      <c r="R36" s="6">
        <v>19211</v>
      </c>
      <c r="S36" s="6">
        <v>19811</v>
      </c>
      <c r="T36" s="6">
        <v>19121</v>
      </c>
      <c r="U36" s="6">
        <v>18091</v>
      </c>
      <c r="V36" s="6">
        <v>18246</v>
      </c>
      <c r="W36" s="6">
        <v>18513</v>
      </c>
      <c r="X36" s="6">
        <v>19454</v>
      </c>
      <c r="Y36" s="6">
        <v>23582</v>
      </c>
      <c r="Z36" s="1">
        <v>25135</v>
      </c>
      <c r="AA36" s="1">
        <v>25071</v>
      </c>
      <c r="AC36" s="1">
        <v>25572</v>
      </c>
      <c r="AD36" s="1">
        <v>26085</v>
      </c>
      <c r="AE36" s="1">
        <v>25668</v>
      </c>
    </row>
    <row r="37" spans="1:31">
      <c r="A37" s="48" t="s">
        <v>145</v>
      </c>
      <c r="B37" s="95"/>
      <c r="C37" s="79">
        <v>1303</v>
      </c>
      <c r="D37" s="7"/>
      <c r="E37" s="7"/>
      <c r="F37" s="79">
        <v>1636</v>
      </c>
      <c r="G37" s="79">
        <v>1806</v>
      </c>
      <c r="H37" s="79">
        <v>1852</v>
      </c>
      <c r="I37" s="79">
        <v>1643</v>
      </c>
      <c r="J37" s="79">
        <v>1967</v>
      </c>
      <c r="K37" s="7">
        <v>1943</v>
      </c>
      <c r="L37" s="7">
        <v>1992</v>
      </c>
      <c r="M37" s="7"/>
      <c r="N37" s="7">
        <v>1943</v>
      </c>
      <c r="O37" s="7"/>
      <c r="P37" s="7"/>
      <c r="Q37" s="7">
        <v>2666</v>
      </c>
      <c r="R37" s="7">
        <v>2766</v>
      </c>
      <c r="S37" s="7">
        <v>2759</v>
      </c>
      <c r="T37" s="7">
        <v>3034</v>
      </c>
      <c r="U37" s="7">
        <v>2759</v>
      </c>
      <c r="V37" s="7">
        <v>2652</v>
      </c>
      <c r="W37" s="7">
        <v>2637</v>
      </c>
      <c r="X37" s="7">
        <v>2764</v>
      </c>
      <c r="Y37" s="7">
        <v>3123</v>
      </c>
      <c r="Z37" s="1">
        <v>2826</v>
      </c>
      <c r="AA37" s="1">
        <v>3040</v>
      </c>
      <c r="AC37" s="1">
        <v>2879</v>
      </c>
      <c r="AD37" s="1">
        <v>2692</v>
      </c>
      <c r="AE37" s="1">
        <v>2632</v>
      </c>
    </row>
    <row r="38" spans="1:31">
      <c r="A38" s="46" t="s">
        <v>186</v>
      </c>
      <c r="B38" s="94"/>
      <c r="C38" s="57">
        <f>SUM(C40:C51)</f>
        <v>109524</v>
      </c>
      <c r="F38" s="57">
        <f t="shared" ref="F38:L38" si="27">SUM(F40:F51)</f>
        <v>122651</v>
      </c>
      <c r="G38" s="57">
        <f t="shared" si="27"/>
        <v>124788</v>
      </c>
      <c r="H38" s="57">
        <f t="shared" si="27"/>
        <v>137464</v>
      </c>
      <c r="I38" s="57">
        <f t="shared" si="27"/>
        <v>127107</v>
      </c>
      <c r="J38" s="57">
        <f t="shared" si="27"/>
        <v>130325</v>
      </c>
      <c r="K38" s="57">
        <f t="shared" si="27"/>
        <v>129339</v>
      </c>
      <c r="L38" s="57">
        <f t="shared" si="27"/>
        <v>128991</v>
      </c>
      <c r="N38" s="57">
        <f>SUM(N40:N51)</f>
        <v>127387</v>
      </c>
      <c r="Q38" s="57">
        <f t="shared" ref="Q38:Y38" si="28">SUM(Q40:Q51)</f>
        <v>137456</v>
      </c>
      <c r="R38" s="57">
        <f t="shared" si="28"/>
        <v>142970</v>
      </c>
      <c r="S38" s="57">
        <f t="shared" si="28"/>
        <v>150142</v>
      </c>
      <c r="T38" s="57">
        <f t="shared" si="28"/>
        <v>155801</v>
      </c>
      <c r="U38" s="57">
        <f t="shared" si="28"/>
        <v>161155</v>
      </c>
      <c r="V38" s="57">
        <f t="shared" si="28"/>
        <v>164740</v>
      </c>
      <c r="W38" s="57">
        <f t="shared" si="28"/>
        <v>169362</v>
      </c>
      <c r="X38" s="57">
        <f t="shared" si="28"/>
        <v>179344</v>
      </c>
      <c r="Y38" s="57">
        <f t="shared" si="28"/>
        <v>196666</v>
      </c>
      <c r="Z38" s="59">
        <f t="shared" ref="Z38:AA38" si="29">SUM(Z40:Z51)</f>
        <v>205807</v>
      </c>
      <c r="AA38" s="59">
        <f t="shared" si="29"/>
        <v>209205</v>
      </c>
      <c r="AB38" s="59">
        <f t="shared" ref="AB38:AC38" si="30">SUM(AB40:AB51)</f>
        <v>0</v>
      </c>
      <c r="AC38" s="59">
        <f t="shared" si="30"/>
        <v>202656</v>
      </c>
      <c r="AD38" s="59">
        <f t="shared" ref="AD38:AE38" si="31">SUM(AD40:AD51)</f>
        <v>193143</v>
      </c>
      <c r="AE38" s="59">
        <f t="shared" si="31"/>
        <v>187407</v>
      </c>
    </row>
    <row r="39" spans="1:31">
      <c r="A39" s="47" t="s">
        <v>189</v>
      </c>
      <c r="B39" s="94"/>
      <c r="C39" s="58">
        <f>(C38/C$4)*100</f>
        <v>27.184861226252586</v>
      </c>
      <c r="F39" s="58">
        <f t="shared" ref="F39:L39" si="32">(F38/F$4)*100</f>
        <v>25.993091171110077</v>
      </c>
      <c r="G39" s="58">
        <f t="shared" si="32"/>
        <v>25.829714479692335</v>
      </c>
      <c r="H39" s="58">
        <f t="shared" si="32"/>
        <v>26.958218526617184</v>
      </c>
      <c r="I39" s="58">
        <f t="shared" si="32"/>
        <v>25.237469323569822</v>
      </c>
      <c r="J39" s="58">
        <f t="shared" si="32"/>
        <v>24.966809899749613</v>
      </c>
      <c r="K39" s="58">
        <f t="shared" si="32"/>
        <v>24.098623643813106</v>
      </c>
      <c r="L39" s="58">
        <f t="shared" si="32"/>
        <v>24.186371809848104</v>
      </c>
      <c r="N39" s="58">
        <f>(N38/N$4)*100</f>
        <v>23.695895206578978</v>
      </c>
      <c r="Q39" s="58">
        <f t="shared" ref="Q39:Y39" si="33">(Q38/Q$4)*100</f>
        <v>23.330487517164006</v>
      </c>
      <c r="R39" s="58">
        <f t="shared" si="33"/>
        <v>23.247797093578196</v>
      </c>
      <c r="S39" s="58">
        <f t="shared" si="33"/>
        <v>23.461557092830834</v>
      </c>
      <c r="T39" s="58">
        <f t="shared" si="33"/>
        <v>23.858972631269449</v>
      </c>
      <c r="U39" s="58">
        <f t="shared" si="33"/>
        <v>24.017031220426734</v>
      </c>
      <c r="V39" s="58">
        <f t="shared" si="33"/>
        <v>24.008697578435601</v>
      </c>
      <c r="W39" s="58">
        <f t="shared" si="33"/>
        <v>23.506078392456381</v>
      </c>
      <c r="X39" s="58">
        <f t="shared" si="33"/>
        <v>23.165342919253774</v>
      </c>
      <c r="Y39" s="58">
        <f t="shared" si="33"/>
        <v>24.107311404594785</v>
      </c>
      <c r="Z39" s="58">
        <f t="shared" ref="Z39:AA39" si="34">(Z38/Z$4)*100</f>
        <v>22.513975036373381</v>
      </c>
      <c r="AA39" s="58">
        <f t="shared" si="34"/>
        <v>22.67514832791036</v>
      </c>
      <c r="AB39" s="58" t="e">
        <f t="shared" ref="AB39:AC39" si="35">(AB38/AB$4)*100</f>
        <v>#DIV/0!</v>
      </c>
      <c r="AC39" s="58">
        <f t="shared" si="35"/>
        <v>21.642934722825917</v>
      </c>
      <c r="AD39" s="58">
        <f t="shared" ref="AD39:AE39" si="36">(AD38/AD$4)*100</f>
        <v>20.595285572007739</v>
      </c>
      <c r="AE39" s="58">
        <f t="shared" si="36"/>
        <v>19.944786719013567</v>
      </c>
    </row>
    <row r="40" spans="1:31">
      <c r="A40" s="46" t="s">
        <v>120</v>
      </c>
      <c r="B40" s="96"/>
      <c r="C40" s="72">
        <v>23512</v>
      </c>
      <c r="D40" s="73"/>
      <c r="E40" s="73"/>
      <c r="F40" s="72">
        <v>26129</v>
      </c>
      <c r="G40" s="72">
        <v>27467</v>
      </c>
      <c r="H40" s="72">
        <v>26842</v>
      </c>
      <c r="I40" s="72">
        <v>26885</v>
      </c>
      <c r="J40" s="72">
        <v>26659</v>
      </c>
      <c r="K40" s="72">
        <v>26204</v>
      </c>
      <c r="L40" s="6">
        <v>26652</v>
      </c>
      <c r="N40" s="6">
        <v>26336</v>
      </c>
      <c r="Q40" s="6">
        <v>27301</v>
      </c>
      <c r="R40" s="6">
        <v>28275</v>
      </c>
      <c r="S40" s="6">
        <v>29389</v>
      </c>
      <c r="T40" s="6">
        <v>29946</v>
      </c>
      <c r="U40" s="6">
        <v>34171</v>
      </c>
      <c r="V40" s="6">
        <v>33107</v>
      </c>
      <c r="W40" s="6">
        <v>35231</v>
      </c>
      <c r="X40" s="6">
        <v>36839</v>
      </c>
      <c r="Y40" s="6">
        <v>33652</v>
      </c>
      <c r="Z40" s="1">
        <v>36550</v>
      </c>
      <c r="AA40" s="1">
        <v>37447</v>
      </c>
      <c r="AC40" s="1">
        <v>37906</v>
      </c>
      <c r="AD40" s="1">
        <v>37833</v>
      </c>
      <c r="AE40" s="1">
        <v>37701</v>
      </c>
    </row>
    <row r="41" spans="1:31">
      <c r="A41" s="46" t="s">
        <v>121</v>
      </c>
      <c r="B41" s="96"/>
      <c r="C41" s="72">
        <v>7288</v>
      </c>
      <c r="D41" s="73"/>
      <c r="E41" s="73"/>
      <c r="F41" s="72">
        <v>8587</v>
      </c>
      <c r="G41" s="72">
        <v>9181</v>
      </c>
      <c r="H41" s="72">
        <v>9453</v>
      </c>
      <c r="I41" s="72">
        <v>9876</v>
      </c>
      <c r="J41" s="72">
        <v>10502</v>
      </c>
      <c r="K41" s="72">
        <v>9848</v>
      </c>
      <c r="L41" s="6">
        <v>10531</v>
      </c>
      <c r="N41" s="6">
        <v>10838</v>
      </c>
      <c r="Q41" s="6">
        <v>12343</v>
      </c>
      <c r="R41" s="6">
        <v>12786</v>
      </c>
      <c r="S41" s="6">
        <v>13440</v>
      </c>
      <c r="T41" s="6">
        <v>14269</v>
      </c>
      <c r="U41" s="6">
        <v>13638</v>
      </c>
      <c r="V41" s="6">
        <v>13989</v>
      </c>
      <c r="W41" s="6">
        <v>14236</v>
      </c>
      <c r="X41" s="6">
        <v>15499</v>
      </c>
      <c r="Y41" s="6">
        <v>17353</v>
      </c>
      <c r="Z41" s="1">
        <v>17853</v>
      </c>
      <c r="AA41" s="1">
        <v>17479</v>
      </c>
      <c r="AC41" s="1">
        <v>15984</v>
      </c>
      <c r="AD41" s="1">
        <v>14162</v>
      </c>
      <c r="AE41" s="1">
        <v>13979</v>
      </c>
    </row>
    <row r="42" spans="1:31">
      <c r="A42" s="46" t="s">
        <v>118</v>
      </c>
      <c r="B42" s="94"/>
      <c r="C42" s="72">
        <v>7202</v>
      </c>
      <c r="F42" s="72">
        <v>8531</v>
      </c>
      <c r="G42" s="72">
        <v>8078</v>
      </c>
      <c r="H42" s="72">
        <v>8031</v>
      </c>
      <c r="I42" s="72">
        <v>7948</v>
      </c>
      <c r="J42" s="72">
        <v>8186</v>
      </c>
      <c r="K42" s="72">
        <v>8550</v>
      </c>
      <c r="L42" s="6">
        <v>8658</v>
      </c>
      <c r="N42" s="6">
        <v>9067</v>
      </c>
      <c r="Q42" s="6">
        <v>10085</v>
      </c>
      <c r="R42" s="6">
        <v>10384</v>
      </c>
      <c r="S42" s="6">
        <v>11043</v>
      </c>
      <c r="T42" s="6">
        <v>11617</v>
      </c>
      <c r="U42" s="6">
        <v>11715</v>
      </c>
      <c r="V42" s="6">
        <v>11242</v>
      </c>
      <c r="W42" s="6">
        <v>10960</v>
      </c>
      <c r="X42" s="6">
        <v>11973</v>
      </c>
      <c r="Y42" s="6">
        <v>16827</v>
      </c>
      <c r="Z42" s="1">
        <v>15592</v>
      </c>
      <c r="AA42" s="1">
        <v>16872</v>
      </c>
      <c r="AC42" s="1">
        <v>15741</v>
      </c>
      <c r="AD42" s="1">
        <v>14869</v>
      </c>
      <c r="AE42" s="1">
        <v>14425</v>
      </c>
    </row>
    <row r="43" spans="1:31">
      <c r="A43" s="46" t="s">
        <v>122</v>
      </c>
      <c r="B43" s="96"/>
      <c r="C43" s="72">
        <v>5273</v>
      </c>
      <c r="D43" s="73"/>
      <c r="E43" s="73"/>
      <c r="F43" s="72">
        <v>6219</v>
      </c>
      <c r="G43" s="72">
        <v>6169</v>
      </c>
      <c r="H43" s="72">
        <v>6548</v>
      </c>
      <c r="I43" s="72">
        <v>6790</v>
      </c>
      <c r="J43" s="72">
        <v>7118</v>
      </c>
      <c r="K43" s="72">
        <v>6836</v>
      </c>
      <c r="L43" s="6">
        <v>6966</v>
      </c>
      <c r="N43" s="6">
        <v>7017</v>
      </c>
      <c r="Q43" s="6">
        <v>6917</v>
      </c>
      <c r="R43" s="6">
        <v>7316</v>
      </c>
      <c r="S43" s="6">
        <v>7522</v>
      </c>
      <c r="T43" s="6">
        <v>7451</v>
      </c>
      <c r="U43" s="6">
        <v>7434</v>
      </c>
      <c r="V43" s="6">
        <v>7655</v>
      </c>
      <c r="W43" s="6">
        <v>7336</v>
      </c>
      <c r="X43" s="6">
        <v>7839</v>
      </c>
      <c r="Y43" s="6">
        <v>8843</v>
      </c>
      <c r="Z43" s="1">
        <v>9687</v>
      </c>
      <c r="AA43" s="1">
        <v>10125</v>
      </c>
      <c r="AC43" s="1">
        <v>10512</v>
      </c>
      <c r="AD43" s="1">
        <v>9672</v>
      </c>
      <c r="AE43" s="1">
        <v>9328</v>
      </c>
    </row>
    <row r="44" spans="1:31">
      <c r="A44" s="46" t="s">
        <v>125</v>
      </c>
      <c r="B44" s="94"/>
      <c r="C44" s="72">
        <v>21595</v>
      </c>
      <c r="F44" s="72">
        <v>22355</v>
      </c>
      <c r="G44" s="72">
        <v>23422</v>
      </c>
      <c r="H44" s="72">
        <v>34804</v>
      </c>
      <c r="I44" s="72">
        <v>21901</v>
      </c>
      <c r="J44" s="72">
        <v>20875</v>
      </c>
      <c r="K44" s="6">
        <v>21219</v>
      </c>
      <c r="L44" s="6">
        <v>20019</v>
      </c>
      <c r="N44" s="6">
        <v>18010</v>
      </c>
      <c r="Q44" s="6">
        <v>20012</v>
      </c>
      <c r="R44" s="6">
        <v>20157</v>
      </c>
      <c r="S44" s="6">
        <v>21587</v>
      </c>
      <c r="T44" s="6">
        <v>22500</v>
      </c>
      <c r="U44" s="6">
        <v>23153</v>
      </c>
      <c r="V44" s="6">
        <v>24063</v>
      </c>
      <c r="W44" s="6">
        <v>24720</v>
      </c>
      <c r="X44" s="6">
        <v>26331</v>
      </c>
      <c r="Y44" s="6">
        <v>27992</v>
      </c>
      <c r="Z44" s="1">
        <v>29670</v>
      </c>
      <c r="AA44" s="1">
        <v>31082</v>
      </c>
      <c r="AC44" s="1">
        <v>29535</v>
      </c>
      <c r="AD44" s="1">
        <v>27650</v>
      </c>
      <c r="AE44" s="1">
        <v>26464</v>
      </c>
    </row>
    <row r="45" spans="1:31">
      <c r="A45" s="46" t="s">
        <v>126</v>
      </c>
      <c r="B45" s="94"/>
      <c r="C45" s="72">
        <v>7073</v>
      </c>
      <c r="F45" s="72">
        <v>8803</v>
      </c>
      <c r="G45" s="72">
        <v>9297</v>
      </c>
      <c r="H45" s="72">
        <v>9307</v>
      </c>
      <c r="I45" s="72">
        <v>10335</v>
      </c>
      <c r="J45" s="72">
        <v>10877</v>
      </c>
      <c r="K45" s="6">
        <v>10218</v>
      </c>
      <c r="L45" s="6">
        <v>10399</v>
      </c>
      <c r="N45" s="6">
        <v>10192</v>
      </c>
      <c r="Q45" s="6">
        <v>10971</v>
      </c>
      <c r="R45" s="6">
        <v>11555</v>
      </c>
      <c r="S45" s="6">
        <v>13108</v>
      </c>
      <c r="T45" s="6">
        <v>13774</v>
      </c>
      <c r="U45" s="6">
        <v>14587</v>
      </c>
      <c r="V45" s="6">
        <v>15636</v>
      </c>
      <c r="W45" s="6">
        <v>16464</v>
      </c>
      <c r="X45" s="6">
        <v>17668</v>
      </c>
      <c r="Y45" s="6">
        <v>19651</v>
      </c>
      <c r="Z45" s="1">
        <v>19689</v>
      </c>
      <c r="AA45" s="1">
        <v>20917</v>
      </c>
      <c r="AC45" s="1">
        <v>19615</v>
      </c>
      <c r="AD45" s="1">
        <v>19005</v>
      </c>
      <c r="AE45" s="1">
        <v>17517</v>
      </c>
    </row>
    <row r="46" spans="1:31">
      <c r="A46" s="46" t="s">
        <v>127</v>
      </c>
      <c r="B46" s="94"/>
      <c r="C46" s="72">
        <v>6423</v>
      </c>
      <c r="F46" s="72">
        <v>7640</v>
      </c>
      <c r="G46" s="72">
        <v>7875</v>
      </c>
      <c r="H46" s="72">
        <v>8164</v>
      </c>
      <c r="I46" s="72">
        <v>8748</v>
      </c>
      <c r="J46" s="72">
        <v>9891</v>
      </c>
      <c r="K46" s="6">
        <v>9470</v>
      </c>
      <c r="L46" s="6">
        <v>9724</v>
      </c>
      <c r="N46" s="6">
        <v>10384</v>
      </c>
      <c r="Q46" s="6">
        <v>11624</v>
      </c>
      <c r="R46" s="6">
        <v>11858</v>
      </c>
      <c r="S46" s="6">
        <v>12629</v>
      </c>
      <c r="T46" s="6">
        <v>13161</v>
      </c>
      <c r="U46" s="6">
        <v>13229</v>
      </c>
      <c r="V46" s="6">
        <v>13725</v>
      </c>
      <c r="W46" s="6">
        <v>13703</v>
      </c>
      <c r="X46" s="6">
        <v>14681</v>
      </c>
      <c r="Y46" s="6">
        <v>16729</v>
      </c>
      <c r="Z46" s="1">
        <v>18029</v>
      </c>
      <c r="AA46" s="1">
        <v>18303</v>
      </c>
      <c r="AC46" s="1">
        <v>18132</v>
      </c>
      <c r="AD46" s="1">
        <v>17600</v>
      </c>
      <c r="AE46" s="1">
        <v>16738</v>
      </c>
    </row>
    <row r="47" spans="1:31">
      <c r="A47" s="46" t="s">
        <v>131</v>
      </c>
      <c r="B47" s="94"/>
      <c r="C47" s="72">
        <v>2866</v>
      </c>
      <c r="F47" s="72">
        <v>3665</v>
      </c>
      <c r="G47" s="72">
        <v>2424</v>
      </c>
      <c r="H47" s="72">
        <v>3124</v>
      </c>
      <c r="I47" s="72">
        <v>3319</v>
      </c>
      <c r="J47" s="72">
        <v>3111</v>
      </c>
      <c r="K47" s="6">
        <v>3394</v>
      </c>
      <c r="L47" s="6">
        <v>3716</v>
      </c>
      <c r="N47" s="6">
        <v>3852</v>
      </c>
      <c r="Q47" s="6">
        <v>4283</v>
      </c>
      <c r="R47" s="6">
        <v>4200</v>
      </c>
      <c r="S47" s="6">
        <v>4515</v>
      </c>
      <c r="T47" s="6">
        <v>4845</v>
      </c>
      <c r="U47" s="6">
        <v>4844</v>
      </c>
      <c r="V47" s="6">
        <v>4727</v>
      </c>
      <c r="W47" s="6">
        <v>4643</v>
      </c>
      <c r="X47" s="6">
        <v>4688</v>
      </c>
      <c r="Y47" s="6">
        <v>5207</v>
      </c>
      <c r="Z47" s="1">
        <v>5538</v>
      </c>
      <c r="AA47" s="1">
        <v>5856</v>
      </c>
      <c r="AC47" s="1">
        <v>5590</v>
      </c>
      <c r="AD47" s="1">
        <v>5009</v>
      </c>
      <c r="AE47" s="1">
        <v>4923</v>
      </c>
    </row>
    <row r="48" spans="1:31">
      <c r="A48" s="46" t="s">
        <v>130</v>
      </c>
      <c r="B48" s="94"/>
      <c r="C48" s="72">
        <v>1979</v>
      </c>
      <c r="F48" s="72">
        <v>1598</v>
      </c>
      <c r="G48" s="72">
        <v>1697</v>
      </c>
      <c r="H48" s="72">
        <v>1707</v>
      </c>
      <c r="I48" s="72">
        <v>1735</v>
      </c>
      <c r="J48" s="72">
        <v>2021</v>
      </c>
      <c r="K48" s="6">
        <v>1906</v>
      </c>
      <c r="L48" s="6">
        <v>2016</v>
      </c>
      <c r="N48" s="6">
        <v>2027</v>
      </c>
      <c r="Q48" s="6">
        <v>1902</v>
      </c>
      <c r="R48" s="6">
        <v>2146</v>
      </c>
      <c r="S48" s="6">
        <v>2168</v>
      </c>
      <c r="T48" s="6">
        <v>2002</v>
      </c>
      <c r="U48" s="6">
        <v>2116</v>
      </c>
      <c r="V48" s="6">
        <v>2056</v>
      </c>
      <c r="W48" s="6">
        <v>2259</v>
      </c>
      <c r="X48" s="6">
        <v>2324</v>
      </c>
      <c r="Y48" s="6">
        <v>2435</v>
      </c>
      <c r="Z48" s="1">
        <v>2170</v>
      </c>
      <c r="AA48" s="1">
        <v>2269</v>
      </c>
      <c r="AC48" s="1">
        <v>2172</v>
      </c>
      <c r="AD48" s="1">
        <v>2135</v>
      </c>
      <c r="AE48" s="1">
        <v>2257</v>
      </c>
    </row>
    <row r="49" spans="1:31">
      <c r="A49" s="46" t="s">
        <v>137</v>
      </c>
      <c r="B49" s="94"/>
      <c r="C49" s="72">
        <v>16834</v>
      </c>
      <c r="F49" s="72">
        <v>18992</v>
      </c>
      <c r="G49" s="72">
        <v>19055</v>
      </c>
      <c r="H49" s="72">
        <v>19368</v>
      </c>
      <c r="I49" s="72">
        <v>19655</v>
      </c>
      <c r="J49" s="72">
        <v>20131</v>
      </c>
      <c r="K49" s="6">
        <v>20720</v>
      </c>
      <c r="L49" s="6">
        <v>19430</v>
      </c>
      <c r="N49" s="6">
        <v>18830</v>
      </c>
      <c r="Q49" s="6">
        <v>19706</v>
      </c>
      <c r="R49" s="6">
        <v>21148</v>
      </c>
      <c r="S49" s="6">
        <v>21311</v>
      </c>
      <c r="T49" s="6">
        <v>22692</v>
      </c>
      <c r="U49" s="6">
        <v>22654</v>
      </c>
      <c r="V49" s="6">
        <v>25083</v>
      </c>
      <c r="W49" s="6">
        <v>26146</v>
      </c>
      <c r="X49" s="6">
        <v>27367</v>
      </c>
      <c r="Y49" s="6">
        <v>31113</v>
      </c>
      <c r="Z49" s="1">
        <v>33133</v>
      </c>
      <c r="AA49" s="1">
        <v>31250</v>
      </c>
      <c r="AC49" s="1">
        <v>31021</v>
      </c>
      <c r="AD49" s="1">
        <v>29533</v>
      </c>
      <c r="AE49" s="1">
        <v>29350</v>
      </c>
    </row>
    <row r="50" spans="1:31">
      <c r="A50" s="46" t="s">
        <v>141</v>
      </c>
      <c r="B50" s="94"/>
      <c r="C50" s="72">
        <v>785</v>
      </c>
      <c r="F50" s="72">
        <v>789</v>
      </c>
      <c r="G50" s="72">
        <v>761</v>
      </c>
      <c r="H50" s="72">
        <v>833</v>
      </c>
      <c r="I50" s="72">
        <v>783</v>
      </c>
      <c r="J50" s="72">
        <v>1897</v>
      </c>
      <c r="K50" s="6">
        <v>1586</v>
      </c>
      <c r="L50" s="6">
        <v>1635</v>
      </c>
      <c r="N50" s="6">
        <v>1770</v>
      </c>
      <c r="Q50" s="6">
        <v>2006</v>
      </c>
      <c r="R50" s="6">
        <v>2189</v>
      </c>
      <c r="S50" s="6">
        <v>2100</v>
      </c>
      <c r="T50" s="6">
        <v>2160</v>
      </c>
      <c r="U50" s="6">
        <v>2167</v>
      </c>
      <c r="V50" s="6">
        <v>1976</v>
      </c>
      <c r="W50" s="6">
        <v>1902</v>
      </c>
      <c r="X50" s="6">
        <v>1896</v>
      </c>
      <c r="Y50" s="6">
        <v>2548</v>
      </c>
      <c r="Z50" s="1">
        <v>2617</v>
      </c>
      <c r="AA50" s="1">
        <v>2540</v>
      </c>
      <c r="AC50" s="1">
        <v>2405</v>
      </c>
      <c r="AD50" s="1">
        <v>2154</v>
      </c>
      <c r="AE50" s="1">
        <v>2257</v>
      </c>
    </row>
    <row r="51" spans="1:31">
      <c r="A51" s="48" t="s">
        <v>144</v>
      </c>
      <c r="B51" s="95"/>
      <c r="C51" s="79">
        <v>8694</v>
      </c>
      <c r="D51" s="7"/>
      <c r="E51" s="7"/>
      <c r="F51" s="79">
        <v>9343</v>
      </c>
      <c r="G51" s="79">
        <v>9362</v>
      </c>
      <c r="H51" s="79">
        <v>9283</v>
      </c>
      <c r="I51" s="79">
        <v>9132</v>
      </c>
      <c r="J51" s="79">
        <v>9057</v>
      </c>
      <c r="K51" s="7">
        <v>9388</v>
      </c>
      <c r="L51" s="7">
        <v>9245</v>
      </c>
      <c r="M51" s="7"/>
      <c r="N51" s="7">
        <v>9064</v>
      </c>
      <c r="O51" s="7"/>
      <c r="P51" s="7"/>
      <c r="Q51" s="7">
        <v>10306</v>
      </c>
      <c r="R51" s="7">
        <v>10956</v>
      </c>
      <c r="S51" s="7">
        <v>11330</v>
      </c>
      <c r="T51" s="7">
        <v>11384</v>
      </c>
      <c r="U51" s="7">
        <v>11447</v>
      </c>
      <c r="V51" s="7">
        <v>11481</v>
      </c>
      <c r="W51" s="7">
        <v>11762</v>
      </c>
      <c r="X51" s="7">
        <v>12239</v>
      </c>
      <c r="Y51" s="7">
        <v>14316</v>
      </c>
      <c r="Z51" s="1">
        <v>15279</v>
      </c>
      <c r="AA51" s="1">
        <v>15065</v>
      </c>
      <c r="AC51" s="1">
        <v>14043</v>
      </c>
      <c r="AD51" s="1">
        <v>13521</v>
      </c>
      <c r="AE51" s="1">
        <v>12468</v>
      </c>
    </row>
    <row r="52" spans="1:31">
      <c r="A52" s="46" t="s">
        <v>187</v>
      </c>
      <c r="B52" s="94"/>
      <c r="C52" s="57">
        <f>SUM(C54:C62)</f>
        <v>92511</v>
      </c>
      <c r="F52" s="57">
        <f t="shared" ref="F52:N52" si="37">SUM(F54:F62)</f>
        <v>107443</v>
      </c>
      <c r="G52" s="57">
        <f t="shared" si="37"/>
        <v>108259</v>
      </c>
      <c r="H52" s="57">
        <f t="shared" si="37"/>
        <v>110124</v>
      </c>
      <c r="I52" s="57">
        <f t="shared" si="37"/>
        <v>109977</v>
      </c>
      <c r="J52" s="57">
        <f t="shared" si="37"/>
        <v>111031</v>
      </c>
      <c r="K52" s="57">
        <f t="shared" si="37"/>
        <v>111299</v>
      </c>
      <c r="L52" s="57">
        <f t="shared" si="37"/>
        <v>105661</v>
      </c>
      <c r="N52" s="57">
        <f t="shared" si="37"/>
        <v>104144</v>
      </c>
      <c r="Q52" s="57">
        <f t="shared" ref="Q52:Y52" si="38">SUM(Q54:Q62)</f>
        <v>106065</v>
      </c>
      <c r="R52" s="57">
        <f t="shared" si="38"/>
        <v>109403</v>
      </c>
      <c r="S52" s="57">
        <f t="shared" si="38"/>
        <v>112315</v>
      </c>
      <c r="T52" s="57">
        <f t="shared" si="38"/>
        <v>113185</v>
      </c>
      <c r="U52" s="57">
        <f t="shared" si="38"/>
        <v>113343</v>
      </c>
      <c r="V52" s="57">
        <f t="shared" si="38"/>
        <v>114880</v>
      </c>
      <c r="W52" s="57">
        <f t="shared" si="38"/>
        <v>117879</v>
      </c>
      <c r="X52" s="57">
        <f t="shared" si="38"/>
        <v>123772</v>
      </c>
      <c r="Y52" s="57">
        <f t="shared" si="38"/>
        <v>129950</v>
      </c>
      <c r="Z52" s="59">
        <f t="shared" ref="Z52:AA52" si="39">SUM(Z54:Z62)</f>
        <v>135920</v>
      </c>
      <c r="AA52" s="59">
        <f t="shared" si="39"/>
        <v>134445</v>
      </c>
      <c r="AB52" s="59">
        <f t="shared" ref="AB52:AC52" si="40">SUM(AB54:AB62)</f>
        <v>0</v>
      </c>
      <c r="AC52" s="59">
        <f t="shared" si="40"/>
        <v>136898</v>
      </c>
      <c r="AD52" s="59">
        <f t="shared" ref="AD52:AE52" si="41">SUM(AD54:AD62)</f>
        <v>134529</v>
      </c>
      <c r="AE52" s="59">
        <f t="shared" si="41"/>
        <v>131310</v>
      </c>
    </row>
    <row r="53" spans="1:31">
      <c r="A53" s="47" t="s">
        <v>189</v>
      </c>
      <c r="B53" s="94"/>
      <c r="C53" s="58">
        <f>(C52/C$4)*100</f>
        <v>22.962078602880219</v>
      </c>
      <c r="F53" s="58">
        <f t="shared" ref="F53:L53" si="42">(F52/F$4)*100</f>
        <v>22.770101301233417</v>
      </c>
      <c r="G53" s="58">
        <f t="shared" si="42"/>
        <v>22.408397120372246</v>
      </c>
      <c r="H53" s="58">
        <f t="shared" si="42"/>
        <v>21.596540599903904</v>
      </c>
      <c r="I53" s="58">
        <f t="shared" si="42"/>
        <v>21.836257356386653</v>
      </c>
      <c r="J53" s="58">
        <f t="shared" si="42"/>
        <v>21.270591751230381</v>
      </c>
      <c r="K53" s="58">
        <f t="shared" si="42"/>
        <v>20.737385575369803</v>
      </c>
      <c r="L53" s="58">
        <f t="shared" si="42"/>
        <v>19.811895650086907</v>
      </c>
      <c r="N53" s="58">
        <f>(N52/N$4)*100</f>
        <v>19.372348123387482</v>
      </c>
      <c r="Q53" s="58">
        <f t="shared" ref="Q53:Y53" si="43">(Q52/Q$4)*100</f>
        <v>18.002474671953209</v>
      </c>
      <c r="R53" s="58">
        <f t="shared" si="43"/>
        <v>17.789597436026686</v>
      </c>
      <c r="S53" s="58">
        <f t="shared" si="43"/>
        <v>17.550617314817273</v>
      </c>
      <c r="T53" s="58">
        <f t="shared" si="43"/>
        <v>17.332865753558917</v>
      </c>
      <c r="U53" s="58">
        <f t="shared" si="43"/>
        <v>16.891578726175592</v>
      </c>
      <c r="V53" s="58">
        <f t="shared" si="43"/>
        <v>16.742255540917093</v>
      </c>
      <c r="W53" s="58">
        <f t="shared" si="43"/>
        <v>16.360653598944072</v>
      </c>
      <c r="X53" s="58">
        <f t="shared" si="43"/>
        <v>15.987269291428085</v>
      </c>
      <c r="Y53" s="58">
        <f t="shared" si="43"/>
        <v>15.929266456973206</v>
      </c>
      <c r="Z53" s="58">
        <f t="shared" ref="Z53:AA53" si="44">(Z52/Z$4)*100</f>
        <v>14.868782339492196</v>
      </c>
      <c r="AA53" s="58">
        <f t="shared" si="44"/>
        <v>14.572119772213417</v>
      </c>
      <c r="AB53" s="58" t="e">
        <f t="shared" ref="AB53:AC53" si="45">(AB52/AB$4)*100</f>
        <v>#DIV/0!</v>
      </c>
      <c r="AC53" s="58">
        <f t="shared" si="45"/>
        <v>14.620215920996282</v>
      </c>
      <c r="AD53" s="58">
        <f t="shared" ref="AD53:AE53" si="46">(AD52/AD$4)*100</f>
        <v>14.345138952572078</v>
      </c>
      <c r="AE53" s="58">
        <f t="shared" si="46"/>
        <v>13.974664468636025</v>
      </c>
    </row>
    <row r="54" spans="1:31">
      <c r="A54" s="46" t="s">
        <v>116</v>
      </c>
      <c r="B54" s="94"/>
      <c r="C54" s="72">
        <v>4807</v>
      </c>
      <c r="F54" s="72">
        <v>4865</v>
      </c>
      <c r="G54" s="72">
        <v>4988</v>
      </c>
      <c r="H54" s="72">
        <v>4973</v>
      </c>
      <c r="I54" s="72">
        <v>4654</v>
      </c>
      <c r="J54" s="72">
        <v>4495</v>
      </c>
      <c r="K54" s="72">
        <v>4529</v>
      </c>
      <c r="L54" s="6">
        <v>4191</v>
      </c>
      <c r="N54" s="6">
        <v>4029</v>
      </c>
      <c r="Q54" s="6">
        <v>4327</v>
      </c>
      <c r="R54" s="6">
        <v>4374</v>
      </c>
      <c r="S54" s="6">
        <v>4660</v>
      </c>
      <c r="T54" s="6">
        <v>4601</v>
      </c>
      <c r="U54" s="6">
        <v>4689</v>
      </c>
      <c r="V54" s="6">
        <v>4699</v>
      </c>
      <c r="W54" s="6">
        <v>5015</v>
      </c>
      <c r="X54" s="6">
        <v>4474</v>
      </c>
      <c r="Y54" s="6">
        <v>5035</v>
      </c>
      <c r="Z54" s="1">
        <v>6131</v>
      </c>
      <c r="AA54" s="1">
        <v>6172</v>
      </c>
      <c r="AC54" s="1">
        <v>6475</v>
      </c>
      <c r="AD54" s="1">
        <v>6784</v>
      </c>
      <c r="AE54" s="1">
        <v>6439</v>
      </c>
    </row>
    <row r="55" spans="1:31">
      <c r="A55" s="46" t="s">
        <v>124</v>
      </c>
      <c r="B55" s="94"/>
      <c r="C55" s="72">
        <v>1842</v>
      </c>
      <c r="F55" s="72">
        <v>2203</v>
      </c>
      <c r="G55" s="72">
        <v>2125</v>
      </c>
      <c r="H55" s="72">
        <v>2185</v>
      </c>
      <c r="I55" s="72">
        <v>1984</v>
      </c>
      <c r="J55" s="72">
        <v>2123</v>
      </c>
      <c r="K55" s="6">
        <v>2179</v>
      </c>
      <c r="L55" s="6">
        <v>2094</v>
      </c>
      <c r="N55" s="6">
        <v>1996</v>
      </c>
      <c r="Q55" s="6">
        <v>2027</v>
      </c>
      <c r="R55" s="6">
        <v>2092</v>
      </c>
      <c r="S55" s="6">
        <v>2246</v>
      </c>
      <c r="T55" s="6">
        <v>2221</v>
      </c>
      <c r="U55" s="6">
        <v>2311</v>
      </c>
      <c r="V55" s="6">
        <v>2493</v>
      </c>
      <c r="W55" s="6">
        <v>2373</v>
      </c>
      <c r="X55" s="6">
        <v>2396</v>
      </c>
      <c r="Y55" s="6">
        <v>2889</v>
      </c>
      <c r="Z55" s="1">
        <v>2920</v>
      </c>
      <c r="AA55" s="1">
        <v>2849</v>
      </c>
      <c r="AC55" s="1">
        <v>3039</v>
      </c>
      <c r="AD55" s="1">
        <v>2993</v>
      </c>
      <c r="AE55" s="1">
        <v>2719</v>
      </c>
    </row>
    <row r="56" spans="1:31">
      <c r="A56" s="46" t="s">
        <v>123</v>
      </c>
      <c r="B56" s="94"/>
      <c r="C56" s="72">
        <v>12899</v>
      </c>
      <c r="F56" s="72">
        <v>12403</v>
      </c>
      <c r="G56" s="72">
        <v>12062</v>
      </c>
      <c r="H56" s="72">
        <v>11956</v>
      </c>
      <c r="I56" s="72">
        <v>11884</v>
      </c>
      <c r="J56" s="72">
        <v>11768</v>
      </c>
      <c r="K56" s="6">
        <v>11013</v>
      </c>
      <c r="L56" s="6">
        <v>10916</v>
      </c>
      <c r="N56" s="6">
        <v>9789</v>
      </c>
      <c r="Q56" s="6">
        <v>9487</v>
      </c>
      <c r="R56" s="6">
        <v>9968</v>
      </c>
      <c r="S56" s="6">
        <v>10021</v>
      </c>
      <c r="T56" s="6">
        <v>9877</v>
      </c>
      <c r="U56" s="6">
        <v>9532</v>
      </c>
      <c r="V56" s="6">
        <v>9850</v>
      </c>
      <c r="W56" s="6">
        <v>10284</v>
      </c>
      <c r="X56" s="6">
        <v>11153</v>
      </c>
      <c r="Y56" s="6">
        <v>11723</v>
      </c>
      <c r="Z56" s="1">
        <v>12415</v>
      </c>
      <c r="AA56" s="1">
        <v>12649</v>
      </c>
      <c r="AC56" s="1">
        <v>13405</v>
      </c>
      <c r="AD56" s="1">
        <v>12807</v>
      </c>
      <c r="AE56" s="1">
        <v>12422</v>
      </c>
    </row>
    <row r="57" spans="1:31">
      <c r="A57" s="46" t="s">
        <v>132</v>
      </c>
      <c r="B57" s="94"/>
      <c r="C57" s="72">
        <v>2226</v>
      </c>
      <c r="F57" s="72">
        <v>2538</v>
      </c>
      <c r="G57" s="72">
        <v>2610</v>
      </c>
      <c r="H57" s="72">
        <v>2550</v>
      </c>
      <c r="I57" s="72">
        <v>2557</v>
      </c>
      <c r="J57" s="72">
        <v>2103</v>
      </c>
      <c r="K57" s="6">
        <v>2206</v>
      </c>
      <c r="L57" s="6">
        <v>2231</v>
      </c>
      <c r="N57" s="6">
        <v>2467</v>
      </c>
      <c r="Q57" s="6">
        <v>2696</v>
      </c>
      <c r="R57" s="6">
        <v>2892</v>
      </c>
      <c r="S57" s="6">
        <v>3051</v>
      </c>
      <c r="T57" s="6">
        <v>2812</v>
      </c>
      <c r="U57" s="6">
        <v>2821</v>
      </c>
      <c r="V57" s="6">
        <v>2695</v>
      </c>
      <c r="W57" s="6">
        <v>2411</v>
      </c>
      <c r="X57" s="6">
        <v>2403</v>
      </c>
      <c r="Y57" s="6">
        <v>2539</v>
      </c>
      <c r="Z57" s="1">
        <v>2525</v>
      </c>
      <c r="AA57" s="1">
        <v>2360</v>
      </c>
      <c r="AC57" s="1">
        <v>2517</v>
      </c>
      <c r="AD57" s="1">
        <v>2573</v>
      </c>
      <c r="AE57" s="1">
        <v>3082</v>
      </c>
    </row>
    <row r="58" spans="1:31">
      <c r="A58" s="46" t="s">
        <v>133</v>
      </c>
      <c r="B58" s="94"/>
      <c r="C58" s="72">
        <v>9137</v>
      </c>
      <c r="F58" s="72">
        <v>11561</v>
      </c>
      <c r="G58" s="72">
        <v>11542</v>
      </c>
      <c r="H58" s="72">
        <v>11804</v>
      </c>
      <c r="I58" s="72">
        <v>12061</v>
      </c>
      <c r="J58" s="72">
        <v>12143</v>
      </c>
      <c r="K58" s="6">
        <v>12092</v>
      </c>
      <c r="L58" s="6">
        <v>12324</v>
      </c>
      <c r="N58" s="6">
        <v>11199</v>
      </c>
      <c r="Q58" s="6">
        <v>11712</v>
      </c>
      <c r="R58" s="6">
        <v>12792</v>
      </c>
      <c r="S58" s="6">
        <v>13080</v>
      </c>
      <c r="T58" s="6">
        <v>13216</v>
      </c>
      <c r="U58" s="6">
        <v>13949</v>
      </c>
      <c r="V58" s="6">
        <v>14833</v>
      </c>
      <c r="W58" s="6">
        <v>15716</v>
      </c>
      <c r="X58" s="6">
        <v>17343</v>
      </c>
      <c r="Y58" s="6">
        <v>18862</v>
      </c>
      <c r="Z58" s="1">
        <v>19213</v>
      </c>
      <c r="AA58" s="1">
        <v>19118</v>
      </c>
      <c r="AC58" s="1">
        <v>20775</v>
      </c>
      <c r="AD58" s="1">
        <v>21453</v>
      </c>
      <c r="AE58" s="1">
        <v>21132</v>
      </c>
    </row>
    <row r="59" spans="1:31">
      <c r="A59" s="46" t="s">
        <v>136</v>
      </c>
      <c r="B59" s="94"/>
      <c r="C59" s="72">
        <v>38138</v>
      </c>
      <c r="F59" s="72">
        <v>50228</v>
      </c>
      <c r="G59" s="72">
        <v>50493</v>
      </c>
      <c r="H59" s="72">
        <v>51334</v>
      </c>
      <c r="I59" s="72">
        <v>52164</v>
      </c>
      <c r="J59" s="72">
        <v>50549</v>
      </c>
      <c r="K59" s="6">
        <v>51654</v>
      </c>
      <c r="L59" s="6">
        <v>48401</v>
      </c>
      <c r="N59" s="6">
        <v>46481</v>
      </c>
      <c r="Q59" s="6">
        <v>48666</v>
      </c>
      <c r="R59" s="6">
        <v>49555</v>
      </c>
      <c r="S59" s="6">
        <v>50920</v>
      </c>
      <c r="T59" s="6">
        <v>51485</v>
      </c>
      <c r="U59" s="6">
        <v>51049</v>
      </c>
      <c r="V59" s="6">
        <v>51097</v>
      </c>
      <c r="W59" s="6">
        <v>52440</v>
      </c>
      <c r="X59" s="6">
        <v>55999</v>
      </c>
      <c r="Y59" s="6">
        <v>57539</v>
      </c>
      <c r="Z59" s="1">
        <v>61559</v>
      </c>
      <c r="AA59" s="1">
        <v>60630</v>
      </c>
      <c r="AC59" s="1">
        <v>61389</v>
      </c>
      <c r="AD59" s="1">
        <v>60449</v>
      </c>
      <c r="AE59" s="1">
        <v>58878</v>
      </c>
    </row>
    <row r="60" spans="1:31">
      <c r="A60" s="46" t="s">
        <v>139</v>
      </c>
      <c r="B60" s="94"/>
      <c r="C60" s="72">
        <v>18593</v>
      </c>
      <c r="F60" s="72">
        <v>18661</v>
      </c>
      <c r="G60" s="72">
        <v>19385</v>
      </c>
      <c r="H60" s="72">
        <v>20406</v>
      </c>
      <c r="I60" s="72">
        <v>19745</v>
      </c>
      <c r="J60" s="72">
        <v>22689</v>
      </c>
      <c r="K60" s="6">
        <v>22730</v>
      </c>
      <c r="L60" s="6">
        <v>20752</v>
      </c>
      <c r="N60" s="6">
        <v>23317</v>
      </c>
      <c r="Q60" s="6">
        <v>22654</v>
      </c>
      <c r="R60" s="6">
        <v>23229</v>
      </c>
      <c r="S60" s="6">
        <v>23963</v>
      </c>
      <c r="T60" s="6">
        <v>24356</v>
      </c>
      <c r="U60" s="6">
        <v>24576</v>
      </c>
      <c r="V60" s="6">
        <v>24958</v>
      </c>
      <c r="W60" s="6">
        <v>25193</v>
      </c>
      <c r="X60" s="6">
        <v>25905</v>
      </c>
      <c r="Y60" s="6">
        <v>27377</v>
      </c>
      <c r="Z60" s="1">
        <v>27109</v>
      </c>
      <c r="AA60" s="1">
        <v>26191</v>
      </c>
      <c r="AC60" s="1">
        <v>24903</v>
      </c>
      <c r="AD60" s="1">
        <v>23319</v>
      </c>
      <c r="AE60" s="1">
        <v>22549</v>
      </c>
    </row>
    <row r="61" spans="1:31">
      <c r="A61" s="46" t="s">
        <v>140</v>
      </c>
      <c r="B61" s="94"/>
      <c r="C61" s="72">
        <v>3762</v>
      </c>
      <c r="F61" s="72">
        <v>3730</v>
      </c>
      <c r="G61" s="72">
        <v>3816</v>
      </c>
      <c r="H61" s="72">
        <v>3660</v>
      </c>
      <c r="I61" s="72">
        <v>3664</v>
      </c>
      <c r="J61" s="72">
        <v>3740</v>
      </c>
      <c r="K61" s="6">
        <v>3561</v>
      </c>
      <c r="L61" s="6">
        <v>3368</v>
      </c>
      <c r="N61" s="6">
        <v>3358</v>
      </c>
      <c r="Q61" s="6">
        <v>3179</v>
      </c>
      <c r="R61" s="6">
        <v>3203</v>
      </c>
      <c r="S61" s="6">
        <v>3195</v>
      </c>
      <c r="T61" s="6">
        <v>3374</v>
      </c>
      <c r="U61" s="6">
        <v>3249</v>
      </c>
      <c r="V61" s="6">
        <v>3102</v>
      </c>
      <c r="W61" s="6">
        <v>3344</v>
      </c>
      <c r="X61" s="6">
        <v>2955</v>
      </c>
      <c r="Y61" s="6">
        <v>2830</v>
      </c>
      <c r="Z61" s="1">
        <v>2912</v>
      </c>
      <c r="AA61" s="1">
        <v>3282</v>
      </c>
      <c r="AC61" s="1">
        <v>3293</v>
      </c>
      <c r="AD61" s="1">
        <v>3025</v>
      </c>
      <c r="AE61" s="1">
        <v>3078</v>
      </c>
    </row>
    <row r="62" spans="1:31">
      <c r="A62" s="48" t="s">
        <v>143</v>
      </c>
      <c r="B62" s="94"/>
      <c r="C62" s="72">
        <v>1107</v>
      </c>
      <c r="F62" s="72">
        <v>1254</v>
      </c>
      <c r="G62" s="72">
        <v>1238</v>
      </c>
      <c r="H62" s="72">
        <v>1256</v>
      </c>
      <c r="I62" s="72">
        <v>1264</v>
      </c>
      <c r="J62" s="72">
        <v>1421</v>
      </c>
      <c r="K62" s="6">
        <v>1335</v>
      </c>
      <c r="L62" s="6">
        <v>1384</v>
      </c>
      <c r="N62" s="6">
        <v>1508</v>
      </c>
      <c r="Q62" s="6">
        <v>1317</v>
      </c>
      <c r="R62" s="6">
        <v>1298</v>
      </c>
      <c r="S62" s="6">
        <v>1179</v>
      </c>
      <c r="T62" s="6">
        <v>1243</v>
      </c>
      <c r="U62" s="6">
        <v>1167</v>
      </c>
      <c r="V62" s="6">
        <v>1153</v>
      </c>
      <c r="W62" s="6">
        <v>1103</v>
      </c>
      <c r="X62" s="6">
        <v>1144</v>
      </c>
      <c r="Y62" s="6">
        <v>1156</v>
      </c>
      <c r="Z62" s="1">
        <v>1136</v>
      </c>
      <c r="AA62" s="1">
        <v>1194</v>
      </c>
      <c r="AC62" s="1">
        <v>1102</v>
      </c>
      <c r="AD62" s="1">
        <v>1126</v>
      </c>
      <c r="AE62" s="1">
        <v>1011</v>
      </c>
    </row>
    <row r="63" spans="1:31">
      <c r="A63" s="49" t="s">
        <v>129</v>
      </c>
      <c r="B63" s="97"/>
      <c r="C63" s="78">
        <v>352</v>
      </c>
      <c r="D63" s="50"/>
      <c r="E63" s="50"/>
      <c r="F63" s="78">
        <v>366</v>
      </c>
      <c r="G63" s="78">
        <v>412</v>
      </c>
      <c r="H63" s="78">
        <v>288</v>
      </c>
      <c r="I63" s="78">
        <v>175</v>
      </c>
      <c r="J63" s="78">
        <v>320</v>
      </c>
      <c r="K63" s="78">
        <v>318</v>
      </c>
      <c r="L63" s="50">
        <v>421</v>
      </c>
      <c r="M63" s="50"/>
      <c r="N63" s="50">
        <v>376</v>
      </c>
      <c r="O63" s="50"/>
      <c r="P63" s="50"/>
      <c r="Q63" s="50">
        <v>613</v>
      </c>
      <c r="R63" s="50">
        <v>746</v>
      </c>
      <c r="S63" s="50">
        <v>407</v>
      </c>
      <c r="T63" s="50">
        <v>925</v>
      </c>
      <c r="U63" s="50">
        <v>963</v>
      </c>
      <c r="V63" s="50">
        <v>944</v>
      </c>
      <c r="W63" s="50">
        <v>974</v>
      </c>
      <c r="X63" s="50">
        <v>301</v>
      </c>
      <c r="Y63" s="50">
        <v>414</v>
      </c>
      <c r="Z63" s="50">
        <v>370</v>
      </c>
      <c r="AA63" s="50">
        <v>515</v>
      </c>
      <c r="AB63" s="50"/>
      <c r="AC63" s="50">
        <v>633</v>
      </c>
      <c r="AD63" s="50">
        <v>542</v>
      </c>
      <c r="AE63" s="50">
        <v>630</v>
      </c>
    </row>
    <row r="64" spans="1:31">
      <c r="C64" s="72"/>
      <c r="F64" s="72"/>
      <c r="G64" s="72"/>
      <c r="H64" s="72"/>
      <c r="I64" s="72"/>
      <c r="J64" s="72"/>
      <c r="K64" s="72"/>
    </row>
    <row r="65" spans="2:25">
      <c r="C65" s="72"/>
      <c r="F65" s="72"/>
      <c r="G65" s="72"/>
      <c r="H65" s="72"/>
      <c r="I65" s="72"/>
      <c r="J65" s="72"/>
    </row>
    <row r="66" spans="2:25">
      <c r="B66" s="73" t="s">
        <v>71</v>
      </c>
      <c r="C66" s="73" t="s">
        <v>29</v>
      </c>
      <c r="D66" s="73" t="s">
        <v>71</v>
      </c>
      <c r="E66" s="73" t="s">
        <v>71</v>
      </c>
      <c r="F66" s="73" t="s">
        <v>29</v>
      </c>
      <c r="G66" s="73" t="s">
        <v>29</v>
      </c>
      <c r="H66" s="73" t="s">
        <v>29</v>
      </c>
      <c r="I66" s="73" t="s">
        <v>29</v>
      </c>
      <c r="J66" s="73" t="s">
        <v>29</v>
      </c>
      <c r="K66" s="73" t="s">
        <v>29</v>
      </c>
      <c r="L66" s="73" t="s">
        <v>29</v>
      </c>
      <c r="M66" s="73"/>
      <c r="N66" s="6" t="s">
        <v>29</v>
      </c>
      <c r="Q66" s="73" t="s">
        <v>71</v>
      </c>
      <c r="R66" s="73" t="s">
        <v>71</v>
      </c>
      <c r="S66" s="73" t="s">
        <v>71</v>
      </c>
      <c r="T66" s="73"/>
      <c r="U66" s="73" t="s">
        <v>71</v>
      </c>
      <c r="V66" s="73" t="s">
        <v>71</v>
      </c>
      <c r="W66" s="2" t="s">
        <v>71</v>
      </c>
      <c r="X66" s="2"/>
      <c r="Y66" s="2"/>
    </row>
    <row r="67" spans="2:25">
      <c r="B67" s="73" t="s">
        <v>74</v>
      </c>
      <c r="C67" s="73" t="s">
        <v>13</v>
      </c>
      <c r="D67" s="73" t="s">
        <v>74</v>
      </c>
      <c r="E67" s="73" t="s">
        <v>74</v>
      </c>
      <c r="F67" s="73" t="s">
        <v>13</v>
      </c>
      <c r="G67" s="73" t="s">
        <v>13</v>
      </c>
      <c r="H67" s="73" t="s">
        <v>13</v>
      </c>
      <c r="I67" s="73" t="s">
        <v>13</v>
      </c>
      <c r="J67" s="73" t="s">
        <v>13</v>
      </c>
      <c r="K67" s="73" t="s">
        <v>13</v>
      </c>
      <c r="L67" s="73" t="s">
        <v>13</v>
      </c>
      <c r="M67" s="73"/>
      <c r="N67" s="6" t="s">
        <v>13</v>
      </c>
      <c r="Q67" s="6" t="s">
        <v>157</v>
      </c>
      <c r="R67" s="6" t="s">
        <v>157</v>
      </c>
      <c r="S67" s="6" t="s">
        <v>157</v>
      </c>
      <c r="U67" s="6" t="s">
        <v>157</v>
      </c>
      <c r="V67" s="6" t="s">
        <v>157</v>
      </c>
      <c r="W67" s="1" t="s">
        <v>157</v>
      </c>
      <c r="X67" s="1"/>
      <c r="Y67" s="1"/>
    </row>
    <row r="68" spans="2:25">
      <c r="B68" s="73" t="s">
        <v>31</v>
      </c>
      <c r="C68" s="73" t="s">
        <v>30</v>
      </c>
      <c r="D68" s="73" t="s">
        <v>32</v>
      </c>
      <c r="E68" s="73" t="s">
        <v>32</v>
      </c>
      <c r="F68" s="73" t="s">
        <v>30</v>
      </c>
      <c r="G68" s="73" t="s">
        <v>30</v>
      </c>
      <c r="H68" s="73" t="s">
        <v>30</v>
      </c>
      <c r="I68" s="73" t="s">
        <v>30</v>
      </c>
      <c r="J68" s="73" t="s">
        <v>30</v>
      </c>
      <c r="K68" s="73" t="s">
        <v>30</v>
      </c>
      <c r="L68" s="73" t="s">
        <v>30</v>
      </c>
      <c r="M68" s="73"/>
      <c r="N68" s="6" t="s">
        <v>30</v>
      </c>
      <c r="Q68" s="6" t="s">
        <v>158</v>
      </c>
      <c r="R68" s="6" t="s">
        <v>158</v>
      </c>
      <c r="S68" s="6" t="s">
        <v>158</v>
      </c>
      <c r="U68" s="6" t="s">
        <v>158</v>
      </c>
      <c r="V68" s="6" t="s">
        <v>158</v>
      </c>
      <c r="W68" s="1" t="s">
        <v>158</v>
      </c>
      <c r="X68" s="1"/>
      <c r="Y68" s="1"/>
    </row>
    <row r="69" spans="2:25" ht="12.75" customHeight="1">
      <c r="B69" s="73" t="s">
        <v>35</v>
      </c>
      <c r="C69" s="73" t="s">
        <v>72</v>
      </c>
      <c r="D69" s="73" t="s">
        <v>33</v>
      </c>
      <c r="E69" s="73" t="s">
        <v>33</v>
      </c>
      <c r="F69" s="73" t="s">
        <v>72</v>
      </c>
      <c r="G69" s="73" t="s">
        <v>72</v>
      </c>
      <c r="H69" s="73" t="s">
        <v>72</v>
      </c>
      <c r="I69" s="73" t="s">
        <v>72</v>
      </c>
      <c r="J69" s="73" t="s">
        <v>72</v>
      </c>
      <c r="K69" s="73" t="s">
        <v>72</v>
      </c>
      <c r="L69" s="73" t="s">
        <v>72</v>
      </c>
      <c r="M69" s="73"/>
      <c r="N69" s="6" t="s">
        <v>72</v>
      </c>
      <c r="Q69" s="6" t="s">
        <v>159</v>
      </c>
      <c r="R69" s="6" t="s">
        <v>159</v>
      </c>
      <c r="S69" s="6" t="s">
        <v>159</v>
      </c>
      <c r="U69" s="6" t="s">
        <v>159</v>
      </c>
      <c r="V69" s="6" t="s">
        <v>159</v>
      </c>
      <c r="W69" s="1" t="s">
        <v>159</v>
      </c>
      <c r="X69" s="1"/>
      <c r="Y69" s="1"/>
    </row>
    <row r="70" spans="2:25" ht="12.75" customHeight="1">
      <c r="B70" s="73" t="s">
        <v>34</v>
      </c>
      <c r="C70" s="73" t="s">
        <v>73</v>
      </c>
      <c r="D70" s="73" t="s">
        <v>34</v>
      </c>
      <c r="E70" s="73" t="s">
        <v>34</v>
      </c>
      <c r="F70" s="73" t="s">
        <v>73</v>
      </c>
      <c r="G70" s="73" t="s">
        <v>73</v>
      </c>
      <c r="H70" s="73" t="s">
        <v>73</v>
      </c>
      <c r="I70" s="73" t="s">
        <v>73</v>
      </c>
      <c r="J70" s="73" t="s">
        <v>73</v>
      </c>
      <c r="K70" s="73" t="s">
        <v>73</v>
      </c>
      <c r="L70" s="73" t="s">
        <v>73</v>
      </c>
      <c r="M70" s="73"/>
      <c r="N70" s="6" t="s">
        <v>73</v>
      </c>
      <c r="Q70" s="6" t="s">
        <v>84</v>
      </c>
      <c r="R70" s="6" t="s">
        <v>84</v>
      </c>
      <c r="S70" s="6" t="s">
        <v>84</v>
      </c>
      <c r="U70" s="6" t="s">
        <v>84</v>
      </c>
      <c r="V70" s="6" t="s">
        <v>84</v>
      </c>
      <c r="W70" s="1" t="s">
        <v>84</v>
      </c>
      <c r="X70" s="1"/>
      <c r="Y70" s="1"/>
    </row>
    <row r="71" spans="2:25" ht="12.75" customHeight="1">
      <c r="B71" s="73" t="s">
        <v>72</v>
      </c>
      <c r="C71" s="73" t="s">
        <v>38</v>
      </c>
      <c r="D71" s="73" t="s">
        <v>72</v>
      </c>
      <c r="E71" s="73" t="s">
        <v>72</v>
      </c>
      <c r="F71" s="73" t="s">
        <v>38</v>
      </c>
      <c r="G71" s="73" t="s">
        <v>38</v>
      </c>
      <c r="H71" s="73" t="s">
        <v>38</v>
      </c>
      <c r="I71" s="73" t="s">
        <v>38</v>
      </c>
      <c r="J71" s="73" t="s">
        <v>38</v>
      </c>
      <c r="K71" s="73" t="s">
        <v>38</v>
      </c>
      <c r="L71" s="73" t="s">
        <v>38</v>
      </c>
      <c r="M71" s="73"/>
      <c r="N71" s="6" t="s">
        <v>38</v>
      </c>
      <c r="Q71" s="6" t="s">
        <v>160</v>
      </c>
      <c r="R71" s="6" t="s">
        <v>160</v>
      </c>
      <c r="S71" s="6" t="s">
        <v>160</v>
      </c>
      <c r="U71" s="6" t="s">
        <v>160</v>
      </c>
      <c r="V71" s="6" t="s">
        <v>160</v>
      </c>
      <c r="W71" s="1" t="s">
        <v>160</v>
      </c>
      <c r="X71" s="1"/>
      <c r="Y71" s="1"/>
    </row>
    <row r="72" spans="2:25" ht="12.75" customHeight="1">
      <c r="B72" s="73" t="s">
        <v>73</v>
      </c>
      <c r="C72" s="73" t="s">
        <v>41</v>
      </c>
      <c r="D72" s="73" t="s">
        <v>73</v>
      </c>
      <c r="E72" s="73" t="s">
        <v>73</v>
      </c>
      <c r="F72" s="73" t="s">
        <v>41</v>
      </c>
      <c r="G72" s="73" t="s">
        <v>41</v>
      </c>
      <c r="H72" s="73" t="s">
        <v>41</v>
      </c>
      <c r="I72" s="73" t="s">
        <v>41</v>
      </c>
      <c r="J72" s="73" t="s">
        <v>41</v>
      </c>
      <c r="K72" s="73" t="s">
        <v>41</v>
      </c>
      <c r="L72" s="73" t="s">
        <v>41</v>
      </c>
      <c r="M72" s="73"/>
      <c r="N72" s="6" t="s">
        <v>41</v>
      </c>
      <c r="Q72" s="6" t="s">
        <v>161</v>
      </c>
      <c r="R72" s="6" t="s">
        <v>161</v>
      </c>
      <c r="S72" s="6" t="s">
        <v>161</v>
      </c>
      <c r="U72" s="6" t="s">
        <v>161</v>
      </c>
      <c r="V72" s="6" t="s">
        <v>161</v>
      </c>
      <c r="W72" s="1" t="s">
        <v>191</v>
      </c>
      <c r="X72" s="1"/>
      <c r="Y72" s="1"/>
    </row>
    <row r="73" spans="2:25">
      <c r="B73" s="73" t="s">
        <v>37</v>
      </c>
      <c r="C73" s="73" t="s">
        <v>8</v>
      </c>
      <c r="D73" s="73" t="s">
        <v>37</v>
      </c>
      <c r="E73" s="73" t="s">
        <v>37</v>
      </c>
      <c r="F73" s="73" t="s">
        <v>11</v>
      </c>
      <c r="G73" s="73" t="s">
        <v>64</v>
      </c>
      <c r="H73" s="73" t="s">
        <v>12</v>
      </c>
      <c r="I73" s="73" t="s">
        <v>65</v>
      </c>
      <c r="J73" s="73" t="s">
        <v>51</v>
      </c>
      <c r="K73" s="73" t="s">
        <v>79</v>
      </c>
      <c r="L73" s="73" t="s">
        <v>108</v>
      </c>
      <c r="M73" s="73"/>
      <c r="N73" s="6" t="s">
        <v>147</v>
      </c>
      <c r="Q73" s="6" t="s">
        <v>162</v>
      </c>
      <c r="R73" s="6" t="s">
        <v>162</v>
      </c>
      <c r="S73" s="6" t="s">
        <v>162</v>
      </c>
      <c r="U73" s="6" t="s">
        <v>162</v>
      </c>
      <c r="V73" s="6" t="s">
        <v>162</v>
      </c>
      <c r="W73" s="1" t="s">
        <v>192</v>
      </c>
      <c r="X73" s="1"/>
      <c r="Y73" s="1"/>
    </row>
    <row r="74" spans="2:25">
      <c r="B74" s="73" t="s">
        <v>43</v>
      </c>
      <c r="D74" s="73" t="s">
        <v>44</v>
      </c>
      <c r="E74" s="73" t="s">
        <v>45</v>
      </c>
      <c r="Q74" s="6" t="s">
        <v>163</v>
      </c>
      <c r="R74" s="6" t="s">
        <v>163</v>
      </c>
      <c r="S74" s="6" t="s">
        <v>163</v>
      </c>
      <c r="U74" s="6" t="s">
        <v>163</v>
      </c>
      <c r="V74" s="6" t="s">
        <v>163</v>
      </c>
      <c r="W74" s="1" t="s">
        <v>194</v>
      </c>
      <c r="X74" s="1"/>
      <c r="Y74" s="1"/>
    </row>
    <row r="75" spans="2:25">
      <c r="Q75" s="6" t="s">
        <v>164</v>
      </c>
      <c r="R75" s="6" t="s">
        <v>164</v>
      </c>
      <c r="S75" s="6" t="s">
        <v>164</v>
      </c>
      <c r="U75" s="6" t="s">
        <v>164</v>
      </c>
      <c r="V75" s="6" t="s">
        <v>164</v>
      </c>
      <c r="W75" s="1" t="s">
        <v>193</v>
      </c>
      <c r="X75" s="1"/>
      <c r="Y75" s="1"/>
    </row>
    <row r="76" spans="2:25">
      <c r="Q76" s="6" t="s">
        <v>165</v>
      </c>
      <c r="R76" s="6" t="s">
        <v>165</v>
      </c>
      <c r="S76" s="6" t="s">
        <v>165</v>
      </c>
      <c r="U76" s="6" t="s">
        <v>165</v>
      </c>
      <c r="V76" s="6" t="s">
        <v>165</v>
      </c>
      <c r="W76" s="1" t="s">
        <v>165</v>
      </c>
      <c r="X76" s="1"/>
      <c r="Y76" s="1"/>
    </row>
    <row r="84" spans="2:11">
      <c r="C84" s="74"/>
    </row>
    <row r="85" spans="2:11">
      <c r="B85" s="74"/>
      <c r="C85" s="74"/>
      <c r="D85" s="74"/>
      <c r="E85" s="74"/>
      <c r="F85" s="74"/>
      <c r="G85" s="74"/>
      <c r="H85" s="74"/>
      <c r="I85" s="74"/>
      <c r="J85" s="74"/>
      <c r="K85" s="74"/>
    </row>
    <row r="86" spans="2:11">
      <c r="B86" s="74"/>
      <c r="C86" s="74"/>
      <c r="D86" s="74"/>
      <c r="E86" s="74"/>
      <c r="F86" s="74"/>
      <c r="G86" s="74"/>
      <c r="H86" s="74"/>
      <c r="I86" s="74"/>
      <c r="J86" s="74"/>
      <c r="K86" s="74"/>
    </row>
    <row r="87" spans="2:11">
      <c r="B87" s="74"/>
      <c r="C87" s="74"/>
      <c r="D87" s="74"/>
      <c r="E87" s="74"/>
      <c r="F87" s="74"/>
      <c r="G87" s="74"/>
      <c r="H87" s="74"/>
      <c r="I87" s="74"/>
      <c r="J87" s="74"/>
      <c r="K87" s="74"/>
    </row>
    <row r="88" spans="2:11">
      <c r="B88" s="74"/>
      <c r="C88" s="74"/>
      <c r="D88" s="74"/>
      <c r="E88" s="74"/>
      <c r="F88" s="74"/>
      <c r="G88" s="74"/>
      <c r="H88" s="74"/>
      <c r="I88" s="74"/>
      <c r="J88" s="74"/>
      <c r="K88" s="74"/>
    </row>
    <row r="89" spans="2:11">
      <c r="B89" s="74"/>
      <c r="C89" s="74"/>
      <c r="D89" s="74"/>
      <c r="E89" s="74"/>
      <c r="F89" s="74"/>
      <c r="G89" s="74"/>
      <c r="H89" s="74"/>
      <c r="I89" s="74"/>
      <c r="J89" s="74"/>
      <c r="K89" s="74"/>
    </row>
    <row r="90" spans="2:11">
      <c r="B90" s="74"/>
      <c r="C90" s="74"/>
      <c r="D90" s="74"/>
      <c r="E90" s="74"/>
      <c r="F90" s="74"/>
      <c r="G90" s="74"/>
      <c r="H90" s="74"/>
      <c r="I90" s="74"/>
      <c r="J90" s="74"/>
      <c r="K90" s="74"/>
    </row>
    <row r="91" spans="2:11">
      <c r="B91" s="74"/>
      <c r="C91" s="74"/>
      <c r="D91" s="74"/>
      <c r="E91" s="74"/>
      <c r="F91" s="74"/>
      <c r="G91" s="74"/>
      <c r="H91" s="74"/>
      <c r="I91" s="74"/>
      <c r="J91" s="74"/>
      <c r="K91" s="74"/>
    </row>
    <row r="92" spans="2:11">
      <c r="B92" s="74"/>
      <c r="C92" s="74"/>
      <c r="D92" s="74"/>
      <c r="E92" s="74"/>
      <c r="F92" s="74"/>
      <c r="G92" s="74"/>
      <c r="H92" s="74"/>
      <c r="I92" s="74"/>
      <c r="J92" s="74"/>
      <c r="K92" s="74"/>
    </row>
    <row r="93" spans="2:11">
      <c r="B93" s="74"/>
      <c r="C93" s="74"/>
      <c r="D93" s="74"/>
      <c r="E93" s="74"/>
      <c r="F93" s="74"/>
      <c r="G93" s="74"/>
      <c r="H93" s="74"/>
      <c r="I93" s="74"/>
      <c r="J93" s="74"/>
      <c r="K93" s="74"/>
    </row>
    <row r="94" spans="2:11">
      <c r="B94" s="74"/>
      <c r="D94" s="74"/>
      <c r="E94" s="74"/>
      <c r="F94" s="74"/>
      <c r="G94" s="74"/>
      <c r="H94" s="74"/>
      <c r="I94" s="74"/>
      <c r="J94" s="74"/>
      <c r="K94" s="74"/>
    </row>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13" ht="9.9499999999999993" customHeight="1"/>
    <row r="114" ht="9.9499999999999993" customHeight="1"/>
    <row r="115" ht="9.9499999999999993" customHeight="1"/>
    <row r="116" ht="9.9499999999999993" customHeight="1"/>
    <row r="117" ht="12" customHeight="1"/>
    <row r="118" ht="9.9499999999999993" customHeight="1"/>
    <row r="144" ht="9.9499999999999993" customHeight="1"/>
    <row r="145" ht="9.9499999999999993" customHeight="1"/>
    <row r="146" ht="9.9499999999999993" customHeight="1"/>
    <row r="147" ht="9.9499999999999993" customHeight="1"/>
    <row r="148" ht="9.9499999999999993" customHeight="1"/>
    <row r="149" ht="12" customHeight="1"/>
    <row r="150" ht="9.9499999999999993" customHeight="1"/>
    <row r="151" ht="9.9499999999999993" customHeight="1"/>
    <row r="152" ht="9.9499999999999993" customHeight="1"/>
    <row r="153" ht="9.9499999999999993" customHeight="1"/>
    <row r="154" ht="12" customHeight="1"/>
    <row r="155" ht="9.9499999999999993" customHeight="1"/>
    <row r="156" ht="9.9499999999999993" customHeight="1"/>
    <row r="157" ht="9.9499999999999993" customHeight="1"/>
    <row r="158" ht="9.9499999999999993" customHeight="1"/>
    <row r="179" ht="12" customHeight="1"/>
    <row r="180" ht="9.9499999999999993" customHeight="1"/>
    <row r="206" ht="9.9499999999999993" customHeight="1"/>
    <row r="207" ht="9.9499999999999993" customHeight="1"/>
    <row r="208" ht="9.9499999999999993" customHeight="1"/>
    <row r="209" ht="12" customHeight="1"/>
    <row r="210" ht="9.9499999999999993" customHeight="1"/>
    <row r="211" ht="9.9499999999999993" customHeight="1"/>
    <row r="212" ht="9.9499999999999993" customHeight="1"/>
    <row r="213" ht="9.9499999999999993" customHeight="1"/>
    <row r="214" ht="9.9499999999999993" customHeight="1"/>
    <row r="215" ht="9.9499999999999993" customHeight="1"/>
  </sheetData>
  <phoneticPr fontId="11" type="noConversion"/>
  <hyperlinks>
    <hyperlink ref="Q76" r:id="rId1" display="www.nces.ed.gov" xr:uid="{00000000-0004-0000-0400-000000000000}"/>
    <hyperlink ref="W76" r:id="rId2" display="www.nces.ed.gov" xr:uid="{00000000-0004-0000-0400-000001000000}"/>
    <hyperlink ref="R76" r:id="rId3" display="www.nces.ed.gov" xr:uid="{00000000-0004-0000-0400-000002000000}"/>
    <hyperlink ref="S76" r:id="rId4" display="www.nces.ed.gov" xr:uid="{00000000-0004-0000-0400-000003000000}"/>
    <hyperlink ref="U76" r:id="rId5" display="www.nces.ed.gov" xr:uid="{00000000-0004-0000-0400-000004000000}"/>
    <hyperlink ref="V76" r:id="rId6" display="www.nces.ed.gov" xr:uid="{00000000-0004-0000-0400-000005000000}"/>
  </hyperlinks>
  <pageMargins left="0.75" right="0.75" top="1" bottom="1" header="0.5" footer="0.5"/>
  <pageSetup orientation="portrait" r:id="rId7"/>
  <headerFooter alignWithMargins="0"/>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CC214"/>
  <sheetViews>
    <sheetView zoomScale="80" zoomScaleNormal="80" workbookViewId="0">
      <pane xSplit="1" ySplit="3" topLeftCell="AS19" activePane="bottomRight" state="frozen"/>
      <selection pane="topRight" activeCell="B1" sqref="B1"/>
      <selection pane="bottomLeft" activeCell="A4" sqref="A4"/>
      <selection pane="bottomRight" activeCell="BZ45" sqref="BZ45"/>
    </sheetView>
  </sheetViews>
  <sheetFormatPr defaultColWidth="9.7109375" defaultRowHeight="12.75"/>
  <cols>
    <col min="1" max="1" width="24.5703125" style="1" customWidth="1"/>
    <col min="2" max="8" width="8.28515625" style="1" customWidth="1"/>
    <col min="9" max="31" width="8.28515625" style="3" customWidth="1"/>
    <col min="32" max="42" width="7.7109375" style="3" customWidth="1"/>
    <col min="43" max="43" width="8.28515625" style="3" customWidth="1"/>
    <col min="44" max="44" width="8.42578125" style="3" customWidth="1"/>
    <col min="45" max="54" width="7.7109375" style="3" customWidth="1"/>
    <col min="55" max="55" width="8.28515625" style="3" customWidth="1"/>
    <col min="56" max="65" width="7.7109375" style="3" customWidth="1"/>
    <col min="66" max="66" width="8.28515625" style="3" bestFit="1" customWidth="1"/>
    <col min="67" max="67" width="7.7109375" style="3" customWidth="1"/>
    <col min="68" max="74" width="8.28515625" style="3" customWidth="1"/>
    <col min="75" max="75" width="9.7109375" style="3"/>
    <col min="76" max="16384" width="9.7109375" style="1"/>
  </cols>
  <sheetData>
    <row r="1" spans="1:81">
      <c r="A1" s="4" t="s">
        <v>219</v>
      </c>
      <c r="B1" s="10"/>
    </row>
    <row r="2" spans="1:81">
      <c r="B2" s="114" t="s">
        <v>42</v>
      </c>
      <c r="C2" s="160" t="s">
        <v>42</v>
      </c>
      <c r="D2" s="160" t="s">
        <v>42</v>
      </c>
      <c r="E2" s="160" t="s">
        <v>42</v>
      </c>
      <c r="F2" s="160" t="s">
        <v>42</v>
      </c>
      <c r="G2" s="160" t="s">
        <v>42</v>
      </c>
      <c r="H2" s="160" t="s">
        <v>42</v>
      </c>
      <c r="I2" s="182" t="s">
        <v>42</v>
      </c>
      <c r="J2" s="182" t="s">
        <v>42</v>
      </c>
      <c r="K2" s="182" t="s">
        <v>42</v>
      </c>
      <c r="L2" s="182" t="s">
        <v>42</v>
      </c>
      <c r="M2" s="182" t="s">
        <v>42</v>
      </c>
      <c r="N2" s="182" t="s">
        <v>42</v>
      </c>
      <c r="O2" s="182" t="s">
        <v>42</v>
      </c>
      <c r="P2" s="182" t="s">
        <v>42</v>
      </c>
      <c r="Q2" s="182" t="s">
        <v>42</v>
      </c>
      <c r="R2" s="182" t="s">
        <v>42</v>
      </c>
      <c r="S2" s="182" t="s">
        <v>42</v>
      </c>
      <c r="T2" s="182" t="s">
        <v>42</v>
      </c>
      <c r="U2" s="182" t="s">
        <v>42</v>
      </c>
      <c r="V2" s="182" t="s">
        <v>42</v>
      </c>
      <c r="W2" s="182" t="s">
        <v>42</v>
      </c>
      <c r="X2" s="182" t="s">
        <v>42</v>
      </c>
      <c r="Y2" s="182" t="s">
        <v>42</v>
      </c>
      <c r="Z2" s="182" t="s">
        <v>42</v>
      </c>
      <c r="AA2" s="182" t="s">
        <v>42</v>
      </c>
      <c r="AB2" s="182" t="s">
        <v>42</v>
      </c>
      <c r="AC2" s="182" t="s">
        <v>42</v>
      </c>
      <c r="AD2" s="182" t="s">
        <v>42</v>
      </c>
      <c r="AE2" s="182" t="s">
        <v>42</v>
      </c>
      <c r="AF2" s="210" t="s">
        <v>76</v>
      </c>
      <c r="AG2" s="211"/>
      <c r="AH2" s="211"/>
      <c r="AI2" s="182" t="s">
        <v>199</v>
      </c>
      <c r="AJ2" s="182" t="s">
        <v>199</v>
      </c>
      <c r="AK2" s="182" t="s">
        <v>199</v>
      </c>
      <c r="AL2" s="182" t="s">
        <v>199</v>
      </c>
      <c r="AM2" s="182" t="s">
        <v>199</v>
      </c>
      <c r="AN2" s="182" t="s">
        <v>199</v>
      </c>
      <c r="AO2" s="182" t="s">
        <v>199</v>
      </c>
      <c r="AP2" s="182" t="s">
        <v>199</v>
      </c>
      <c r="AQ2" s="182" t="s">
        <v>199</v>
      </c>
      <c r="AR2" s="210" t="s">
        <v>77</v>
      </c>
      <c r="AS2" s="211"/>
      <c r="AT2" s="211"/>
      <c r="AU2" s="170" t="s">
        <v>198</v>
      </c>
      <c r="AV2" s="170" t="s">
        <v>198</v>
      </c>
      <c r="AW2" s="170" t="s">
        <v>198</v>
      </c>
      <c r="AX2" s="170" t="s">
        <v>198</v>
      </c>
      <c r="AY2" s="170" t="s">
        <v>198</v>
      </c>
      <c r="AZ2" s="170" t="s">
        <v>198</v>
      </c>
      <c r="BA2" s="170" t="s">
        <v>198</v>
      </c>
      <c r="BB2" s="170" t="s">
        <v>198</v>
      </c>
      <c r="BC2" s="170" t="s">
        <v>198</v>
      </c>
      <c r="BD2" s="210" t="s">
        <v>107</v>
      </c>
      <c r="BE2" s="211"/>
      <c r="BF2" s="211"/>
      <c r="BG2" s="170" t="s">
        <v>107</v>
      </c>
      <c r="BH2" s="170"/>
      <c r="BI2" s="170"/>
      <c r="BJ2" s="170" t="s">
        <v>107</v>
      </c>
      <c r="BK2" s="170"/>
      <c r="BL2" s="170"/>
      <c r="BM2" s="170" t="s">
        <v>107</v>
      </c>
      <c r="BN2" s="170"/>
      <c r="BO2" s="170"/>
      <c r="BP2" s="170" t="s">
        <v>107</v>
      </c>
      <c r="BQ2" s="170"/>
      <c r="BR2" s="170"/>
      <c r="BS2" s="182" t="s">
        <v>107</v>
      </c>
      <c r="BT2" s="182"/>
      <c r="BU2" s="182"/>
      <c r="BV2" s="182" t="s">
        <v>107</v>
      </c>
      <c r="CC2" s="182" t="s">
        <v>107</v>
      </c>
    </row>
    <row r="3" spans="1:81" s="4" customFormat="1">
      <c r="A3" s="158"/>
      <c r="B3" s="159" t="s">
        <v>7</v>
      </c>
      <c r="C3" s="107" t="s">
        <v>8</v>
      </c>
      <c r="D3" s="107" t="s">
        <v>9</v>
      </c>
      <c r="E3" s="107" t="s">
        <v>10</v>
      </c>
      <c r="F3" s="107" t="s">
        <v>11</v>
      </c>
      <c r="G3" s="107" t="s">
        <v>64</v>
      </c>
      <c r="H3" s="107" t="s">
        <v>12</v>
      </c>
      <c r="I3" s="107" t="s">
        <v>65</v>
      </c>
      <c r="J3" s="107" t="s">
        <v>51</v>
      </c>
      <c r="K3" s="107" t="s">
        <v>79</v>
      </c>
      <c r="L3" s="107" t="s">
        <v>108</v>
      </c>
      <c r="M3" s="107" t="s">
        <v>146</v>
      </c>
      <c r="N3" s="107" t="s">
        <v>147</v>
      </c>
      <c r="O3" s="107" t="s">
        <v>170</v>
      </c>
      <c r="P3" s="107" t="s">
        <v>171</v>
      </c>
      <c r="Q3" s="107" t="s">
        <v>156</v>
      </c>
      <c r="R3" s="107" t="s">
        <v>168</v>
      </c>
      <c r="S3" s="107" t="s">
        <v>169</v>
      </c>
      <c r="T3" s="107" t="s">
        <v>180</v>
      </c>
      <c r="U3" s="107" t="s">
        <v>182</v>
      </c>
      <c r="V3" s="107" t="s">
        <v>184</v>
      </c>
      <c r="W3" s="55" t="s">
        <v>190</v>
      </c>
      <c r="X3" s="55" t="s">
        <v>204</v>
      </c>
      <c r="Y3" s="55" t="s">
        <v>205</v>
      </c>
      <c r="Z3" s="202" t="s">
        <v>208</v>
      </c>
      <c r="AA3" s="202" t="s">
        <v>210</v>
      </c>
      <c r="AB3" s="202" t="s">
        <v>221</v>
      </c>
      <c r="AC3" s="202" t="s">
        <v>222</v>
      </c>
      <c r="AD3" s="189" t="s">
        <v>225</v>
      </c>
      <c r="AE3" s="189" t="s">
        <v>226</v>
      </c>
      <c r="AF3" s="159" t="s">
        <v>7</v>
      </c>
      <c r="AG3" s="107" t="s">
        <v>8</v>
      </c>
      <c r="AH3" s="107" t="s">
        <v>9</v>
      </c>
      <c r="AI3" s="107" t="s">
        <v>10</v>
      </c>
      <c r="AJ3" s="107" t="s">
        <v>11</v>
      </c>
      <c r="AK3" s="107" t="s">
        <v>64</v>
      </c>
      <c r="AL3" s="107" t="s">
        <v>12</v>
      </c>
      <c r="AM3" s="107" t="s">
        <v>65</v>
      </c>
      <c r="AN3" s="107" t="s">
        <v>51</v>
      </c>
      <c r="AO3" s="107" t="s">
        <v>79</v>
      </c>
      <c r="AP3" s="107" t="s">
        <v>108</v>
      </c>
      <c r="AQ3" s="107" t="s">
        <v>147</v>
      </c>
      <c r="AR3" s="159" t="s">
        <v>7</v>
      </c>
      <c r="AS3" s="107" t="s">
        <v>8</v>
      </c>
      <c r="AT3" s="107" t="s">
        <v>9</v>
      </c>
      <c r="AU3" s="107" t="s">
        <v>10</v>
      </c>
      <c r="AV3" s="107" t="s">
        <v>11</v>
      </c>
      <c r="AW3" s="107" t="s">
        <v>64</v>
      </c>
      <c r="AX3" s="107" t="s">
        <v>12</v>
      </c>
      <c r="AY3" s="107" t="s">
        <v>65</v>
      </c>
      <c r="AZ3" s="107" t="s">
        <v>51</v>
      </c>
      <c r="BA3" s="107" t="s">
        <v>79</v>
      </c>
      <c r="BB3" s="107" t="s">
        <v>108</v>
      </c>
      <c r="BC3" s="107" t="s">
        <v>147</v>
      </c>
      <c r="BD3" s="159" t="s">
        <v>8</v>
      </c>
      <c r="BE3" s="107" t="s">
        <v>11</v>
      </c>
      <c r="BF3" s="107" t="s">
        <v>64</v>
      </c>
      <c r="BG3" s="107" t="s">
        <v>12</v>
      </c>
      <c r="BH3" s="107" t="s">
        <v>65</v>
      </c>
      <c r="BI3" s="107" t="s">
        <v>51</v>
      </c>
      <c r="BJ3" s="107" t="s">
        <v>79</v>
      </c>
      <c r="BK3" s="107" t="s">
        <v>108</v>
      </c>
      <c r="BL3" s="107" t="s">
        <v>146</v>
      </c>
      <c r="BM3" s="107" t="s">
        <v>147</v>
      </c>
      <c r="BN3" s="107" t="s">
        <v>170</v>
      </c>
      <c r="BO3" s="107" t="s">
        <v>171</v>
      </c>
      <c r="BP3" s="107" t="s">
        <v>156</v>
      </c>
      <c r="BQ3" s="107" t="s">
        <v>168</v>
      </c>
      <c r="BR3" s="107" t="s">
        <v>169</v>
      </c>
      <c r="BS3" s="107" t="s">
        <v>180</v>
      </c>
      <c r="BT3" s="107" t="s">
        <v>182</v>
      </c>
      <c r="BU3" s="55" t="s">
        <v>190</v>
      </c>
      <c r="BV3" s="55" t="s">
        <v>204</v>
      </c>
      <c r="BW3" s="55" t="s">
        <v>205</v>
      </c>
      <c r="BX3" s="4" t="s">
        <v>208</v>
      </c>
      <c r="BY3" s="4" t="s">
        <v>210</v>
      </c>
      <c r="BZ3" s="4" t="s">
        <v>221</v>
      </c>
      <c r="CA3" s="4" t="s">
        <v>222</v>
      </c>
      <c r="CB3" s="188" t="s">
        <v>225</v>
      </c>
      <c r="CC3" s="188" t="s">
        <v>226</v>
      </c>
    </row>
    <row r="4" spans="1:81" s="112" customFormat="1">
      <c r="A4" s="113" t="s">
        <v>188</v>
      </c>
      <c r="B4" s="115">
        <f>28240+7621</f>
        <v>35861</v>
      </c>
      <c r="C4" s="56">
        <f>C5+C23+C38+C52+C63</f>
        <v>32554</v>
      </c>
      <c r="D4" s="56">
        <f>23734+8451</f>
        <v>32185</v>
      </c>
      <c r="E4" s="56">
        <f>24381+8501</f>
        <v>32882</v>
      </c>
      <c r="F4" s="56">
        <f t="shared" ref="F4:L4" si="0">F5+F23+F38+F52+F63</f>
        <v>38673</v>
      </c>
      <c r="G4" s="56">
        <f t="shared" si="0"/>
        <v>41217</v>
      </c>
      <c r="H4" s="56">
        <f t="shared" si="0"/>
        <v>43782</v>
      </c>
      <c r="I4" s="172">
        <f t="shared" si="0"/>
        <v>44848</v>
      </c>
      <c r="J4" s="172">
        <f t="shared" si="0"/>
        <v>49083</v>
      </c>
      <c r="K4" s="172">
        <f t="shared" si="0"/>
        <v>53186</v>
      </c>
      <c r="L4" s="172">
        <f t="shared" si="0"/>
        <v>54000</v>
      </c>
      <c r="M4" s="172"/>
      <c r="N4" s="172">
        <f>N5+N23+N38+N52+N63</f>
        <v>58347</v>
      </c>
      <c r="O4" s="172"/>
      <c r="P4" s="172"/>
      <c r="Q4" s="172">
        <f t="shared" ref="Q4:Y4" si="1">Q5+Q23+Q38+Q52+Q63</f>
        <v>71671</v>
      </c>
      <c r="R4" s="172">
        <f t="shared" si="1"/>
        <v>76807</v>
      </c>
      <c r="S4" s="172">
        <f t="shared" si="1"/>
        <v>80640</v>
      </c>
      <c r="T4" s="172">
        <f t="shared" si="1"/>
        <v>83271</v>
      </c>
      <c r="U4" s="172">
        <f t="shared" si="1"/>
        <v>85882</v>
      </c>
      <c r="V4" s="172">
        <f t="shared" si="1"/>
        <v>89012</v>
      </c>
      <c r="W4" s="172">
        <f t="shared" si="1"/>
        <v>94377</v>
      </c>
      <c r="X4" s="172">
        <f t="shared" si="1"/>
        <v>104635</v>
      </c>
      <c r="Y4" s="172">
        <f t="shared" si="1"/>
        <v>109375</v>
      </c>
      <c r="Z4" s="172">
        <f t="shared" ref="Z4:AA4" si="2">Z5+Z23+Z38+Z52+Z63</f>
        <v>127822</v>
      </c>
      <c r="AA4" s="172">
        <f t="shared" si="2"/>
        <v>125389</v>
      </c>
      <c r="AB4" s="172">
        <f t="shared" ref="AB4:AC4" si="3">AB5+AB23+AB38+AB52+AB63</f>
        <v>0</v>
      </c>
      <c r="AC4" s="172">
        <f t="shared" si="3"/>
        <v>128178</v>
      </c>
      <c r="AD4" s="172">
        <f t="shared" ref="AD4:AE4" si="4">AD5+AD23+AD38+AD52+AD63</f>
        <v>125905</v>
      </c>
      <c r="AE4" s="172">
        <f t="shared" si="4"/>
        <v>122827</v>
      </c>
      <c r="AF4" s="171">
        <v>7850</v>
      </c>
      <c r="AG4" s="172">
        <f>AG5+AG23+AG38+AG52+AG63</f>
        <v>5532</v>
      </c>
      <c r="AH4" s="172">
        <v>5240</v>
      </c>
      <c r="AI4" s="172">
        <v>5579</v>
      </c>
      <c r="AJ4" s="172">
        <f t="shared" ref="AJ4:AQ4" si="5">AJ5+AJ23+AJ38+AJ52+AJ63</f>
        <v>6679</v>
      </c>
      <c r="AK4" s="172">
        <f t="shared" si="5"/>
        <v>6991</v>
      </c>
      <c r="AL4" s="172">
        <f t="shared" si="5"/>
        <v>4526</v>
      </c>
      <c r="AM4" s="172">
        <f t="shared" si="5"/>
        <v>5414</v>
      </c>
      <c r="AN4" s="172">
        <f t="shared" si="5"/>
        <v>5259</v>
      </c>
      <c r="AO4" s="172">
        <f t="shared" si="5"/>
        <v>6696</v>
      </c>
      <c r="AP4" s="172">
        <f t="shared" si="5"/>
        <v>6645</v>
      </c>
      <c r="AQ4" s="172">
        <f t="shared" si="5"/>
        <v>7333</v>
      </c>
      <c r="AR4" s="171"/>
      <c r="AS4" s="172">
        <f>AS5+AS23+AS38+AS52+AS63</f>
        <v>870</v>
      </c>
      <c r="AT4" s="172">
        <v>848</v>
      </c>
      <c r="AU4" s="172">
        <v>940</v>
      </c>
      <c r="AV4" s="172">
        <f t="shared" ref="AV4:BK4" si="6">AV5+AV23+AV38+AV52+AV63</f>
        <v>939</v>
      </c>
      <c r="AW4" s="172">
        <f t="shared" si="6"/>
        <v>1338</v>
      </c>
      <c r="AX4" s="172">
        <f t="shared" si="6"/>
        <v>1305</v>
      </c>
      <c r="AY4" s="172">
        <f t="shared" si="6"/>
        <v>1295</v>
      </c>
      <c r="AZ4" s="172">
        <f t="shared" si="6"/>
        <v>1437</v>
      </c>
      <c r="BA4" s="172">
        <f t="shared" si="6"/>
        <v>1430</v>
      </c>
      <c r="BB4" s="172">
        <f t="shared" si="6"/>
        <v>1509</v>
      </c>
      <c r="BC4" s="172">
        <f t="shared" si="6"/>
        <v>1497</v>
      </c>
      <c r="BD4" s="171">
        <f t="shared" si="6"/>
        <v>3825</v>
      </c>
      <c r="BE4" s="172">
        <f t="shared" si="6"/>
        <v>3906</v>
      </c>
      <c r="BF4" s="172">
        <f t="shared" si="6"/>
        <v>3842</v>
      </c>
      <c r="BG4" s="172">
        <f t="shared" si="6"/>
        <v>3712</v>
      </c>
      <c r="BH4" s="172">
        <f t="shared" si="6"/>
        <v>3731</v>
      </c>
      <c r="BI4" s="172">
        <f t="shared" si="6"/>
        <v>3939</v>
      </c>
      <c r="BJ4" s="172">
        <f t="shared" si="6"/>
        <v>4684</v>
      </c>
      <c r="BK4" s="172">
        <f t="shared" si="6"/>
        <v>4833</v>
      </c>
      <c r="BL4" s="172"/>
      <c r="BM4" s="172">
        <f>BM5+BM23+BM38+BM52+BM63</f>
        <v>5370</v>
      </c>
      <c r="BN4" s="172"/>
      <c r="BO4" s="172"/>
      <c r="BP4" s="172">
        <f t="shared" ref="BP4:BW4" si="7">BP5+BP23+BP38+BP52+BP63</f>
        <v>11478</v>
      </c>
      <c r="BQ4" s="172">
        <f t="shared" si="7"/>
        <v>11910</v>
      </c>
      <c r="BR4" s="172">
        <f t="shared" si="7"/>
        <v>14140</v>
      </c>
      <c r="BS4" s="172">
        <f t="shared" si="7"/>
        <v>15259</v>
      </c>
      <c r="BT4" s="172">
        <f t="shared" si="7"/>
        <v>16410</v>
      </c>
      <c r="BU4" s="172">
        <f t="shared" si="7"/>
        <v>17179</v>
      </c>
      <c r="BV4" s="172">
        <f t="shared" si="7"/>
        <v>18483</v>
      </c>
      <c r="BW4" s="172">
        <f t="shared" si="7"/>
        <v>21693</v>
      </c>
      <c r="BX4" s="172">
        <f t="shared" ref="BX4:BY4" si="8">BX5+BX23+BX38+BX52+BX63</f>
        <v>24193</v>
      </c>
      <c r="BY4" s="172">
        <f t="shared" si="8"/>
        <v>24324</v>
      </c>
      <c r="BZ4" s="172">
        <f t="shared" ref="BZ4:CA4" si="9">BZ5+BZ23+BZ38+BZ52+BZ63</f>
        <v>0</v>
      </c>
      <c r="CA4" s="172">
        <f t="shared" si="9"/>
        <v>10963</v>
      </c>
      <c r="CB4" s="172">
        <f t="shared" ref="CB4:CC4" si="10">CB5+CB23+CB38+CB52+CB63</f>
        <v>21777</v>
      </c>
      <c r="CC4" s="172">
        <f t="shared" si="10"/>
        <v>17127</v>
      </c>
    </row>
    <row r="5" spans="1:81" s="112" customFormat="1">
      <c r="A5" s="111" t="s">
        <v>70</v>
      </c>
      <c r="B5" s="116">
        <f>SUM(B7:B22)</f>
        <v>14096</v>
      </c>
      <c r="C5" s="59">
        <f>SUM(C7:C22)</f>
        <v>14678</v>
      </c>
      <c r="D5" s="59">
        <f>SUM(D7:D22)</f>
        <v>15424</v>
      </c>
      <c r="E5" s="59">
        <f>SUM(E7:E22)</f>
        <v>15370</v>
      </c>
      <c r="F5" s="59">
        <f t="shared" ref="F5:L5" si="11">SUM(F7:F22)</f>
        <v>16603</v>
      </c>
      <c r="G5" s="59">
        <f t="shared" si="11"/>
        <v>17294</v>
      </c>
      <c r="H5" s="59">
        <f t="shared" si="11"/>
        <v>18535</v>
      </c>
      <c r="I5" s="174">
        <f t="shared" si="11"/>
        <v>19126</v>
      </c>
      <c r="J5" s="174">
        <f t="shared" si="11"/>
        <v>21289</v>
      </c>
      <c r="K5" s="174">
        <f t="shared" si="11"/>
        <v>23318</v>
      </c>
      <c r="L5" s="174">
        <f t="shared" si="11"/>
        <v>24625</v>
      </c>
      <c r="M5" s="174"/>
      <c r="N5" s="174">
        <f>SUM(N7:N22)</f>
        <v>27599</v>
      </c>
      <c r="O5" s="174"/>
      <c r="P5" s="174"/>
      <c r="Q5" s="174">
        <f>SUM(Q7:Q22)</f>
        <v>35936</v>
      </c>
      <c r="R5" s="174">
        <f>SUM(R7:R22)</f>
        <v>39424</v>
      </c>
      <c r="S5" s="174">
        <f>SUM(S7:S22)</f>
        <v>41593</v>
      </c>
      <c r="T5" s="174">
        <f>SUM(T7:T22)</f>
        <v>42861</v>
      </c>
      <c r="U5" s="174">
        <f t="shared" ref="U5:AI5" si="12">SUM(U7:U22)</f>
        <v>43217</v>
      </c>
      <c r="V5" s="174">
        <f t="shared" si="12"/>
        <v>44770</v>
      </c>
      <c r="W5" s="174">
        <f t="shared" si="12"/>
        <v>46378</v>
      </c>
      <c r="X5" s="174">
        <f t="shared" ref="X5:Y5" si="13">SUM(X7:X22)</f>
        <v>52158</v>
      </c>
      <c r="Y5" s="174">
        <f t="shared" si="13"/>
        <v>59765</v>
      </c>
      <c r="Z5" s="174">
        <f t="shared" ref="Z5:AA5" si="14">SUM(Z7:Z22)</f>
        <v>68267</v>
      </c>
      <c r="AA5" s="174">
        <f t="shared" si="14"/>
        <v>66714</v>
      </c>
      <c r="AB5" s="174">
        <f t="shared" ref="AB5:AC5" si="15">SUM(AB7:AB22)</f>
        <v>0</v>
      </c>
      <c r="AC5" s="174">
        <f t="shared" si="15"/>
        <v>69086</v>
      </c>
      <c r="AD5" s="174">
        <f t="shared" ref="AD5:AE5" si="16">SUM(AD7:AD22)</f>
        <v>68878</v>
      </c>
      <c r="AE5" s="174">
        <f t="shared" si="16"/>
        <v>68030</v>
      </c>
      <c r="AF5" s="173">
        <f t="shared" si="12"/>
        <v>2250</v>
      </c>
      <c r="AG5" s="174">
        <f t="shared" si="12"/>
        <v>2469</v>
      </c>
      <c r="AH5" s="174">
        <f t="shared" si="12"/>
        <v>2736</v>
      </c>
      <c r="AI5" s="174">
        <f t="shared" si="12"/>
        <v>2822</v>
      </c>
      <c r="AJ5" s="174">
        <f t="shared" ref="AJ5:AQ5" si="17">SUM(AJ7:AJ22)</f>
        <v>2703</v>
      </c>
      <c r="AK5" s="174">
        <f t="shared" si="17"/>
        <v>2537</v>
      </c>
      <c r="AL5" s="174">
        <f t="shared" si="17"/>
        <v>2652</v>
      </c>
      <c r="AM5" s="174">
        <f t="shared" si="17"/>
        <v>2751</v>
      </c>
      <c r="AN5" s="174">
        <f t="shared" si="17"/>
        <v>3054</v>
      </c>
      <c r="AO5" s="174">
        <f t="shared" si="17"/>
        <v>3458</v>
      </c>
      <c r="AP5" s="174">
        <f t="shared" si="17"/>
        <v>3625</v>
      </c>
      <c r="AQ5" s="174">
        <f t="shared" si="17"/>
        <v>3574</v>
      </c>
      <c r="AR5" s="173"/>
      <c r="AS5" s="174">
        <f>SUM(AS7:AS22)</f>
        <v>856</v>
      </c>
      <c r="AT5" s="174">
        <f>SUM(AT7:AT22)</f>
        <v>836</v>
      </c>
      <c r="AU5" s="174">
        <f>SUM(AU7:AU22)</f>
        <v>929</v>
      </c>
      <c r="AV5" s="174">
        <f t="shared" ref="AV5:BK5" si="18">SUM(AV7:AV22)</f>
        <v>928</v>
      </c>
      <c r="AW5" s="174">
        <f t="shared" si="18"/>
        <v>1126</v>
      </c>
      <c r="AX5" s="174">
        <f t="shared" si="18"/>
        <v>1110</v>
      </c>
      <c r="AY5" s="174">
        <f t="shared" si="18"/>
        <v>1215</v>
      </c>
      <c r="AZ5" s="174">
        <f t="shared" si="18"/>
        <v>1201</v>
      </c>
      <c r="BA5" s="174">
        <f t="shared" si="18"/>
        <v>1241</v>
      </c>
      <c r="BB5" s="174">
        <f t="shared" si="18"/>
        <v>1364</v>
      </c>
      <c r="BC5" s="174">
        <f t="shared" si="18"/>
        <v>1357</v>
      </c>
      <c r="BD5" s="173">
        <f t="shared" si="18"/>
        <v>2469</v>
      </c>
      <c r="BE5" s="174">
        <f t="shared" si="18"/>
        <v>2703</v>
      </c>
      <c r="BF5" s="174">
        <f t="shared" si="18"/>
        <v>2615</v>
      </c>
      <c r="BG5" s="174">
        <f t="shared" si="18"/>
        <v>2710</v>
      </c>
      <c r="BH5" s="174">
        <f t="shared" si="18"/>
        <v>2821</v>
      </c>
      <c r="BI5" s="174">
        <f t="shared" si="18"/>
        <v>3115</v>
      </c>
      <c r="BJ5" s="174">
        <f t="shared" si="18"/>
        <v>3538</v>
      </c>
      <c r="BK5" s="174">
        <f t="shared" si="18"/>
        <v>3710</v>
      </c>
      <c r="BL5" s="174"/>
      <c r="BM5" s="174">
        <f>SUM(BM7:BM22)</f>
        <v>3666</v>
      </c>
      <c r="BN5" s="174"/>
      <c r="BO5" s="174"/>
      <c r="BP5" s="174">
        <f t="shared" ref="BP5:BW5" si="19">SUM(BP7:BP22)</f>
        <v>6543</v>
      </c>
      <c r="BQ5" s="174">
        <f t="shared" si="19"/>
        <v>7508</v>
      </c>
      <c r="BR5" s="174">
        <f t="shared" si="19"/>
        <v>8411</v>
      </c>
      <c r="BS5" s="174">
        <f t="shared" si="19"/>
        <v>9651</v>
      </c>
      <c r="BT5" s="174">
        <f t="shared" si="19"/>
        <v>9690</v>
      </c>
      <c r="BU5" s="174">
        <f t="shared" si="19"/>
        <v>9849</v>
      </c>
      <c r="BV5" s="174">
        <f t="shared" si="19"/>
        <v>11926</v>
      </c>
      <c r="BW5" s="174">
        <f t="shared" si="19"/>
        <v>14790</v>
      </c>
      <c r="BX5" s="174">
        <f t="shared" ref="BX5:BY5" si="20">SUM(BX7:BX22)</f>
        <v>16634</v>
      </c>
      <c r="BY5" s="174">
        <f t="shared" si="20"/>
        <v>16450</v>
      </c>
      <c r="BZ5" s="174">
        <f t="shared" ref="BZ5:CA5" si="21">SUM(BZ7:BZ22)</f>
        <v>0</v>
      </c>
      <c r="CA5" s="174">
        <f t="shared" si="21"/>
        <v>8388</v>
      </c>
      <c r="CB5" s="174">
        <f t="shared" ref="CB5:CC5" si="22">SUM(CB7:CB22)</f>
        <v>14958</v>
      </c>
      <c r="CC5" s="174">
        <f t="shared" si="22"/>
        <v>12121</v>
      </c>
    </row>
    <row r="6" spans="1:81" s="112" customFormat="1">
      <c r="A6" s="58" t="s">
        <v>189</v>
      </c>
      <c r="B6" s="117">
        <f>B5/B4</f>
        <v>0.39307325506817992</v>
      </c>
      <c r="C6" s="58">
        <f>(C5/C$4)*100</f>
        <v>45.088161209068012</v>
      </c>
      <c r="D6" s="58">
        <f t="shared" ref="D6:BU6" si="23">(D5/D$4)*100</f>
        <v>47.92294547149293</v>
      </c>
      <c r="E6" s="58">
        <f t="shared" si="23"/>
        <v>46.742898850434891</v>
      </c>
      <c r="F6" s="58">
        <f t="shared" si="23"/>
        <v>42.931761177048585</v>
      </c>
      <c r="G6" s="58">
        <f t="shared" si="23"/>
        <v>41.958415217022107</v>
      </c>
      <c r="H6" s="58">
        <f t="shared" si="23"/>
        <v>42.334749440409304</v>
      </c>
      <c r="I6" s="176">
        <f t="shared" si="23"/>
        <v>42.646271851587585</v>
      </c>
      <c r="J6" s="176">
        <f t="shared" si="23"/>
        <v>43.37346942933398</v>
      </c>
      <c r="K6" s="176">
        <f t="shared" si="23"/>
        <v>43.842364532019708</v>
      </c>
      <c r="L6" s="176">
        <f t="shared" si="23"/>
        <v>45.601851851851855</v>
      </c>
      <c r="M6" s="176"/>
      <c r="N6" s="176">
        <f t="shared" si="23"/>
        <v>47.301489365348694</v>
      </c>
      <c r="O6" s="176"/>
      <c r="P6" s="176"/>
      <c r="Q6" s="176">
        <f t="shared" si="23"/>
        <v>50.140224079474258</v>
      </c>
      <c r="R6" s="176">
        <f t="shared" si="23"/>
        <v>51.328654940304915</v>
      </c>
      <c r="S6" s="176">
        <f t="shared" si="23"/>
        <v>51.578621031746032</v>
      </c>
      <c r="T6" s="176">
        <f t="shared" ref="T6" si="24">(T5/T$4)*100</f>
        <v>51.471700832222503</v>
      </c>
      <c r="U6" s="176">
        <f t="shared" si="23"/>
        <v>50.32137118371719</v>
      </c>
      <c r="V6" s="176">
        <f t="shared" si="23"/>
        <v>50.296589223924862</v>
      </c>
      <c r="W6" s="176">
        <f t="shared" si="23"/>
        <v>49.141210252497956</v>
      </c>
      <c r="X6" s="176">
        <f t="shared" ref="X6:Y6" si="25">(X5/X$4)*100</f>
        <v>49.847565346203467</v>
      </c>
      <c r="Y6" s="176">
        <f t="shared" si="25"/>
        <v>54.642285714285713</v>
      </c>
      <c r="Z6" s="176">
        <f t="shared" ref="Z6:AA6" si="26">(Z5/Z$4)*100</f>
        <v>53.407864060959774</v>
      </c>
      <c r="AA6" s="176">
        <f t="shared" si="26"/>
        <v>53.205624097807622</v>
      </c>
      <c r="AB6" s="176" t="e">
        <f t="shared" ref="AB6:AC6" si="27">(AB5/AB$4)*100</f>
        <v>#DIV/0!</v>
      </c>
      <c r="AC6" s="176">
        <f t="shared" si="27"/>
        <v>53.898484919408951</v>
      </c>
      <c r="AD6" s="176">
        <f t="shared" ref="AD6:AE6" si="28">(AD5/AD$4)*100</f>
        <v>54.706326198324128</v>
      </c>
      <c r="AE6" s="176">
        <f t="shared" si="28"/>
        <v>55.386844911949332</v>
      </c>
      <c r="AF6" s="175">
        <f t="shared" si="23"/>
        <v>28.662420382165603</v>
      </c>
      <c r="AG6" s="176">
        <f t="shared" si="23"/>
        <v>44.631236442516268</v>
      </c>
      <c r="AH6" s="176">
        <f t="shared" si="23"/>
        <v>52.213740458015266</v>
      </c>
      <c r="AI6" s="176">
        <f t="shared" si="23"/>
        <v>50.58254167413515</v>
      </c>
      <c r="AJ6" s="176">
        <f t="shared" si="23"/>
        <v>40.470130259020806</v>
      </c>
      <c r="AK6" s="176">
        <f t="shared" si="23"/>
        <v>36.289515090831074</v>
      </c>
      <c r="AL6" s="176">
        <f t="shared" si="23"/>
        <v>58.594785682722048</v>
      </c>
      <c r="AM6" s="176">
        <f t="shared" si="23"/>
        <v>50.812707794606574</v>
      </c>
      <c r="AN6" s="176">
        <f t="shared" si="23"/>
        <v>58.071876782658308</v>
      </c>
      <c r="AO6" s="176">
        <f t="shared" si="23"/>
        <v>51.642771804062129</v>
      </c>
      <c r="AP6" s="176">
        <f t="shared" si="23"/>
        <v>54.552294958615498</v>
      </c>
      <c r="AQ6" s="176">
        <f t="shared" si="23"/>
        <v>48.738579026319378</v>
      </c>
      <c r="AR6" s="175"/>
      <c r="AS6" s="176">
        <f t="shared" si="23"/>
        <v>98.390804597701148</v>
      </c>
      <c r="AT6" s="176">
        <f t="shared" si="23"/>
        <v>98.584905660377359</v>
      </c>
      <c r="AU6" s="176">
        <f t="shared" si="23"/>
        <v>98.829787234042556</v>
      </c>
      <c r="AV6" s="176">
        <f t="shared" si="23"/>
        <v>98.828541001064963</v>
      </c>
      <c r="AW6" s="176">
        <f t="shared" si="23"/>
        <v>84.155455904334829</v>
      </c>
      <c r="AX6" s="176">
        <f t="shared" si="23"/>
        <v>85.057471264367805</v>
      </c>
      <c r="AY6" s="176">
        <f t="shared" si="23"/>
        <v>93.822393822393821</v>
      </c>
      <c r="AZ6" s="176">
        <f t="shared" si="23"/>
        <v>83.576896311760621</v>
      </c>
      <c r="BA6" s="176">
        <f t="shared" si="23"/>
        <v>86.783216783216787</v>
      </c>
      <c r="BB6" s="176">
        <f t="shared" si="23"/>
        <v>90.390987408880051</v>
      </c>
      <c r="BC6" s="176">
        <f t="shared" si="23"/>
        <v>90.647962591850373</v>
      </c>
      <c r="BD6" s="175">
        <f t="shared" si="23"/>
        <v>64.549019607843135</v>
      </c>
      <c r="BE6" s="176">
        <f t="shared" si="23"/>
        <v>69.201228878648237</v>
      </c>
      <c r="BF6" s="176">
        <f t="shared" si="23"/>
        <v>68.063508589276424</v>
      </c>
      <c r="BG6" s="176">
        <f t="shared" si="23"/>
        <v>73.006465517241381</v>
      </c>
      <c r="BH6" s="176">
        <f t="shared" si="23"/>
        <v>75.609756097560975</v>
      </c>
      <c r="BI6" s="176">
        <f t="shared" si="23"/>
        <v>79.080985021579082</v>
      </c>
      <c r="BJ6" s="176">
        <f t="shared" si="23"/>
        <v>75.53373185311699</v>
      </c>
      <c r="BK6" s="176">
        <f t="shared" si="23"/>
        <v>76.76391475274157</v>
      </c>
      <c r="BL6" s="176"/>
      <c r="BM6" s="176">
        <f t="shared" si="23"/>
        <v>68.268156424581008</v>
      </c>
      <c r="BN6" s="176"/>
      <c r="BO6" s="176"/>
      <c r="BP6" s="176">
        <f t="shared" si="23"/>
        <v>57.004704652378472</v>
      </c>
      <c r="BQ6" s="176">
        <f t="shared" si="23"/>
        <v>63.039462636439971</v>
      </c>
      <c r="BR6" s="176">
        <f t="shared" si="23"/>
        <v>59.483734087694486</v>
      </c>
      <c r="BS6" s="176">
        <f t="shared" ref="BS6" si="29">(BS5/BS$4)*100</f>
        <v>63.247919260764142</v>
      </c>
      <c r="BT6" s="176">
        <f t="shared" si="23"/>
        <v>59.049360146252283</v>
      </c>
      <c r="BU6" s="176">
        <f t="shared" si="23"/>
        <v>57.331625822224808</v>
      </c>
      <c r="BV6" s="176">
        <f t="shared" ref="BV6:BW6" si="30">(BV5/BV$4)*100</f>
        <v>64.524157333766169</v>
      </c>
      <c r="BW6" s="176">
        <f t="shared" si="30"/>
        <v>68.178675148665462</v>
      </c>
      <c r="BX6" s="176">
        <f t="shared" ref="BX6:BY6" si="31">(BX5/BX$4)*100</f>
        <v>68.755425122969456</v>
      </c>
      <c r="BY6" s="176">
        <f t="shared" si="31"/>
        <v>67.628679493504364</v>
      </c>
      <c r="BZ6" s="176" t="e">
        <f t="shared" ref="BZ6:CA6" si="32">(BZ5/BZ$4)*100</f>
        <v>#DIV/0!</v>
      </c>
      <c r="CA6" s="176">
        <f t="shared" si="32"/>
        <v>76.511903676001097</v>
      </c>
      <c r="CB6" s="176">
        <f t="shared" ref="CB6:CC6" si="33">(CB5/CB$4)*100</f>
        <v>68.687146989943514</v>
      </c>
      <c r="CC6" s="176">
        <f t="shared" si="33"/>
        <v>70.771296782857476</v>
      </c>
    </row>
    <row r="7" spans="1:81">
      <c r="A7" s="46" t="s">
        <v>14</v>
      </c>
      <c r="B7" s="118">
        <f>794+345</f>
        <v>1139</v>
      </c>
      <c r="C7" s="109">
        <v>1453</v>
      </c>
      <c r="D7" s="109">
        <f>851+482</f>
        <v>1333</v>
      </c>
      <c r="E7" s="109">
        <f>863+347</f>
        <v>1210</v>
      </c>
      <c r="F7" s="109">
        <v>1242</v>
      </c>
      <c r="G7" s="109">
        <v>1358</v>
      </c>
      <c r="H7" s="109">
        <v>1354</v>
      </c>
      <c r="I7" s="178">
        <v>1401</v>
      </c>
      <c r="J7" s="178">
        <v>1584</v>
      </c>
      <c r="K7" s="178">
        <v>1806</v>
      </c>
      <c r="L7" s="178">
        <v>2038</v>
      </c>
      <c r="M7" s="178"/>
      <c r="N7" s="178">
        <v>2315</v>
      </c>
      <c r="O7" s="178"/>
      <c r="P7" s="178"/>
      <c r="Q7" s="178">
        <v>2504</v>
      </c>
      <c r="R7" s="178">
        <v>2438</v>
      </c>
      <c r="S7" s="178">
        <v>2516</v>
      </c>
      <c r="T7" s="178">
        <v>2353</v>
      </c>
      <c r="U7" s="178">
        <v>2163</v>
      </c>
      <c r="V7" s="178">
        <v>2360</v>
      </c>
      <c r="W7" s="178">
        <v>2381</v>
      </c>
      <c r="X7" s="178">
        <v>2590</v>
      </c>
      <c r="Y7" s="178">
        <v>3165</v>
      </c>
      <c r="Z7" s="178">
        <v>3550</v>
      </c>
      <c r="AA7" s="178">
        <v>3473</v>
      </c>
      <c r="AB7" s="178"/>
      <c r="AC7" s="178">
        <v>2964</v>
      </c>
      <c r="AD7" s="178">
        <v>2728</v>
      </c>
      <c r="AE7" s="178">
        <v>2659</v>
      </c>
      <c r="AF7" s="177">
        <v>457</v>
      </c>
      <c r="AG7" s="178">
        <v>643</v>
      </c>
      <c r="AH7" s="178">
        <v>588</v>
      </c>
      <c r="AI7" s="178">
        <v>533</v>
      </c>
      <c r="AJ7" s="178">
        <v>416</v>
      </c>
      <c r="AK7" s="178">
        <v>421</v>
      </c>
      <c r="AL7" s="178">
        <v>462</v>
      </c>
      <c r="AM7" s="178">
        <v>487</v>
      </c>
      <c r="AN7" s="178">
        <v>499</v>
      </c>
      <c r="AO7" s="178">
        <v>554</v>
      </c>
      <c r="AP7" s="178">
        <v>712</v>
      </c>
      <c r="AQ7" s="178">
        <v>450</v>
      </c>
      <c r="AR7" s="177"/>
      <c r="AS7" s="178">
        <v>377</v>
      </c>
      <c r="AT7" s="178">
        <v>269</v>
      </c>
      <c r="AU7" s="178">
        <v>268</v>
      </c>
      <c r="AV7" s="178">
        <v>303</v>
      </c>
      <c r="AW7" s="178">
        <v>409</v>
      </c>
      <c r="AX7" s="178">
        <v>455</v>
      </c>
      <c r="AY7" s="178">
        <v>462</v>
      </c>
      <c r="AZ7" s="178">
        <v>472</v>
      </c>
      <c r="BA7" s="178">
        <v>466</v>
      </c>
      <c r="BB7" s="178">
        <v>640</v>
      </c>
      <c r="BC7" s="178">
        <v>447</v>
      </c>
      <c r="BD7" s="177">
        <f t="shared" ref="BD7:BD22" si="34">IF(AG7&gt;AS7,(AG7),(AS7))</f>
        <v>643</v>
      </c>
      <c r="BE7" s="178">
        <f t="shared" ref="BE7:BE22" si="35">IF(AJ7&gt;AV7,(AJ7),(AV7))</f>
        <v>416</v>
      </c>
      <c r="BF7" s="178">
        <f t="shared" ref="BF7:BF22" si="36">IF(AK7&gt;AW7,(AK7),(AW7))</f>
        <v>421</v>
      </c>
      <c r="BG7" s="178">
        <f t="shared" ref="BG7:BG22" si="37">IF(AL7&gt;AX7,(AL7),(AX7))</f>
        <v>462</v>
      </c>
      <c r="BH7" s="178">
        <f t="shared" ref="BH7:BH22" si="38">IF(AM7&gt;AY7,(AM7),(AY7))</f>
        <v>487</v>
      </c>
      <c r="BI7" s="178">
        <f t="shared" ref="BI7:BI22" si="39">IF(AN7&gt;AZ7,(AN7),(AZ7))</f>
        <v>499</v>
      </c>
      <c r="BJ7" s="178">
        <f t="shared" ref="BJ7:BJ22" si="40">IF(AO7&gt;BA7,(AO7),(BA7))</f>
        <v>554</v>
      </c>
      <c r="BK7" s="178">
        <f t="shared" ref="BK7:BK22" si="41">IF(AP7&gt;BB7,(AP7),(BB7))</f>
        <v>712</v>
      </c>
      <c r="BL7" s="178"/>
      <c r="BM7" s="178">
        <f t="shared" ref="BM7:BM22" si="42">IF(AQ7&gt;BC7,(AQ7),(BC7))</f>
        <v>450</v>
      </c>
      <c r="BN7" s="178"/>
      <c r="BO7" s="178"/>
      <c r="BP7" s="178">
        <v>968</v>
      </c>
      <c r="BQ7" s="178">
        <v>1059</v>
      </c>
      <c r="BR7" s="178">
        <v>1150</v>
      </c>
      <c r="BS7" s="178">
        <v>1185</v>
      </c>
      <c r="BT7" s="178">
        <v>1094</v>
      </c>
      <c r="BU7" s="178">
        <v>1095</v>
      </c>
      <c r="BV7" s="178">
        <v>1138</v>
      </c>
      <c r="BW7" s="3">
        <v>1613</v>
      </c>
      <c r="BX7" s="1">
        <v>1779</v>
      </c>
      <c r="BY7" s="1">
        <v>1608</v>
      </c>
      <c r="CA7" s="1">
        <v>1173</v>
      </c>
      <c r="CB7" s="1">
        <v>1363</v>
      </c>
      <c r="CC7" s="1">
        <v>1198</v>
      </c>
    </row>
    <row r="8" spans="1:81">
      <c r="A8" s="46" t="s">
        <v>15</v>
      </c>
      <c r="B8" s="118">
        <f>157+75</f>
        <v>232</v>
      </c>
      <c r="C8" s="109">
        <v>299</v>
      </c>
      <c r="D8" s="109">
        <f>140+175</f>
        <v>315</v>
      </c>
      <c r="E8" s="109">
        <f>166+217</f>
        <v>383</v>
      </c>
      <c r="F8" s="109">
        <v>239</v>
      </c>
      <c r="G8" s="109">
        <v>280</v>
      </c>
      <c r="H8" s="109">
        <v>245</v>
      </c>
      <c r="I8" s="178">
        <v>216</v>
      </c>
      <c r="J8" s="178">
        <v>262</v>
      </c>
      <c r="K8" s="178">
        <v>360</v>
      </c>
      <c r="L8" s="178">
        <v>306</v>
      </c>
      <c r="M8" s="178"/>
      <c r="N8" s="178">
        <v>511</v>
      </c>
      <c r="O8" s="178"/>
      <c r="P8" s="178"/>
      <c r="Q8" s="178">
        <v>756</v>
      </c>
      <c r="R8" s="178">
        <v>793</v>
      </c>
      <c r="S8" s="178">
        <v>865</v>
      </c>
      <c r="T8" s="178">
        <v>911</v>
      </c>
      <c r="U8" s="178">
        <v>941</v>
      </c>
      <c r="V8" s="178">
        <v>898</v>
      </c>
      <c r="W8" s="178">
        <v>1059</v>
      </c>
      <c r="X8" s="178">
        <v>1145</v>
      </c>
      <c r="Y8" s="178">
        <v>1466</v>
      </c>
      <c r="Z8" s="178">
        <v>1412</v>
      </c>
      <c r="AA8" s="178">
        <v>1436</v>
      </c>
      <c r="AB8" s="178"/>
      <c r="AC8" s="178">
        <v>1521</v>
      </c>
      <c r="AD8" s="178">
        <v>1504</v>
      </c>
      <c r="AE8" s="178">
        <v>1443</v>
      </c>
      <c r="AF8" s="177">
        <v>51</v>
      </c>
      <c r="AG8" s="178">
        <v>14</v>
      </c>
      <c r="AH8" s="178">
        <v>17</v>
      </c>
      <c r="AI8" s="178">
        <v>18</v>
      </c>
      <c r="AJ8" s="178">
        <v>13</v>
      </c>
      <c r="AK8" s="178">
        <v>11</v>
      </c>
      <c r="AL8" s="178">
        <v>20</v>
      </c>
      <c r="AM8" s="178">
        <v>19</v>
      </c>
      <c r="AN8" s="178">
        <v>60</v>
      </c>
      <c r="AO8" s="178">
        <v>25</v>
      </c>
      <c r="AP8" s="178" t="s">
        <v>52</v>
      </c>
      <c r="AQ8" s="178" t="s">
        <v>52</v>
      </c>
      <c r="AR8" s="177"/>
      <c r="AS8" s="178">
        <v>14</v>
      </c>
      <c r="AT8" s="178">
        <v>17</v>
      </c>
      <c r="AU8" s="178">
        <v>18</v>
      </c>
      <c r="AV8" s="178">
        <v>13</v>
      </c>
      <c r="AW8" s="178">
        <v>11</v>
      </c>
      <c r="AX8" s="178">
        <v>20</v>
      </c>
      <c r="AY8" s="178">
        <v>19</v>
      </c>
      <c r="AZ8" s="178">
        <v>30</v>
      </c>
      <c r="BA8" s="178">
        <v>25</v>
      </c>
      <c r="BB8" s="178">
        <v>0</v>
      </c>
      <c r="BC8" s="178">
        <v>0</v>
      </c>
      <c r="BD8" s="177">
        <f t="shared" si="34"/>
        <v>14</v>
      </c>
      <c r="BE8" s="178">
        <f t="shared" si="35"/>
        <v>13</v>
      </c>
      <c r="BF8" s="178">
        <f t="shared" si="36"/>
        <v>11</v>
      </c>
      <c r="BG8" s="178">
        <f t="shared" si="37"/>
        <v>20</v>
      </c>
      <c r="BH8" s="178">
        <f t="shared" si="38"/>
        <v>19</v>
      </c>
      <c r="BI8" s="178">
        <f t="shared" si="39"/>
        <v>60</v>
      </c>
      <c r="BJ8" s="178">
        <f t="shared" si="40"/>
        <v>25</v>
      </c>
      <c r="BK8" s="178" t="str">
        <f t="shared" si="41"/>
        <v>NA</v>
      </c>
      <c r="BL8" s="178"/>
      <c r="BM8" s="178" t="str">
        <f t="shared" si="42"/>
        <v>NA</v>
      </c>
      <c r="BN8" s="178"/>
      <c r="BO8" s="178"/>
      <c r="BP8" s="178">
        <v>43</v>
      </c>
      <c r="BQ8" s="178">
        <v>37</v>
      </c>
      <c r="BR8" s="178">
        <v>14</v>
      </c>
      <c r="BS8" s="178">
        <v>338</v>
      </c>
      <c r="BT8" s="178">
        <v>72</v>
      </c>
      <c r="BU8" s="178">
        <v>138</v>
      </c>
      <c r="BV8" s="178">
        <v>506</v>
      </c>
      <c r="BW8" s="3">
        <v>561</v>
      </c>
      <c r="BX8" s="1">
        <v>672</v>
      </c>
      <c r="BY8" s="1">
        <v>671</v>
      </c>
      <c r="CA8" s="1">
        <v>115</v>
      </c>
      <c r="CB8" s="1">
        <v>302</v>
      </c>
      <c r="CC8" s="1">
        <v>309</v>
      </c>
    </row>
    <row r="9" spans="1:81">
      <c r="A9" s="46" t="s">
        <v>50</v>
      </c>
      <c r="B9" s="118">
        <v>68</v>
      </c>
      <c r="C9" s="109">
        <v>84</v>
      </c>
      <c r="D9" s="109">
        <v>80</v>
      </c>
      <c r="E9" s="109">
        <v>96</v>
      </c>
      <c r="F9" s="109">
        <v>113</v>
      </c>
      <c r="G9" s="109">
        <v>117</v>
      </c>
      <c r="H9" s="109">
        <v>122</v>
      </c>
      <c r="I9" s="178">
        <v>130</v>
      </c>
      <c r="J9" s="178">
        <v>127</v>
      </c>
      <c r="K9" s="178">
        <v>127</v>
      </c>
      <c r="L9" s="178">
        <v>132</v>
      </c>
      <c r="M9" s="178"/>
      <c r="N9" s="178">
        <v>116</v>
      </c>
      <c r="O9" s="178"/>
      <c r="P9" s="178"/>
      <c r="Q9" s="178">
        <v>152</v>
      </c>
      <c r="R9" s="178">
        <v>207</v>
      </c>
      <c r="S9" s="178">
        <v>231</v>
      </c>
      <c r="T9" s="178">
        <v>199</v>
      </c>
      <c r="U9" s="178">
        <v>194</v>
      </c>
      <c r="V9" s="178">
        <v>194</v>
      </c>
      <c r="W9" s="178">
        <v>243</v>
      </c>
      <c r="X9" s="178">
        <v>247</v>
      </c>
      <c r="Y9" s="178">
        <v>262</v>
      </c>
      <c r="Z9" s="178">
        <v>298</v>
      </c>
      <c r="AA9" s="178">
        <v>336</v>
      </c>
      <c r="AB9" s="178"/>
      <c r="AC9" s="178">
        <v>345</v>
      </c>
      <c r="AD9" s="178">
        <v>356</v>
      </c>
      <c r="AE9" s="178">
        <v>367</v>
      </c>
      <c r="AF9" s="177" t="s">
        <v>52</v>
      </c>
      <c r="AG9" s="178" t="s">
        <v>52</v>
      </c>
      <c r="AH9" s="178" t="s">
        <v>52</v>
      </c>
      <c r="AI9" s="178" t="s">
        <v>52</v>
      </c>
      <c r="AJ9" s="178" t="s">
        <v>52</v>
      </c>
      <c r="AK9" s="178" t="s">
        <v>52</v>
      </c>
      <c r="AL9" s="178" t="s">
        <v>52</v>
      </c>
      <c r="AM9" s="178" t="s">
        <v>52</v>
      </c>
      <c r="AN9" s="178" t="s">
        <v>52</v>
      </c>
      <c r="AO9" s="178" t="s">
        <v>52</v>
      </c>
      <c r="AP9" s="178" t="s">
        <v>52</v>
      </c>
      <c r="AQ9" s="178" t="s">
        <v>52</v>
      </c>
      <c r="AR9" s="177"/>
      <c r="AS9" s="178">
        <v>0</v>
      </c>
      <c r="AT9" s="178">
        <v>0</v>
      </c>
      <c r="AU9" s="178">
        <v>0</v>
      </c>
      <c r="AV9" s="178">
        <v>0</v>
      </c>
      <c r="AW9" s="178">
        <v>0</v>
      </c>
      <c r="AX9" s="178">
        <v>0</v>
      </c>
      <c r="AY9" s="178">
        <v>0</v>
      </c>
      <c r="AZ9" s="178">
        <v>0</v>
      </c>
      <c r="BA9" s="178">
        <v>0</v>
      </c>
      <c r="BB9" s="178">
        <v>0</v>
      </c>
      <c r="BC9" s="178">
        <v>0</v>
      </c>
      <c r="BD9" s="177" t="str">
        <f t="shared" si="34"/>
        <v>NA</v>
      </c>
      <c r="BE9" s="178" t="str">
        <f t="shared" si="35"/>
        <v>NA</v>
      </c>
      <c r="BF9" s="178" t="str">
        <f t="shared" si="36"/>
        <v>NA</v>
      </c>
      <c r="BG9" s="178" t="str">
        <f t="shared" si="37"/>
        <v>NA</v>
      </c>
      <c r="BH9" s="178" t="str">
        <f t="shared" si="38"/>
        <v>NA</v>
      </c>
      <c r="BI9" s="178" t="str">
        <f t="shared" si="39"/>
        <v>NA</v>
      </c>
      <c r="BJ9" s="178" t="str">
        <f t="shared" si="40"/>
        <v>NA</v>
      </c>
      <c r="BK9" s="178" t="str">
        <f t="shared" si="41"/>
        <v>NA</v>
      </c>
      <c r="BL9" s="178"/>
      <c r="BM9" s="178" t="str">
        <f t="shared" si="42"/>
        <v>NA</v>
      </c>
      <c r="BN9" s="178"/>
      <c r="BO9" s="178"/>
      <c r="BP9" s="178">
        <v>0</v>
      </c>
      <c r="BQ9" s="178">
        <v>0</v>
      </c>
      <c r="BR9" s="178">
        <v>0</v>
      </c>
      <c r="BS9" s="178">
        <v>0</v>
      </c>
      <c r="BT9" s="178">
        <v>0</v>
      </c>
      <c r="BU9" s="178">
        <v>0</v>
      </c>
      <c r="BV9" s="178">
        <v>0</v>
      </c>
      <c r="BW9" s="3">
        <v>8</v>
      </c>
      <c r="BX9" s="1">
        <v>7</v>
      </c>
      <c r="BY9" s="1">
        <v>5</v>
      </c>
      <c r="CA9" s="1">
        <v>0</v>
      </c>
      <c r="CB9" s="1">
        <v>6</v>
      </c>
      <c r="CC9" s="1">
        <v>1</v>
      </c>
    </row>
    <row r="10" spans="1:81">
      <c r="A10" s="46" t="s">
        <v>16</v>
      </c>
      <c r="B10" s="118">
        <f>1907+483</f>
        <v>2390</v>
      </c>
      <c r="C10" s="109">
        <v>2085</v>
      </c>
      <c r="D10" s="109">
        <f>1788+531</f>
        <v>2319</v>
      </c>
      <c r="E10" s="109">
        <f>1843+567</f>
        <v>2410</v>
      </c>
      <c r="F10" s="109">
        <v>2926</v>
      </c>
      <c r="G10" s="109">
        <v>3199</v>
      </c>
      <c r="H10" s="109">
        <v>3577</v>
      </c>
      <c r="I10" s="178">
        <v>3606</v>
      </c>
      <c r="J10" s="178">
        <v>4001</v>
      </c>
      <c r="K10" s="178">
        <v>4601</v>
      </c>
      <c r="L10" s="178">
        <v>5619</v>
      </c>
      <c r="M10" s="178"/>
      <c r="N10" s="178">
        <v>5737</v>
      </c>
      <c r="O10" s="178"/>
      <c r="P10" s="178"/>
      <c r="Q10" s="178">
        <v>8119</v>
      </c>
      <c r="R10" s="178">
        <v>8734</v>
      </c>
      <c r="S10" s="178">
        <v>9299</v>
      </c>
      <c r="T10" s="178">
        <v>9742</v>
      </c>
      <c r="U10" s="178">
        <v>9648</v>
      </c>
      <c r="V10" s="178">
        <v>10452</v>
      </c>
      <c r="W10" s="178">
        <v>10811</v>
      </c>
      <c r="X10" s="178">
        <v>13316</v>
      </c>
      <c r="Y10" s="178">
        <v>14505</v>
      </c>
      <c r="Z10" s="178">
        <v>18146</v>
      </c>
      <c r="AA10" s="178">
        <v>17139</v>
      </c>
      <c r="AB10" s="178"/>
      <c r="AC10" s="178">
        <v>16178</v>
      </c>
      <c r="AD10" s="178">
        <v>16542</v>
      </c>
      <c r="AE10" s="178">
        <v>16761</v>
      </c>
      <c r="AF10" s="177">
        <v>7</v>
      </c>
      <c r="AG10" s="178">
        <v>11</v>
      </c>
      <c r="AH10" s="178">
        <v>13</v>
      </c>
      <c r="AI10" s="178">
        <v>13</v>
      </c>
      <c r="AJ10" s="178">
        <v>10</v>
      </c>
      <c r="AK10" s="178">
        <v>58</v>
      </c>
      <c r="AL10" s="178">
        <v>50</v>
      </c>
      <c r="AM10" s="178">
        <v>53</v>
      </c>
      <c r="AN10" s="178">
        <v>83</v>
      </c>
      <c r="AO10" s="178">
        <v>93</v>
      </c>
      <c r="AP10" s="178">
        <v>163</v>
      </c>
      <c r="AQ10" s="178">
        <v>102</v>
      </c>
      <c r="AR10" s="177"/>
      <c r="AS10" s="178">
        <v>5</v>
      </c>
      <c r="AT10" s="178">
        <v>7</v>
      </c>
      <c r="AU10" s="178">
        <v>7</v>
      </c>
      <c r="AV10" s="178">
        <v>10</v>
      </c>
      <c r="AW10" s="178">
        <v>18</v>
      </c>
      <c r="AX10" s="178">
        <v>25</v>
      </c>
      <c r="AY10" s="178">
        <v>28</v>
      </c>
      <c r="AZ10" s="178">
        <v>42</v>
      </c>
      <c r="BA10" s="178">
        <v>52</v>
      </c>
      <c r="BB10" s="178">
        <v>57</v>
      </c>
      <c r="BC10" s="178">
        <v>42</v>
      </c>
      <c r="BD10" s="177">
        <f t="shared" si="34"/>
        <v>11</v>
      </c>
      <c r="BE10" s="178">
        <f t="shared" si="35"/>
        <v>10</v>
      </c>
      <c r="BF10" s="178">
        <f t="shared" si="36"/>
        <v>58</v>
      </c>
      <c r="BG10" s="178">
        <f t="shared" si="37"/>
        <v>50</v>
      </c>
      <c r="BH10" s="178">
        <f t="shared" si="38"/>
        <v>53</v>
      </c>
      <c r="BI10" s="178">
        <f t="shared" si="39"/>
        <v>83</v>
      </c>
      <c r="BJ10" s="178">
        <f t="shared" si="40"/>
        <v>93</v>
      </c>
      <c r="BK10" s="178">
        <f t="shared" si="41"/>
        <v>163</v>
      </c>
      <c r="BL10" s="178"/>
      <c r="BM10" s="178">
        <f t="shared" si="42"/>
        <v>102</v>
      </c>
      <c r="BN10" s="178"/>
      <c r="BO10" s="178"/>
      <c r="BP10" s="178">
        <v>437</v>
      </c>
      <c r="BQ10" s="178">
        <v>234</v>
      </c>
      <c r="BR10" s="178">
        <v>408</v>
      </c>
      <c r="BS10" s="178">
        <v>537</v>
      </c>
      <c r="BT10" s="178">
        <v>727</v>
      </c>
      <c r="BU10" s="178">
        <v>723</v>
      </c>
      <c r="BV10" s="178">
        <v>801</v>
      </c>
      <c r="BW10" s="3">
        <v>1045</v>
      </c>
      <c r="BX10" s="1">
        <v>1406</v>
      </c>
      <c r="BY10" s="1">
        <v>1588</v>
      </c>
      <c r="CA10" s="1">
        <v>426</v>
      </c>
      <c r="CB10" s="1">
        <v>2480</v>
      </c>
      <c r="CC10" s="1">
        <v>502</v>
      </c>
    </row>
    <row r="11" spans="1:81">
      <c r="A11" s="46" t="s">
        <v>17</v>
      </c>
      <c r="B11" s="118">
        <f>485+293</f>
        <v>778</v>
      </c>
      <c r="C11" s="109">
        <v>1125</v>
      </c>
      <c r="D11" s="109">
        <f>625+876</f>
        <v>1501</v>
      </c>
      <c r="E11" s="109">
        <f>689+699</f>
        <v>1388</v>
      </c>
      <c r="F11" s="109">
        <v>1566</v>
      </c>
      <c r="G11" s="109">
        <v>1410</v>
      </c>
      <c r="H11" s="109">
        <v>1668</v>
      </c>
      <c r="I11" s="178">
        <v>1593</v>
      </c>
      <c r="J11" s="178">
        <v>1992</v>
      </c>
      <c r="K11" s="178">
        <v>1819</v>
      </c>
      <c r="L11" s="178">
        <v>2047</v>
      </c>
      <c r="M11" s="178"/>
      <c r="N11" s="178">
        <v>1811</v>
      </c>
      <c r="O11" s="178"/>
      <c r="P11" s="178"/>
      <c r="Q11" s="178">
        <v>2840</v>
      </c>
      <c r="R11" s="178">
        <v>3848</v>
      </c>
      <c r="S11" s="178">
        <v>3602</v>
      </c>
      <c r="T11" s="178">
        <v>3973</v>
      </c>
      <c r="U11" s="178">
        <v>3932</v>
      </c>
      <c r="V11" s="178">
        <v>4338</v>
      </c>
      <c r="W11" s="178">
        <v>4621</v>
      </c>
      <c r="X11" s="178">
        <v>4861</v>
      </c>
      <c r="Y11" s="178">
        <v>6094</v>
      </c>
      <c r="Z11" s="178">
        <v>6537</v>
      </c>
      <c r="AA11" s="178">
        <v>6654</v>
      </c>
      <c r="AB11" s="178"/>
      <c r="AC11" s="178">
        <v>7198</v>
      </c>
      <c r="AD11" s="178">
        <v>7081</v>
      </c>
      <c r="AE11" s="178">
        <v>6829</v>
      </c>
      <c r="AF11" s="177">
        <v>105</v>
      </c>
      <c r="AG11" s="178">
        <v>482</v>
      </c>
      <c r="AH11" s="178">
        <v>726</v>
      </c>
      <c r="AI11" s="178">
        <v>585</v>
      </c>
      <c r="AJ11" s="178">
        <v>435</v>
      </c>
      <c r="AK11" s="178">
        <v>541</v>
      </c>
      <c r="AL11" s="178">
        <v>591</v>
      </c>
      <c r="AM11" s="178">
        <v>513</v>
      </c>
      <c r="AN11" s="178">
        <v>556</v>
      </c>
      <c r="AO11" s="178">
        <v>665</v>
      </c>
      <c r="AP11" s="178">
        <v>660</v>
      </c>
      <c r="AQ11" s="178">
        <v>560</v>
      </c>
      <c r="AR11" s="177"/>
      <c r="AS11" s="178">
        <v>4</v>
      </c>
      <c r="AT11" s="178">
        <v>6</v>
      </c>
      <c r="AU11" s="178">
        <v>3</v>
      </c>
      <c r="AV11" s="178">
        <v>0</v>
      </c>
      <c r="AW11" s="178">
        <v>2</v>
      </c>
      <c r="AX11" s="178">
        <v>0</v>
      </c>
      <c r="AY11" s="178">
        <v>1</v>
      </c>
      <c r="AZ11" s="178">
        <v>5</v>
      </c>
      <c r="BA11" s="178">
        <v>19</v>
      </c>
      <c r="BB11" s="178">
        <v>7</v>
      </c>
      <c r="BC11" s="178">
        <v>1</v>
      </c>
      <c r="BD11" s="177">
        <f t="shared" si="34"/>
        <v>482</v>
      </c>
      <c r="BE11" s="178">
        <f t="shared" si="35"/>
        <v>435</v>
      </c>
      <c r="BF11" s="178">
        <f t="shared" si="36"/>
        <v>541</v>
      </c>
      <c r="BG11" s="178">
        <f t="shared" si="37"/>
        <v>591</v>
      </c>
      <c r="BH11" s="178">
        <f t="shared" si="38"/>
        <v>513</v>
      </c>
      <c r="BI11" s="178">
        <f t="shared" si="39"/>
        <v>556</v>
      </c>
      <c r="BJ11" s="178">
        <f t="shared" si="40"/>
        <v>665</v>
      </c>
      <c r="BK11" s="178">
        <f t="shared" si="41"/>
        <v>660</v>
      </c>
      <c r="BL11" s="178"/>
      <c r="BM11" s="178">
        <f t="shared" si="42"/>
        <v>560</v>
      </c>
      <c r="BN11" s="178"/>
      <c r="BO11" s="178"/>
      <c r="BP11" s="178">
        <v>1044</v>
      </c>
      <c r="BQ11" s="178">
        <v>1789</v>
      </c>
      <c r="BR11" s="178">
        <v>1511</v>
      </c>
      <c r="BS11" s="178">
        <v>1644</v>
      </c>
      <c r="BT11" s="178">
        <v>1933</v>
      </c>
      <c r="BU11" s="178">
        <v>2150</v>
      </c>
      <c r="BV11" s="178">
        <v>2290</v>
      </c>
      <c r="BW11" s="3">
        <v>2905</v>
      </c>
      <c r="BX11" s="1">
        <v>3124</v>
      </c>
      <c r="BY11" s="1">
        <v>3095</v>
      </c>
      <c r="CA11" s="1">
        <v>2422</v>
      </c>
      <c r="CB11" s="1">
        <v>3086</v>
      </c>
      <c r="CC11" s="1">
        <v>3094</v>
      </c>
    </row>
    <row r="12" spans="1:81">
      <c r="A12" s="46" t="s">
        <v>18</v>
      </c>
      <c r="B12" s="118">
        <f>210+114</f>
        <v>324</v>
      </c>
      <c r="C12" s="109">
        <v>262</v>
      </c>
      <c r="D12" s="109">
        <f>176+47</f>
        <v>223</v>
      </c>
      <c r="E12" s="109">
        <f>171+137</f>
        <v>308</v>
      </c>
      <c r="F12" s="109">
        <v>306</v>
      </c>
      <c r="G12" s="109">
        <v>320</v>
      </c>
      <c r="H12" s="109">
        <v>331</v>
      </c>
      <c r="I12" s="178">
        <v>354</v>
      </c>
      <c r="J12" s="178">
        <v>369</v>
      </c>
      <c r="K12" s="178">
        <v>388</v>
      </c>
      <c r="L12" s="178">
        <v>414</v>
      </c>
      <c r="M12" s="178"/>
      <c r="N12" s="178">
        <v>451</v>
      </c>
      <c r="O12" s="178"/>
      <c r="P12" s="178"/>
      <c r="Q12" s="178">
        <v>611</v>
      </c>
      <c r="R12" s="178">
        <v>638</v>
      </c>
      <c r="S12" s="178">
        <v>703</v>
      </c>
      <c r="T12" s="178">
        <v>763</v>
      </c>
      <c r="U12" s="178">
        <v>768</v>
      </c>
      <c r="V12" s="178">
        <v>848</v>
      </c>
      <c r="W12" s="178">
        <v>947</v>
      </c>
      <c r="X12" s="178">
        <v>1062</v>
      </c>
      <c r="Y12" s="178">
        <v>1216</v>
      </c>
      <c r="Z12" s="178">
        <v>1522</v>
      </c>
      <c r="AA12" s="178">
        <v>1328</v>
      </c>
      <c r="AB12" s="178"/>
      <c r="AC12" s="178">
        <v>1087</v>
      </c>
      <c r="AD12" s="178">
        <v>993</v>
      </c>
      <c r="AE12" s="178">
        <v>946</v>
      </c>
      <c r="AF12" s="177" t="s">
        <v>52</v>
      </c>
      <c r="AG12" s="178" t="s">
        <v>52</v>
      </c>
      <c r="AH12" s="178" t="s">
        <v>52</v>
      </c>
      <c r="AI12" s="178" t="s">
        <v>52</v>
      </c>
      <c r="AJ12" s="178" t="s">
        <v>52</v>
      </c>
      <c r="AK12" s="178" t="s">
        <v>52</v>
      </c>
      <c r="AL12" s="178" t="s">
        <v>52</v>
      </c>
      <c r="AM12" s="178" t="s">
        <v>52</v>
      </c>
      <c r="AN12" s="178" t="s">
        <v>52</v>
      </c>
      <c r="AO12" s="178">
        <v>17</v>
      </c>
      <c r="AP12" s="178">
        <v>15</v>
      </c>
      <c r="AQ12" s="178">
        <v>16</v>
      </c>
      <c r="AR12" s="177"/>
      <c r="AS12" s="178">
        <v>13</v>
      </c>
      <c r="AT12" s="178">
        <v>10</v>
      </c>
      <c r="AU12" s="178">
        <v>12</v>
      </c>
      <c r="AV12" s="178">
        <v>16</v>
      </c>
      <c r="AW12" s="178">
        <v>10</v>
      </c>
      <c r="AX12" s="178">
        <v>13</v>
      </c>
      <c r="AY12" s="178">
        <v>11</v>
      </c>
      <c r="AZ12" s="178">
        <v>9</v>
      </c>
      <c r="BA12" s="178">
        <v>17</v>
      </c>
      <c r="BB12" s="178">
        <v>15</v>
      </c>
      <c r="BC12" s="178">
        <v>16</v>
      </c>
      <c r="BD12" s="177" t="str">
        <f t="shared" si="34"/>
        <v>NA</v>
      </c>
      <c r="BE12" s="178" t="str">
        <f t="shared" si="35"/>
        <v>NA</v>
      </c>
      <c r="BF12" s="178" t="str">
        <f t="shared" si="36"/>
        <v>NA</v>
      </c>
      <c r="BG12" s="178" t="str">
        <f t="shared" si="37"/>
        <v>NA</v>
      </c>
      <c r="BH12" s="178" t="str">
        <f t="shared" si="38"/>
        <v>NA</v>
      </c>
      <c r="BI12" s="178" t="str">
        <f t="shared" si="39"/>
        <v>NA</v>
      </c>
      <c r="BJ12" s="178">
        <f t="shared" si="40"/>
        <v>17</v>
      </c>
      <c r="BK12" s="178">
        <f t="shared" si="41"/>
        <v>15</v>
      </c>
      <c r="BL12" s="178"/>
      <c r="BM12" s="178">
        <f t="shared" si="42"/>
        <v>16</v>
      </c>
      <c r="BN12" s="178"/>
      <c r="BO12" s="178"/>
      <c r="BP12" s="178">
        <v>29</v>
      </c>
      <c r="BQ12" s="178">
        <v>25</v>
      </c>
      <c r="BR12" s="178">
        <v>10</v>
      </c>
      <c r="BS12" s="178">
        <v>17</v>
      </c>
      <c r="BT12" s="178">
        <v>10</v>
      </c>
      <c r="BU12" s="178">
        <v>12</v>
      </c>
      <c r="BV12" s="178">
        <v>13</v>
      </c>
      <c r="BW12" s="3">
        <v>8</v>
      </c>
      <c r="BX12" s="1">
        <v>12</v>
      </c>
      <c r="BY12" s="1">
        <v>16</v>
      </c>
      <c r="CA12" s="1">
        <v>29</v>
      </c>
      <c r="CB12" s="1">
        <v>25</v>
      </c>
      <c r="CC12" s="1">
        <v>27</v>
      </c>
    </row>
    <row r="13" spans="1:81">
      <c r="A13" s="46" t="s">
        <v>19</v>
      </c>
      <c r="B13" s="118">
        <f>584+59</f>
        <v>643</v>
      </c>
      <c r="C13" s="109">
        <v>616</v>
      </c>
      <c r="D13" s="109">
        <f>474+170</f>
        <v>644</v>
      </c>
      <c r="E13" s="109">
        <f>524+119</f>
        <v>643</v>
      </c>
      <c r="F13" s="109">
        <v>564</v>
      </c>
      <c r="G13" s="109">
        <v>557</v>
      </c>
      <c r="H13" s="109">
        <v>672</v>
      </c>
      <c r="I13" s="178">
        <v>765</v>
      </c>
      <c r="J13" s="178">
        <v>899</v>
      </c>
      <c r="K13" s="178">
        <v>1227</v>
      </c>
      <c r="L13" s="178">
        <v>1113</v>
      </c>
      <c r="M13" s="178"/>
      <c r="N13" s="178">
        <v>1546</v>
      </c>
      <c r="O13" s="178"/>
      <c r="P13" s="178"/>
      <c r="Q13" s="178">
        <v>1832</v>
      </c>
      <c r="R13" s="178">
        <v>1946</v>
      </c>
      <c r="S13" s="178">
        <v>1791</v>
      </c>
      <c r="T13" s="178">
        <v>1344</v>
      </c>
      <c r="U13" s="178">
        <v>1453</v>
      </c>
      <c r="V13" s="178">
        <v>1462</v>
      </c>
      <c r="W13" s="178">
        <v>1584</v>
      </c>
      <c r="X13" s="178">
        <v>1695</v>
      </c>
      <c r="Y13" s="178">
        <v>2205</v>
      </c>
      <c r="Z13" s="178">
        <v>2340</v>
      </c>
      <c r="AA13" s="178">
        <v>2079</v>
      </c>
      <c r="AB13" s="178"/>
      <c r="AC13" s="178">
        <v>2295</v>
      </c>
      <c r="AD13" s="178">
        <v>2424</v>
      </c>
      <c r="AE13" s="178">
        <v>2308</v>
      </c>
      <c r="AF13" s="177">
        <v>110</v>
      </c>
      <c r="AG13" s="178">
        <v>132</v>
      </c>
      <c r="AH13" s="178">
        <v>164</v>
      </c>
      <c r="AI13" s="178">
        <v>177</v>
      </c>
      <c r="AJ13" s="178">
        <v>156</v>
      </c>
      <c r="AK13" s="178">
        <v>169</v>
      </c>
      <c r="AL13" s="178">
        <v>180</v>
      </c>
      <c r="AM13" s="178">
        <v>232</v>
      </c>
      <c r="AN13" s="178">
        <v>195</v>
      </c>
      <c r="AO13" s="178">
        <v>210</v>
      </c>
      <c r="AP13" s="178">
        <v>255</v>
      </c>
      <c r="AQ13" s="178">
        <v>329</v>
      </c>
      <c r="AR13" s="177"/>
      <c r="AS13" s="178">
        <v>132</v>
      </c>
      <c r="AT13" s="178">
        <v>164</v>
      </c>
      <c r="AU13" s="178">
        <v>177</v>
      </c>
      <c r="AV13" s="178">
        <v>156</v>
      </c>
      <c r="AW13" s="178">
        <v>169</v>
      </c>
      <c r="AX13" s="178">
        <v>180</v>
      </c>
      <c r="AY13" s="178">
        <v>232</v>
      </c>
      <c r="AZ13" s="178">
        <v>195</v>
      </c>
      <c r="BA13" s="178">
        <v>185</v>
      </c>
      <c r="BB13" s="178">
        <v>218</v>
      </c>
      <c r="BC13" s="178">
        <v>232</v>
      </c>
      <c r="BD13" s="177">
        <f t="shared" si="34"/>
        <v>132</v>
      </c>
      <c r="BE13" s="178">
        <f t="shared" si="35"/>
        <v>156</v>
      </c>
      <c r="BF13" s="178">
        <f t="shared" si="36"/>
        <v>169</v>
      </c>
      <c r="BG13" s="178">
        <f t="shared" si="37"/>
        <v>180</v>
      </c>
      <c r="BH13" s="178">
        <f t="shared" si="38"/>
        <v>232</v>
      </c>
      <c r="BI13" s="178">
        <f t="shared" si="39"/>
        <v>195</v>
      </c>
      <c r="BJ13" s="178">
        <f t="shared" si="40"/>
        <v>210</v>
      </c>
      <c r="BK13" s="178">
        <f t="shared" si="41"/>
        <v>255</v>
      </c>
      <c r="BL13" s="178"/>
      <c r="BM13" s="178">
        <f t="shared" si="42"/>
        <v>329</v>
      </c>
      <c r="BN13" s="178"/>
      <c r="BO13" s="178"/>
      <c r="BP13" s="178">
        <v>637</v>
      </c>
      <c r="BQ13" s="178">
        <v>457</v>
      </c>
      <c r="BR13" s="178">
        <v>619</v>
      </c>
      <c r="BS13" s="178">
        <v>392</v>
      </c>
      <c r="BT13" s="178">
        <v>413</v>
      </c>
      <c r="BU13" s="178">
        <v>425</v>
      </c>
      <c r="BV13" s="178">
        <v>371</v>
      </c>
      <c r="BW13" s="3">
        <v>732</v>
      </c>
      <c r="BX13" s="1">
        <v>684</v>
      </c>
      <c r="BY13" s="1">
        <v>769</v>
      </c>
      <c r="CA13" s="1">
        <v>526</v>
      </c>
      <c r="CB13" s="1">
        <v>1100</v>
      </c>
      <c r="CC13" s="1">
        <v>718</v>
      </c>
    </row>
    <row r="14" spans="1:81">
      <c r="A14" s="46" t="s">
        <v>20</v>
      </c>
      <c r="B14" s="118">
        <f>808+32</f>
        <v>840</v>
      </c>
      <c r="C14" s="109">
        <v>1008</v>
      </c>
      <c r="D14" s="109">
        <f>939+79</f>
        <v>1018</v>
      </c>
      <c r="E14" s="109">
        <f>1001+67</f>
        <v>1068</v>
      </c>
      <c r="F14" s="109">
        <v>1140</v>
      </c>
      <c r="G14" s="109">
        <v>1232</v>
      </c>
      <c r="H14" s="109">
        <v>1173</v>
      </c>
      <c r="I14" s="178">
        <v>1276</v>
      </c>
      <c r="J14" s="178">
        <v>1365</v>
      </c>
      <c r="K14" s="178">
        <v>1352</v>
      </c>
      <c r="L14" s="178">
        <v>1255</v>
      </c>
      <c r="M14" s="178"/>
      <c r="N14" s="178">
        <v>1488</v>
      </c>
      <c r="O14" s="178"/>
      <c r="P14" s="178"/>
      <c r="Q14" s="178">
        <v>1748</v>
      </c>
      <c r="R14" s="178">
        <v>1977</v>
      </c>
      <c r="S14" s="178">
        <v>2261</v>
      </c>
      <c r="T14" s="178">
        <v>2360</v>
      </c>
      <c r="U14" s="178">
        <v>2302</v>
      </c>
      <c r="V14" s="178">
        <v>2443</v>
      </c>
      <c r="W14" s="178">
        <v>2496</v>
      </c>
      <c r="X14" s="178">
        <v>2725</v>
      </c>
      <c r="Y14" s="178">
        <v>3043</v>
      </c>
      <c r="Z14" s="178">
        <v>3324</v>
      </c>
      <c r="AA14" s="178">
        <v>3435</v>
      </c>
      <c r="AB14" s="178"/>
      <c r="AC14" s="178">
        <v>3866</v>
      </c>
      <c r="AD14" s="178">
        <v>3636</v>
      </c>
      <c r="AE14" s="178">
        <v>3778</v>
      </c>
      <c r="AF14" s="177">
        <v>221</v>
      </c>
      <c r="AG14" s="178">
        <v>306</v>
      </c>
      <c r="AH14" s="178">
        <v>323</v>
      </c>
      <c r="AI14" s="178">
        <v>301</v>
      </c>
      <c r="AJ14" s="178">
        <v>614</v>
      </c>
      <c r="AK14" s="178">
        <v>620</v>
      </c>
      <c r="AL14" s="178">
        <v>585</v>
      </c>
      <c r="AM14" s="178">
        <v>662</v>
      </c>
      <c r="AN14" s="178">
        <v>660</v>
      </c>
      <c r="AO14" s="178">
        <v>673</v>
      </c>
      <c r="AP14" s="178">
        <v>685</v>
      </c>
      <c r="AQ14" s="178">
        <v>693</v>
      </c>
      <c r="AR14" s="177"/>
      <c r="AS14" s="178">
        <v>0</v>
      </c>
      <c r="AT14" s="178">
        <v>0</v>
      </c>
      <c r="AU14" s="178">
        <v>0</v>
      </c>
      <c r="AV14" s="178">
        <v>0</v>
      </c>
      <c r="AW14" s="178">
        <v>0</v>
      </c>
      <c r="AX14" s="178">
        <v>0</v>
      </c>
      <c r="AY14" s="178">
        <v>0</v>
      </c>
      <c r="AZ14" s="178">
        <v>0</v>
      </c>
      <c r="BA14" s="178">
        <v>0</v>
      </c>
      <c r="BB14" s="178">
        <v>0</v>
      </c>
      <c r="BC14" s="178">
        <v>0</v>
      </c>
      <c r="BD14" s="177">
        <f t="shared" si="34"/>
        <v>306</v>
      </c>
      <c r="BE14" s="178">
        <f t="shared" si="35"/>
        <v>614</v>
      </c>
      <c r="BF14" s="178">
        <f t="shared" si="36"/>
        <v>620</v>
      </c>
      <c r="BG14" s="178">
        <f t="shared" si="37"/>
        <v>585</v>
      </c>
      <c r="BH14" s="178">
        <f t="shared" si="38"/>
        <v>662</v>
      </c>
      <c r="BI14" s="178">
        <f t="shared" si="39"/>
        <v>660</v>
      </c>
      <c r="BJ14" s="178">
        <f t="shared" si="40"/>
        <v>673</v>
      </c>
      <c r="BK14" s="178">
        <f t="shared" si="41"/>
        <v>685</v>
      </c>
      <c r="BL14" s="178"/>
      <c r="BM14" s="178">
        <f t="shared" si="42"/>
        <v>693</v>
      </c>
      <c r="BN14" s="178"/>
      <c r="BO14" s="178"/>
      <c r="BP14" s="178">
        <v>685</v>
      </c>
      <c r="BQ14" s="178">
        <v>785</v>
      </c>
      <c r="BR14" s="178">
        <v>999</v>
      </c>
      <c r="BS14" s="178">
        <v>967</v>
      </c>
      <c r="BT14" s="178">
        <v>945</v>
      </c>
      <c r="BU14" s="178">
        <v>966</v>
      </c>
      <c r="BV14" s="178">
        <v>1084</v>
      </c>
      <c r="BW14" s="3">
        <v>1352</v>
      </c>
      <c r="BX14" s="1">
        <v>1273</v>
      </c>
      <c r="BY14" s="1">
        <v>1361</v>
      </c>
      <c r="CA14" s="1">
        <v>991</v>
      </c>
      <c r="CB14" s="1">
        <v>1080</v>
      </c>
      <c r="CC14" s="1">
        <v>1056</v>
      </c>
    </row>
    <row r="15" spans="1:81">
      <c r="A15" s="46" t="s">
        <v>21</v>
      </c>
      <c r="B15" s="118">
        <f>705+328</f>
        <v>1033</v>
      </c>
      <c r="C15" s="109">
        <v>1116</v>
      </c>
      <c r="D15" s="109">
        <f>951+185</f>
        <v>1136</v>
      </c>
      <c r="E15" s="109">
        <f>899+291</f>
        <v>1190</v>
      </c>
      <c r="F15" s="109">
        <v>1245</v>
      </c>
      <c r="G15" s="109">
        <v>1223</v>
      </c>
      <c r="H15" s="109">
        <v>1270</v>
      </c>
      <c r="I15" s="178">
        <v>1226</v>
      </c>
      <c r="J15" s="178">
        <v>1370</v>
      </c>
      <c r="K15" s="178">
        <v>1340</v>
      </c>
      <c r="L15" s="178">
        <v>1429</v>
      </c>
      <c r="M15" s="178"/>
      <c r="N15" s="178">
        <v>2082</v>
      </c>
      <c r="O15" s="178"/>
      <c r="P15" s="178"/>
      <c r="Q15" s="178">
        <v>2724</v>
      </c>
      <c r="R15" s="178">
        <v>3093</v>
      </c>
      <c r="S15" s="178">
        <v>3115</v>
      </c>
      <c r="T15" s="178">
        <v>3068</v>
      </c>
      <c r="U15" s="178">
        <v>3093</v>
      </c>
      <c r="V15" s="178">
        <v>3126</v>
      </c>
      <c r="W15" s="178">
        <v>3084</v>
      </c>
      <c r="X15" s="178">
        <v>3474</v>
      </c>
      <c r="Y15" s="178">
        <v>4034</v>
      </c>
      <c r="Z15" s="178">
        <v>4630</v>
      </c>
      <c r="AA15" s="178">
        <v>4011</v>
      </c>
      <c r="AB15" s="178"/>
      <c r="AC15" s="178">
        <v>4560</v>
      </c>
      <c r="AD15" s="178">
        <v>4687</v>
      </c>
      <c r="AE15" s="178">
        <v>4559</v>
      </c>
      <c r="AF15" s="177">
        <v>327</v>
      </c>
      <c r="AG15" s="178">
        <v>205</v>
      </c>
      <c r="AH15" s="178">
        <v>182</v>
      </c>
      <c r="AI15" s="178">
        <v>242</v>
      </c>
      <c r="AJ15" s="178">
        <v>260</v>
      </c>
      <c r="AK15" s="178">
        <v>216</v>
      </c>
      <c r="AL15" s="178">
        <v>211</v>
      </c>
      <c r="AM15" s="178">
        <v>187</v>
      </c>
      <c r="AN15" s="178">
        <v>151</v>
      </c>
      <c r="AO15" s="178">
        <v>349</v>
      </c>
      <c r="AP15" s="178">
        <v>256</v>
      </c>
      <c r="AQ15" s="178">
        <v>523</v>
      </c>
      <c r="AR15" s="177"/>
      <c r="AS15" s="178">
        <v>205</v>
      </c>
      <c r="AT15" s="178">
        <v>182</v>
      </c>
      <c r="AU15" s="178">
        <v>242</v>
      </c>
      <c r="AV15" s="178">
        <v>260</v>
      </c>
      <c r="AW15" s="178">
        <v>216</v>
      </c>
      <c r="AX15" s="178">
        <v>152</v>
      </c>
      <c r="AY15" s="178">
        <v>154</v>
      </c>
      <c r="AZ15" s="178">
        <v>151</v>
      </c>
      <c r="BA15" s="178">
        <v>164</v>
      </c>
      <c r="BB15" s="178">
        <v>141</v>
      </c>
      <c r="BC15" s="178">
        <v>242</v>
      </c>
      <c r="BD15" s="177">
        <f t="shared" si="34"/>
        <v>205</v>
      </c>
      <c r="BE15" s="178">
        <f t="shared" si="35"/>
        <v>260</v>
      </c>
      <c r="BF15" s="178">
        <f t="shared" si="36"/>
        <v>216</v>
      </c>
      <c r="BG15" s="178">
        <f t="shared" si="37"/>
        <v>211</v>
      </c>
      <c r="BH15" s="178">
        <f t="shared" si="38"/>
        <v>187</v>
      </c>
      <c r="BI15" s="178">
        <f t="shared" si="39"/>
        <v>151</v>
      </c>
      <c r="BJ15" s="178">
        <f t="shared" si="40"/>
        <v>349</v>
      </c>
      <c r="BK15" s="178">
        <f t="shared" si="41"/>
        <v>256</v>
      </c>
      <c r="BL15" s="178"/>
      <c r="BM15" s="178">
        <f t="shared" si="42"/>
        <v>523</v>
      </c>
      <c r="BN15" s="178"/>
      <c r="BO15" s="178"/>
      <c r="BP15" s="178">
        <v>732</v>
      </c>
      <c r="BQ15" s="178">
        <v>1298</v>
      </c>
      <c r="BR15" s="178">
        <v>1316</v>
      </c>
      <c r="BS15" s="178">
        <v>1359</v>
      </c>
      <c r="BT15" s="178">
        <v>1424</v>
      </c>
      <c r="BU15" s="178">
        <v>1317</v>
      </c>
      <c r="BV15" s="178">
        <v>1791</v>
      </c>
      <c r="BW15" s="3">
        <v>1635</v>
      </c>
      <c r="BX15" s="1">
        <v>2057</v>
      </c>
      <c r="BY15" s="1">
        <v>1578</v>
      </c>
      <c r="CA15" s="1">
        <v>450</v>
      </c>
      <c r="CB15" s="1">
        <v>1530</v>
      </c>
      <c r="CC15" s="1">
        <v>1443</v>
      </c>
    </row>
    <row r="16" spans="1:81">
      <c r="A16" s="46" t="s">
        <v>22</v>
      </c>
      <c r="B16" s="118">
        <f>1223+293</f>
        <v>1516</v>
      </c>
      <c r="C16" s="109">
        <v>1581</v>
      </c>
      <c r="D16" s="109">
        <f>1092+322</f>
        <v>1414</v>
      </c>
      <c r="E16" s="109">
        <f>1005+292</f>
        <v>1297</v>
      </c>
      <c r="F16" s="109">
        <v>1419</v>
      </c>
      <c r="G16" s="109">
        <v>1554</v>
      </c>
      <c r="H16" s="109">
        <v>1594</v>
      </c>
      <c r="I16" s="178">
        <v>1719</v>
      </c>
      <c r="J16" s="178">
        <v>2118</v>
      </c>
      <c r="K16" s="178">
        <v>2489</v>
      </c>
      <c r="L16" s="178">
        <v>2343</v>
      </c>
      <c r="M16" s="178"/>
      <c r="N16" s="178">
        <v>2278</v>
      </c>
      <c r="O16" s="178"/>
      <c r="P16" s="178"/>
      <c r="Q16" s="178">
        <v>2954</v>
      </c>
      <c r="R16" s="178">
        <v>3366</v>
      </c>
      <c r="S16" s="178">
        <v>3717</v>
      </c>
      <c r="T16" s="178">
        <v>3802</v>
      </c>
      <c r="U16" s="178">
        <v>3861</v>
      </c>
      <c r="V16" s="178">
        <v>4002</v>
      </c>
      <c r="W16" s="178">
        <v>3925</v>
      </c>
      <c r="X16" s="178">
        <v>4187</v>
      </c>
      <c r="Y16" s="178">
        <v>4693</v>
      </c>
      <c r="Z16" s="178">
        <v>5265</v>
      </c>
      <c r="AA16" s="178">
        <v>5450</v>
      </c>
      <c r="AB16" s="178"/>
      <c r="AC16" s="178">
        <v>6292</v>
      </c>
      <c r="AD16" s="178">
        <v>5994</v>
      </c>
      <c r="AE16" s="178">
        <v>6150</v>
      </c>
      <c r="AF16" s="177">
        <v>274</v>
      </c>
      <c r="AG16" s="178">
        <v>160</v>
      </c>
      <c r="AH16" s="178">
        <v>143</v>
      </c>
      <c r="AI16" s="178">
        <v>219</v>
      </c>
      <c r="AJ16" s="178">
        <v>60</v>
      </c>
      <c r="AK16" s="178">
        <v>25</v>
      </c>
      <c r="AL16" s="178">
        <v>67</v>
      </c>
      <c r="AM16" s="178">
        <v>132</v>
      </c>
      <c r="AN16" s="178">
        <v>144</v>
      </c>
      <c r="AO16" s="178">
        <v>173</v>
      </c>
      <c r="AP16" s="178">
        <v>222</v>
      </c>
      <c r="AQ16" s="178">
        <v>143</v>
      </c>
      <c r="AR16" s="177"/>
      <c r="AS16" s="178">
        <v>15</v>
      </c>
      <c r="AT16" s="178">
        <v>16</v>
      </c>
      <c r="AU16" s="178">
        <v>23</v>
      </c>
      <c r="AV16" s="178">
        <v>20</v>
      </c>
      <c r="AW16" s="178">
        <v>25</v>
      </c>
      <c r="AX16" s="178">
        <v>7</v>
      </c>
      <c r="AY16" s="178">
        <v>25</v>
      </c>
      <c r="AZ16" s="178">
        <v>33</v>
      </c>
      <c r="BA16" s="178">
        <v>28</v>
      </c>
      <c r="BB16" s="178">
        <v>25</v>
      </c>
      <c r="BC16" s="178">
        <v>15</v>
      </c>
      <c r="BD16" s="177">
        <f t="shared" si="34"/>
        <v>160</v>
      </c>
      <c r="BE16" s="178">
        <f t="shared" si="35"/>
        <v>60</v>
      </c>
      <c r="BF16" s="178">
        <f t="shared" si="36"/>
        <v>25</v>
      </c>
      <c r="BG16" s="178">
        <f t="shared" si="37"/>
        <v>67</v>
      </c>
      <c r="BH16" s="178">
        <f t="shared" si="38"/>
        <v>132</v>
      </c>
      <c r="BI16" s="178">
        <f t="shared" si="39"/>
        <v>144</v>
      </c>
      <c r="BJ16" s="178">
        <f t="shared" si="40"/>
        <v>173</v>
      </c>
      <c r="BK16" s="178">
        <f t="shared" si="41"/>
        <v>222</v>
      </c>
      <c r="BL16" s="178"/>
      <c r="BM16" s="178">
        <f t="shared" si="42"/>
        <v>143</v>
      </c>
      <c r="BN16" s="178"/>
      <c r="BO16" s="178"/>
      <c r="BP16" s="178">
        <v>187</v>
      </c>
      <c r="BQ16" s="178">
        <v>268</v>
      </c>
      <c r="BR16" s="178">
        <v>234</v>
      </c>
      <c r="BS16" s="178">
        <v>289</v>
      </c>
      <c r="BT16" s="178">
        <v>208</v>
      </c>
      <c r="BU16" s="178">
        <v>321</v>
      </c>
      <c r="BV16" s="178">
        <v>457</v>
      </c>
      <c r="BW16" s="3">
        <v>636</v>
      </c>
      <c r="BX16" s="1">
        <v>833</v>
      </c>
      <c r="BY16" s="1">
        <v>984</v>
      </c>
      <c r="CA16" s="1">
        <v>454</v>
      </c>
      <c r="CB16" s="1">
        <v>1009</v>
      </c>
      <c r="CC16" s="1">
        <v>873</v>
      </c>
    </row>
    <row r="17" spans="1:81">
      <c r="A17" s="46" t="s">
        <v>23</v>
      </c>
      <c r="B17" s="118">
        <f>241+27</f>
        <v>268</v>
      </c>
      <c r="C17" s="109">
        <v>270</v>
      </c>
      <c r="D17" s="109">
        <f>328+71</f>
        <v>399</v>
      </c>
      <c r="E17" s="109">
        <f>363+22</f>
        <v>385</v>
      </c>
      <c r="F17" s="109">
        <v>378</v>
      </c>
      <c r="G17" s="109">
        <v>395</v>
      </c>
      <c r="H17" s="109">
        <v>409</v>
      </c>
      <c r="I17" s="178">
        <v>476</v>
      </c>
      <c r="J17" s="178">
        <v>356</v>
      </c>
      <c r="K17" s="178">
        <v>418</v>
      </c>
      <c r="L17" s="178">
        <v>402</v>
      </c>
      <c r="M17" s="178"/>
      <c r="N17" s="178">
        <v>407</v>
      </c>
      <c r="O17" s="178"/>
      <c r="P17" s="178"/>
      <c r="Q17" s="178">
        <v>592</v>
      </c>
      <c r="R17" s="178">
        <v>658</v>
      </c>
      <c r="S17" s="178">
        <v>781</v>
      </c>
      <c r="T17" s="178">
        <v>782</v>
      </c>
      <c r="U17" s="178">
        <v>861</v>
      </c>
      <c r="V17" s="178">
        <v>777</v>
      </c>
      <c r="W17" s="178">
        <v>782</v>
      </c>
      <c r="X17" s="178">
        <v>831</v>
      </c>
      <c r="Y17" s="178">
        <v>850</v>
      </c>
      <c r="Z17" s="178">
        <v>945</v>
      </c>
      <c r="AA17" s="178">
        <v>1003</v>
      </c>
      <c r="AB17" s="178"/>
      <c r="AC17" s="178">
        <v>1081</v>
      </c>
      <c r="AD17" s="178">
        <v>916</v>
      </c>
      <c r="AE17" s="178">
        <v>961</v>
      </c>
      <c r="AF17" s="177" t="s">
        <v>52</v>
      </c>
      <c r="AG17" s="178" t="s">
        <v>52</v>
      </c>
      <c r="AH17" s="178" t="s">
        <v>52</v>
      </c>
      <c r="AI17" s="178" t="s">
        <v>52</v>
      </c>
      <c r="AJ17" s="178" t="s">
        <v>52</v>
      </c>
      <c r="AK17" s="178" t="s">
        <v>52</v>
      </c>
      <c r="AL17" s="178" t="s">
        <v>52</v>
      </c>
      <c r="AM17" s="178" t="s">
        <v>52</v>
      </c>
      <c r="AN17" s="178" t="s">
        <v>52</v>
      </c>
      <c r="AO17" s="178" t="s">
        <v>52</v>
      </c>
      <c r="AP17" s="178" t="s">
        <v>52</v>
      </c>
      <c r="AQ17" s="178">
        <v>3</v>
      </c>
      <c r="AR17" s="177"/>
      <c r="AS17" s="178">
        <v>0</v>
      </c>
      <c r="AT17" s="178">
        <v>0</v>
      </c>
      <c r="AU17" s="178">
        <v>0</v>
      </c>
      <c r="AV17" s="178">
        <v>0</v>
      </c>
      <c r="AW17" s="178">
        <v>0</v>
      </c>
      <c r="AX17" s="178">
        <v>0</v>
      </c>
      <c r="AY17" s="178">
        <v>0</v>
      </c>
      <c r="AZ17" s="178">
        <v>0</v>
      </c>
      <c r="BA17" s="178">
        <v>0</v>
      </c>
      <c r="BB17" s="178">
        <v>0</v>
      </c>
      <c r="BC17" s="178">
        <v>3</v>
      </c>
      <c r="BD17" s="177" t="str">
        <f t="shared" si="34"/>
        <v>NA</v>
      </c>
      <c r="BE17" s="178" t="str">
        <f t="shared" si="35"/>
        <v>NA</v>
      </c>
      <c r="BF17" s="178" t="str">
        <f t="shared" si="36"/>
        <v>NA</v>
      </c>
      <c r="BG17" s="178" t="str">
        <f t="shared" si="37"/>
        <v>NA</v>
      </c>
      <c r="BH17" s="178" t="str">
        <f t="shared" si="38"/>
        <v>NA</v>
      </c>
      <c r="BI17" s="178" t="str">
        <f t="shared" si="39"/>
        <v>NA</v>
      </c>
      <c r="BJ17" s="178" t="str">
        <f t="shared" si="40"/>
        <v>NA</v>
      </c>
      <c r="BK17" s="178" t="str">
        <f t="shared" si="41"/>
        <v>NA</v>
      </c>
      <c r="BL17" s="178"/>
      <c r="BM17" s="178">
        <f t="shared" si="42"/>
        <v>3</v>
      </c>
      <c r="BN17" s="178"/>
      <c r="BO17" s="178"/>
      <c r="BP17" s="178">
        <v>11</v>
      </c>
      <c r="BQ17" s="178">
        <v>3</v>
      </c>
      <c r="BR17" s="178">
        <v>6</v>
      </c>
      <c r="BS17" s="178">
        <v>33</v>
      </c>
      <c r="BT17" s="178">
        <v>1</v>
      </c>
      <c r="BU17" s="178">
        <v>13</v>
      </c>
      <c r="BV17" s="178">
        <v>13</v>
      </c>
      <c r="BW17" s="3">
        <v>17</v>
      </c>
      <c r="BX17" s="1">
        <v>57</v>
      </c>
      <c r="BY17" s="1">
        <v>20</v>
      </c>
      <c r="CA17" s="1">
        <v>12</v>
      </c>
      <c r="CB17" s="1">
        <v>9</v>
      </c>
      <c r="CC17" s="1">
        <v>11</v>
      </c>
    </row>
    <row r="18" spans="1:81">
      <c r="A18" s="46" t="s">
        <v>24</v>
      </c>
      <c r="B18" s="118">
        <f>833+350</f>
        <v>1183</v>
      </c>
      <c r="C18" s="109">
        <v>1080</v>
      </c>
      <c r="D18" s="109">
        <f>819+231</f>
        <v>1050</v>
      </c>
      <c r="E18" s="109">
        <f>796+272</f>
        <v>1068</v>
      </c>
      <c r="F18" s="109">
        <v>1156</v>
      </c>
      <c r="G18" s="109">
        <v>1084</v>
      </c>
      <c r="H18" s="109">
        <v>1119</v>
      </c>
      <c r="I18" s="178">
        <v>1147</v>
      </c>
      <c r="J18" s="178">
        <v>1224</v>
      </c>
      <c r="K18" s="178">
        <v>1269</v>
      </c>
      <c r="L18" s="178">
        <v>1300</v>
      </c>
      <c r="M18" s="178"/>
      <c r="N18" s="178">
        <v>1581</v>
      </c>
      <c r="O18" s="178"/>
      <c r="P18" s="178"/>
      <c r="Q18" s="178">
        <v>1988</v>
      </c>
      <c r="R18" s="178">
        <v>2348</v>
      </c>
      <c r="S18" s="178">
        <v>2374</v>
      </c>
      <c r="T18" s="178">
        <v>2295</v>
      </c>
      <c r="U18" s="178">
        <v>2275</v>
      </c>
      <c r="V18" s="178">
        <v>2226</v>
      </c>
      <c r="W18" s="178">
        <v>2285</v>
      </c>
      <c r="X18" s="178">
        <v>2298</v>
      </c>
      <c r="Y18" s="178">
        <v>2718</v>
      </c>
      <c r="Z18" s="178">
        <v>3077</v>
      </c>
      <c r="AA18" s="178">
        <v>3354</v>
      </c>
      <c r="AB18" s="178"/>
      <c r="AC18" s="178">
        <v>3189</v>
      </c>
      <c r="AD18" s="178">
        <v>3037</v>
      </c>
      <c r="AE18" s="178">
        <v>2807</v>
      </c>
      <c r="AF18" s="177">
        <v>369</v>
      </c>
      <c r="AG18" s="178">
        <v>281</v>
      </c>
      <c r="AH18" s="178">
        <v>274</v>
      </c>
      <c r="AI18" s="178">
        <v>282</v>
      </c>
      <c r="AJ18" s="178">
        <v>245</v>
      </c>
      <c r="AK18" s="178">
        <v>100</v>
      </c>
      <c r="AL18" s="178">
        <v>150</v>
      </c>
      <c r="AM18" s="178">
        <v>137</v>
      </c>
      <c r="AN18" s="178">
        <v>219</v>
      </c>
      <c r="AO18" s="178">
        <v>161</v>
      </c>
      <c r="AP18" s="178">
        <v>184</v>
      </c>
      <c r="AQ18" s="178">
        <v>153</v>
      </c>
      <c r="AR18" s="177"/>
      <c r="AS18" s="178">
        <v>3</v>
      </c>
      <c r="AT18" s="178">
        <v>27</v>
      </c>
      <c r="AU18" s="178">
        <v>49</v>
      </c>
      <c r="AV18" s="178">
        <v>0</v>
      </c>
      <c r="AW18" s="178">
        <v>50</v>
      </c>
      <c r="AX18" s="178">
        <v>65</v>
      </c>
      <c r="AY18" s="178">
        <v>91</v>
      </c>
      <c r="AZ18" s="178">
        <v>91</v>
      </c>
      <c r="BA18" s="178">
        <v>79</v>
      </c>
      <c r="BB18" s="178">
        <v>71</v>
      </c>
      <c r="BC18" s="178">
        <v>154</v>
      </c>
      <c r="BD18" s="177">
        <f t="shared" si="34"/>
        <v>281</v>
      </c>
      <c r="BE18" s="178">
        <f t="shared" si="35"/>
        <v>245</v>
      </c>
      <c r="BF18" s="178">
        <f t="shared" si="36"/>
        <v>100</v>
      </c>
      <c r="BG18" s="178">
        <f t="shared" si="37"/>
        <v>150</v>
      </c>
      <c r="BH18" s="178">
        <f t="shared" si="38"/>
        <v>137</v>
      </c>
      <c r="BI18" s="178">
        <f t="shared" si="39"/>
        <v>219</v>
      </c>
      <c r="BJ18" s="178">
        <f t="shared" si="40"/>
        <v>161</v>
      </c>
      <c r="BK18" s="178">
        <f t="shared" si="41"/>
        <v>184</v>
      </c>
      <c r="BL18" s="178"/>
      <c r="BM18" s="178">
        <f t="shared" si="42"/>
        <v>154</v>
      </c>
      <c r="BN18" s="178"/>
      <c r="BO18" s="178"/>
      <c r="BP18" s="178">
        <v>481</v>
      </c>
      <c r="BQ18" s="178">
        <v>436</v>
      </c>
      <c r="BR18" s="178">
        <v>450</v>
      </c>
      <c r="BS18" s="178">
        <v>744</v>
      </c>
      <c r="BT18" s="178">
        <v>462</v>
      </c>
      <c r="BU18" s="178">
        <v>406</v>
      </c>
      <c r="BV18" s="178">
        <v>788</v>
      </c>
      <c r="BW18" s="3">
        <v>940</v>
      </c>
      <c r="BX18" s="1">
        <v>1165</v>
      </c>
      <c r="BY18" s="1">
        <v>1265</v>
      </c>
      <c r="CA18" s="1">
        <v>508</v>
      </c>
      <c r="CB18" s="1">
        <v>744</v>
      </c>
      <c r="CC18" s="1">
        <v>562</v>
      </c>
    </row>
    <row r="19" spans="1:81">
      <c r="A19" s="46" t="s">
        <v>25</v>
      </c>
      <c r="B19" s="118">
        <f>608+195</f>
        <v>803</v>
      </c>
      <c r="C19" s="109">
        <v>736</v>
      </c>
      <c r="D19" s="109">
        <f>456+183</f>
        <v>639</v>
      </c>
      <c r="E19" s="109">
        <f>493+100</f>
        <v>593</v>
      </c>
      <c r="F19" s="109">
        <v>794</v>
      </c>
      <c r="G19" s="109">
        <v>751</v>
      </c>
      <c r="H19" s="109">
        <v>820</v>
      </c>
      <c r="I19" s="178">
        <v>793</v>
      </c>
      <c r="J19" s="178">
        <v>960</v>
      </c>
      <c r="K19" s="178">
        <v>1009</v>
      </c>
      <c r="L19" s="178">
        <v>934</v>
      </c>
      <c r="M19" s="178"/>
      <c r="N19" s="178">
        <v>1219</v>
      </c>
      <c r="O19" s="178"/>
      <c r="P19" s="178"/>
      <c r="Q19" s="178">
        <v>1584</v>
      </c>
      <c r="R19" s="178">
        <v>1401</v>
      </c>
      <c r="S19" s="178">
        <v>1710</v>
      </c>
      <c r="T19" s="178">
        <v>2007</v>
      </c>
      <c r="U19" s="178">
        <v>2172</v>
      </c>
      <c r="V19" s="178">
        <v>1729</v>
      </c>
      <c r="W19" s="178">
        <v>1653</v>
      </c>
      <c r="X19" s="178">
        <v>1780</v>
      </c>
      <c r="Y19" s="178">
        <v>2356</v>
      </c>
      <c r="Z19" s="178">
        <v>2561</v>
      </c>
      <c r="AA19" s="178">
        <v>2259</v>
      </c>
      <c r="AB19" s="178"/>
      <c r="AC19" s="178">
        <v>2116</v>
      </c>
      <c r="AD19" s="178">
        <v>2037</v>
      </c>
      <c r="AE19" s="178">
        <v>2098</v>
      </c>
      <c r="AF19" s="177">
        <v>249</v>
      </c>
      <c r="AG19" s="178">
        <v>190</v>
      </c>
      <c r="AH19" s="178">
        <v>184</v>
      </c>
      <c r="AI19" s="178">
        <v>206</v>
      </c>
      <c r="AJ19" s="178">
        <v>202</v>
      </c>
      <c r="AK19" s="178">
        <v>215</v>
      </c>
      <c r="AL19" s="178">
        <v>258</v>
      </c>
      <c r="AM19" s="178">
        <v>260</v>
      </c>
      <c r="AN19" s="178">
        <v>317</v>
      </c>
      <c r="AO19" s="178">
        <v>425</v>
      </c>
      <c r="AP19" s="178">
        <v>409</v>
      </c>
      <c r="AQ19" s="178">
        <v>438</v>
      </c>
      <c r="AR19" s="177"/>
      <c r="AS19" s="178">
        <v>21</v>
      </c>
      <c r="AT19" s="178">
        <v>33</v>
      </c>
      <c r="AU19" s="178">
        <v>46</v>
      </c>
      <c r="AV19" s="178">
        <v>69</v>
      </c>
      <c r="AW19" s="178">
        <v>57</v>
      </c>
      <c r="AX19" s="178">
        <v>38</v>
      </c>
      <c r="AY19" s="178">
        <v>27</v>
      </c>
      <c r="AZ19" s="178">
        <v>19</v>
      </c>
      <c r="BA19" s="178">
        <v>33</v>
      </c>
      <c r="BB19" s="178">
        <v>20</v>
      </c>
      <c r="BC19" s="178">
        <v>26</v>
      </c>
      <c r="BD19" s="177">
        <f t="shared" si="34"/>
        <v>190</v>
      </c>
      <c r="BE19" s="178">
        <f t="shared" si="35"/>
        <v>202</v>
      </c>
      <c r="BF19" s="178">
        <f t="shared" si="36"/>
        <v>215</v>
      </c>
      <c r="BG19" s="178">
        <f t="shared" si="37"/>
        <v>258</v>
      </c>
      <c r="BH19" s="178">
        <f t="shared" si="38"/>
        <v>260</v>
      </c>
      <c r="BI19" s="178">
        <f t="shared" si="39"/>
        <v>317</v>
      </c>
      <c r="BJ19" s="178">
        <f t="shared" si="40"/>
        <v>425</v>
      </c>
      <c r="BK19" s="178">
        <f t="shared" si="41"/>
        <v>409</v>
      </c>
      <c r="BL19" s="178"/>
      <c r="BM19" s="178">
        <f t="shared" si="42"/>
        <v>438</v>
      </c>
      <c r="BN19" s="178"/>
      <c r="BO19" s="178"/>
      <c r="BP19" s="178">
        <v>764</v>
      </c>
      <c r="BQ19" s="178">
        <v>584</v>
      </c>
      <c r="BR19" s="178">
        <v>715</v>
      </c>
      <c r="BS19" s="178">
        <v>1063</v>
      </c>
      <c r="BT19" s="178">
        <v>1288</v>
      </c>
      <c r="BU19" s="178">
        <v>850</v>
      </c>
      <c r="BV19" s="178">
        <v>984</v>
      </c>
      <c r="BW19" s="3">
        <v>1397</v>
      </c>
      <c r="BX19" s="1">
        <v>1473</v>
      </c>
      <c r="BY19" s="1">
        <v>1212</v>
      </c>
      <c r="CA19" s="1">
        <v>650</v>
      </c>
      <c r="CB19" s="1">
        <v>978</v>
      </c>
      <c r="CC19" s="1">
        <v>1085</v>
      </c>
    </row>
    <row r="20" spans="1:81">
      <c r="A20" s="46" t="s">
        <v>26</v>
      </c>
      <c r="B20" s="118">
        <f>1946+226</f>
        <v>2172</v>
      </c>
      <c r="C20" s="109">
        <v>2225</v>
      </c>
      <c r="D20" s="109">
        <f>2139+325</f>
        <v>2464</v>
      </c>
      <c r="E20" s="109">
        <f>2075+234</f>
        <v>2309</v>
      </c>
      <c r="F20" s="109">
        <v>2169</v>
      </c>
      <c r="G20" s="109">
        <v>2445</v>
      </c>
      <c r="H20" s="109">
        <v>2642</v>
      </c>
      <c r="I20" s="178">
        <v>2770</v>
      </c>
      <c r="J20" s="178">
        <v>2899</v>
      </c>
      <c r="K20" s="178">
        <v>3029</v>
      </c>
      <c r="L20" s="178">
        <v>3435</v>
      </c>
      <c r="M20" s="178"/>
      <c r="N20" s="178">
        <v>4023</v>
      </c>
      <c r="O20" s="178"/>
      <c r="P20" s="178"/>
      <c r="Q20" s="178">
        <v>4563</v>
      </c>
      <c r="R20" s="178">
        <v>5045</v>
      </c>
      <c r="S20" s="178">
        <v>5217</v>
      </c>
      <c r="T20" s="178">
        <v>5493</v>
      </c>
      <c r="U20" s="178">
        <v>5472</v>
      </c>
      <c r="V20" s="178">
        <v>5663</v>
      </c>
      <c r="W20" s="178">
        <v>5908</v>
      </c>
      <c r="X20" s="178">
        <v>6782</v>
      </c>
      <c r="Y20" s="178">
        <v>7128</v>
      </c>
      <c r="Z20" s="178">
        <v>8430</v>
      </c>
      <c r="AA20" s="178">
        <v>8641</v>
      </c>
      <c r="AB20" s="178"/>
      <c r="AC20" s="178">
        <v>10339</v>
      </c>
      <c r="AD20" s="178">
        <v>11300</v>
      </c>
      <c r="AE20" s="178">
        <v>11190</v>
      </c>
      <c r="AF20" s="177">
        <v>46</v>
      </c>
      <c r="AG20" s="178">
        <v>32</v>
      </c>
      <c r="AH20" s="178">
        <v>45</v>
      </c>
      <c r="AI20" s="178">
        <v>37</v>
      </c>
      <c r="AJ20" s="178">
        <v>35</v>
      </c>
      <c r="AK20" s="178">
        <v>29</v>
      </c>
      <c r="AL20" s="178">
        <v>27</v>
      </c>
      <c r="AM20" s="178">
        <v>37</v>
      </c>
      <c r="AN20" s="178">
        <v>23</v>
      </c>
      <c r="AO20" s="178">
        <v>29</v>
      </c>
      <c r="AP20" s="178">
        <v>25</v>
      </c>
      <c r="AQ20" s="178">
        <v>26</v>
      </c>
      <c r="AR20" s="177"/>
      <c r="AS20" s="178">
        <v>32</v>
      </c>
      <c r="AT20" s="178">
        <v>45</v>
      </c>
      <c r="AU20" s="178">
        <v>37</v>
      </c>
      <c r="AV20" s="178">
        <v>35</v>
      </c>
      <c r="AW20" s="178">
        <v>107</v>
      </c>
      <c r="AX20" s="178">
        <v>85</v>
      </c>
      <c r="AY20" s="178">
        <v>107</v>
      </c>
      <c r="AZ20" s="178">
        <v>84</v>
      </c>
      <c r="BA20" s="178">
        <v>109</v>
      </c>
      <c r="BB20" s="178">
        <v>110</v>
      </c>
      <c r="BC20" s="178">
        <v>117</v>
      </c>
      <c r="BD20" s="177">
        <f t="shared" si="34"/>
        <v>32</v>
      </c>
      <c r="BE20" s="178">
        <f t="shared" si="35"/>
        <v>35</v>
      </c>
      <c r="BF20" s="178">
        <f t="shared" si="36"/>
        <v>107</v>
      </c>
      <c r="BG20" s="178">
        <f t="shared" si="37"/>
        <v>85</v>
      </c>
      <c r="BH20" s="178">
        <f t="shared" si="38"/>
        <v>107</v>
      </c>
      <c r="BI20" s="178">
        <f t="shared" si="39"/>
        <v>84</v>
      </c>
      <c r="BJ20" s="178">
        <f t="shared" si="40"/>
        <v>109</v>
      </c>
      <c r="BK20" s="178">
        <f t="shared" si="41"/>
        <v>110</v>
      </c>
      <c r="BL20" s="178"/>
      <c r="BM20" s="178">
        <f t="shared" si="42"/>
        <v>117</v>
      </c>
      <c r="BN20" s="178"/>
      <c r="BO20" s="178"/>
      <c r="BP20" s="178">
        <v>114</v>
      </c>
      <c r="BQ20" s="178">
        <v>219</v>
      </c>
      <c r="BR20" s="178">
        <v>323</v>
      </c>
      <c r="BS20" s="178">
        <v>400</v>
      </c>
      <c r="BT20" s="178">
        <v>324</v>
      </c>
      <c r="BU20" s="178">
        <v>370</v>
      </c>
      <c r="BV20" s="178">
        <v>461</v>
      </c>
      <c r="BW20" s="3">
        <v>357</v>
      </c>
      <c r="BX20" s="1">
        <v>493</v>
      </c>
      <c r="BY20" s="1">
        <v>525</v>
      </c>
      <c r="CA20" s="1">
        <v>219</v>
      </c>
      <c r="CB20" s="1">
        <v>282</v>
      </c>
      <c r="CC20" s="1">
        <v>304</v>
      </c>
    </row>
    <row r="21" spans="1:81">
      <c r="A21" s="46" t="s">
        <v>27</v>
      </c>
      <c r="B21" s="118">
        <f>601+10</f>
        <v>611</v>
      </c>
      <c r="C21" s="109">
        <v>659</v>
      </c>
      <c r="D21" s="109">
        <f>686+117</f>
        <v>803</v>
      </c>
      <c r="E21" s="109">
        <f>677+252</f>
        <v>929</v>
      </c>
      <c r="F21" s="109">
        <v>1250</v>
      </c>
      <c r="G21" s="109">
        <v>1277</v>
      </c>
      <c r="H21" s="109">
        <v>1451</v>
      </c>
      <c r="I21" s="178">
        <v>1571</v>
      </c>
      <c r="J21" s="178">
        <v>1688</v>
      </c>
      <c r="K21" s="178">
        <v>1919</v>
      </c>
      <c r="L21" s="178">
        <v>1789</v>
      </c>
      <c r="M21" s="178"/>
      <c r="N21" s="178">
        <v>1958</v>
      </c>
      <c r="O21" s="178"/>
      <c r="P21" s="178"/>
      <c r="Q21" s="178">
        <v>2840</v>
      </c>
      <c r="R21" s="178">
        <v>2840</v>
      </c>
      <c r="S21" s="178">
        <v>3243</v>
      </c>
      <c r="T21" s="178">
        <v>3640</v>
      </c>
      <c r="U21" s="178">
        <v>3893</v>
      </c>
      <c r="V21" s="178">
        <v>4047</v>
      </c>
      <c r="W21" s="178">
        <v>4381</v>
      </c>
      <c r="X21" s="178">
        <v>4946</v>
      </c>
      <c r="Y21" s="178">
        <v>5821</v>
      </c>
      <c r="Z21" s="178">
        <v>6032</v>
      </c>
      <c r="AA21" s="178">
        <v>5899</v>
      </c>
      <c r="AB21" s="178"/>
      <c r="AC21" s="178">
        <v>5774</v>
      </c>
      <c r="AD21" s="178">
        <v>5361</v>
      </c>
      <c r="AE21" s="178">
        <v>4939</v>
      </c>
      <c r="AF21" s="177">
        <v>34</v>
      </c>
      <c r="AG21" s="178">
        <v>13</v>
      </c>
      <c r="AH21" s="178">
        <v>77</v>
      </c>
      <c r="AI21" s="178">
        <v>209</v>
      </c>
      <c r="AJ21" s="178">
        <v>257</v>
      </c>
      <c r="AK21" s="178">
        <v>132</v>
      </c>
      <c r="AL21" s="178">
        <v>51</v>
      </c>
      <c r="AM21" s="178">
        <v>32</v>
      </c>
      <c r="AN21" s="178">
        <v>147</v>
      </c>
      <c r="AO21" s="178">
        <v>84</v>
      </c>
      <c r="AP21" s="178">
        <v>39</v>
      </c>
      <c r="AQ21" s="178">
        <v>138</v>
      </c>
      <c r="AR21" s="177"/>
      <c r="AS21" s="178">
        <v>13</v>
      </c>
      <c r="AT21" s="178">
        <v>44</v>
      </c>
      <c r="AU21" s="178">
        <v>26</v>
      </c>
      <c r="AV21" s="178">
        <v>31</v>
      </c>
      <c r="AW21" s="178">
        <v>27</v>
      </c>
      <c r="AX21" s="178">
        <v>51</v>
      </c>
      <c r="AY21" s="178">
        <v>32</v>
      </c>
      <c r="AZ21" s="178">
        <v>38</v>
      </c>
      <c r="BA21" s="178">
        <v>36</v>
      </c>
      <c r="BB21" s="178">
        <v>39</v>
      </c>
      <c r="BC21" s="178">
        <v>35</v>
      </c>
      <c r="BD21" s="177">
        <f t="shared" si="34"/>
        <v>13</v>
      </c>
      <c r="BE21" s="178">
        <f t="shared" si="35"/>
        <v>257</v>
      </c>
      <c r="BF21" s="178">
        <f t="shared" si="36"/>
        <v>132</v>
      </c>
      <c r="BG21" s="178">
        <f t="shared" si="37"/>
        <v>51</v>
      </c>
      <c r="BH21" s="178">
        <f t="shared" si="38"/>
        <v>32</v>
      </c>
      <c r="BI21" s="178">
        <f t="shared" si="39"/>
        <v>147</v>
      </c>
      <c r="BJ21" s="178">
        <f t="shared" si="40"/>
        <v>84</v>
      </c>
      <c r="BK21" s="178">
        <f t="shared" si="41"/>
        <v>39</v>
      </c>
      <c r="BL21" s="178"/>
      <c r="BM21" s="178">
        <f t="shared" si="42"/>
        <v>138</v>
      </c>
      <c r="BN21" s="178"/>
      <c r="BO21" s="178"/>
      <c r="BP21" s="178">
        <v>360</v>
      </c>
      <c r="BQ21" s="178">
        <v>292</v>
      </c>
      <c r="BR21" s="178">
        <v>642</v>
      </c>
      <c r="BS21" s="178">
        <v>682</v>
      </c>
      <c r="BT21" s="178">
        <v>786</v>
      </c>
      <c r="BU21" s="178">
        <v>1058</v>
      </c>
      <c r="BV21" s="178">
        <v>1228</v>
      </c>
      <c r="BW21" s="3">
        <v>1582</v>
      </c>
      <c r="BX21" s="1">
        <v>1596</v>
      </c>
      <c r="BY21" s="1">
        <v>1750</v>
      </c>
      <c r="CA21" s="1">
        <v>413</v>
      </c>
      <c r="CB21" s="1">
        <v>958</v>
      </c>
      <c r="CC21" s="1">
        <v>921</v>
      </c>
    </row>
    <row r="22" spans="1:81">
      <c r="A22" s="48" t="s">
        <v>28</v>
      </c>
      <c r="B22" s="119">
        <f>66+30</f>
        <v>96</v>
      </c>
      <c r="C22" s="110">
        <v>79</v>
      </c>
      <c r="D22" s="110">
        <f>45+41</f>
        <v>86</v>
      </c>
      <c r="E22" s="110">
        <f>51+42</f>
        <v>93</v>
      </c>
      <c r="F22" s="110">
        <v>96</v>
      </c>
      <c r="G22" s="110">
        <v>92</v>
      </c>
      <c r="H22" s="110">
        <v>88</v>
      </c>
      <c r="I22" s="180">
        <v>83</v>
      </c>
      <c r="J22" s="180">
        <v>75</v>
      </c>
      <c r="K22" s="180">
        <v>165</v>
      </c>
      <c r="L22" s="180">
        <v>69</v>
      </c>
      <c r="M22" s="180"/>
      <c r="N22" s="180">
        <v>76</v>
      </c>
      <c r="O22" s="180"/>
      <c r="P22" s="180"/>
      <c r="Q22" s="180">
        <v>129</v>
      </c>
      <c r="R22" s="180">
        <v>92</v>
      </c>
      <c r="S22" s="180">
        <v>168</v>
      </c>
      <c r="T22" s="180">
        <v>129</v>
      </c>
      <c r="U22" s="180">
        <v>189</v>
      </c>
      <c r="V22" s="180">
        <v>205</v>
      </c>
      <c r="W22" s="180">
        <v>218</v>
      </c>
      <c r="X22" s="180">
        <v>219</v>
      </c>
      <c r="Y22" s="180">
        <v>209</v>
      </c>
      <c r="Z22" s="180">
        <v>198</v>
      </c>
      <c r="AA22" s="180">
        <v>217</v>
      </c>
      <c r="AB22" s="180"/>
      <c r="AC22" s="180">
        <v>281</v>
      </c>
      <c r="AD22" s="180">
        <v>282</v>
      </c>
      <c r="AE22" s="180">
        <v>235</v>
      </c>
      <c r="AF22" s="179" t="s">
        <v>52</v>
      </c>
      <c r="AG22" s="180" t="s">
        <v>52</v>
      </c>
      <c r="AH22" s="180" t="s">
        <v>52</v>
      </c>
      <c r="AI22" s="180" t="s">
        <v>52</v>
      </c>
      <c r="AJ22" s="180" t="s">
        <v>52</v>
      </c>
      <c r="AK22" s="180" t="s">
        <v>52</v>
      </c>
      <c r="AL22" s="180" t="s">
        <v>52</v>
      </c>
      <c r="AM22" s="180" t="s">
        <v>52</v>
      </c>
      <c r="AN22" s="180" t="s">
        <v>52</v>
      </c>
      <c r="AO22" s="180" t="s">
        <v>52</v>
      </c>
      <c r="AP22" s="180" t="s">
        <v>52</v>
      </c>
      <c r="AQ22" s="180" t="s">
        <v>52</v>
      </c>
      <c r="AR22" s="179"/>
      <c r="AS22" s="180">
        <v>22</v>
      </c>
      <c r="AT22" s="180">
        <v>16</v>
      </c>
      <c r="AU22" s="180">
        <v>21</v>
      </c>
      <c r="AV22" s="180">
        <v>15</v>
      </c>
      <c r="AW22" s="180">
        <v>25</v>
      </c>
      <c r="AX22" s="180">
        <v>19</v>
      </c>
      <c r="AY22" s="180">
        <v>26</v>
      </c>
      <c r="AZ22" s="180">
        <v>32</v>
      </c>
      <c r="BA22" s="180">
        <v>28</v>
      </c>
      <c r="BB22" s="180">
        <v>21</v>
      </c>
      <c r="BC22" s="180">
        <v>27</v>
      </c>
      <c r="BD22" s="179" t="str">
        <f t="shared" si="34"/>
        <v>NA</v>
      </c>
      <c r="BE22" s="180" t="str">
        <f t="shared" si="35"/>
        <v>NA</v>
      </c>
      <c r="BF22" s="180" t="str">
        <f t="shared" si="36"/>
        <v>NA</v>
      </c>
      <c r="BG22" s="180" t="str">
        <f t="shared" si="37"/>
        <v>NA</v>
      </c>
      <c r="BH22" s="180" t="str">
        <f t="shared" si="38"/>
        <v>NA</v>
      </c>
      <c r="BI22" s="180" t="str">
        <f t="shared" si="39"/>
        <v>NA</v>
      </c>
      <c r="BJ22" s="180" t="str">
        <f t="shared" si="40"/>
        <v>NA</v>
      </c>
      <c r="BK22" s="180" t="str">
        <f t="shared" si="41"/>
        <v>NA</v>
      </c>
      <c r="BL22" s="180"/>
      <c r="BM22" s="180" t="str">
        <f t="shared" si="42"/>
        <v>NA</v>
      </c>
      <c r="BN22" s="180"/>
      <c r="BO22" s="180"/>
      <c r="BP22" s="180">
        <v>51</v>
      </c>
      <c r="BQ22" s="180">
        <v>22</v>
      </c>
      <c r="BR22" s="180">
        <v>14</v>
      </c>
      <c r="BS22" s="180">
        <v>1</v>
      </c>
      <c r="BT22" s="180">
        <v>3</v>
      </c>
      <c r="BU22" s="180">
        <v>5</v>
      </c>
      <c r="BV22" s="180">
        <v>1</v>
      </c>
      <c r="BW22" s="3">
        <v>2</v>
      </c>
      <c r="BX22" s="1">
        <v>3</v>
      </c>
      <c r="BY22" s="1">
        <v>3</v>
      </c>
      <c r="CA22" s="1">
        <v>0</v>
      </c>
      <c r="CB22" s="1">
        <v>6</v>
      </c>
      <c r="CC22" s="1">
        <v>17</v>
      </c>
    </row>
    <row r="23" spans="1:81" s="112" customFormat="1">
      <c r="A23" s="111" t="s">
        <v>185</v>
      </c>
      <c r="B23" s="116"/>
      <c r="C23" s="59">
        <f>SUM(C25:C37)</f>
        <v>3967</v>
      </c>
      <c r="D23" s="59"/>
      <c r="E23" s="59"/>
      <c r="F23" s="59">
        <f t="shared" ref="F23:L23" si="43">SUM(F25:F37)</f>
        <v>4695</v>
      </c>
      <c r="G23" s="59">
        <f t="shared" si="43"/>
        <v>4967</v>
      </c>
      <c r="H23" s="59">
        <f t="shared" si="43"/>
        <v>5108</v>
      </c>
      <c r="I23" s="174">
        <f t="shared" si="43"/>
        <v>5618</v>
      </c>
      <c r="J23" s="174">
        <f t="shared" si="43"/>
        <v>6233</v>
      </c>
      <c r="K23" s="174">
        <f t="shared" si="43"/>
        <v>7189</v>
      </c>
      <c r="L23" s="174">
        <f t="shared" si="43"/>
        <v>6961</v>
      </c>
      <c r="M23" s="174"/>
      <c r="N23" s="174">
        <f>SUM(N25:N37)</f>
        <v>7631</v>
      </c>
      <c r="O23" s="174"/>
      <c r="P23" s="174"/>
      <c r="Q23" s="174">
        <f t="shared" ref="Q23:Y23" si="44">SUM(Q25:Q37)</f>
        <v>8600</v>
      </c>
      <c r="R23" s="174">
        <f t="shared" si="44"/>
        <v>8784</v>
      </c>
      <c r="S23" s="174">
        <f t="shared" si="44"/>
        <v>9166</v>
      </c>
      <c r="T23" s="174">
        <f t="shared" si="44"/>
        <v>9164</v>
      </c>
      <c r="U23" s="174">
        <f t="shared" si="44"/>
        <v>10070</v>
      </c>
      <c r="V23" s="174">
        <f t="shared" si="44"/>
        <v>10883</v>
      </c>
      <c r="W23" s="174">
        <f t="shared" si="44"/>
        <v>13056</v>
      </c>
      <c r="X23" s="174">
        <f t="shared" si="44"/>
        <v>15454</v>
      </c>
      <c r="Y23" s="174">
        <f t="shared" si="44"/>
        <v>10144</v>
      </c>
      <c r="Z23" s="174">
        <f t="shared" ref="Z23:AA23" si="45">SUM(Z25:Z37)</f>
        <v>16841</v>
      </c>
      <c r="AA23" s="174">
        <f t="shared" si="45"/>
        <v>15665</v>
      </c>
      <c r="AB23" s="174">
        <f t="shared" ref="AB23:AC23" si="46">SUM(AB25:AB37)</f>
        <v>0</v>
      </c>
      <c r="AC23" s="174">
        <f t="shared" si="46"/>
        <v>15140</v>
      </c>
      <c r="AD23" s="174">
        <f t="shared" ref="AD23:AE23" si="47">SUM(AD25:AD37)</f>
        <v>14505</v>
      </c>
      <c r="AE23" s="174">
        <f t="shared" si="47"/>
        <v>14819</v>
      </c>
      <c r="AF23" s="173"/>
      <c r="AG23" s="174">
        <f>SUM(AG25:AG37)</f>
        <v>330</v>
      </c>
      <c r="AH23" s="174"/>
      <c r="AI23" s="174"/>
      <c r="AJ23" s="174">
        <f t="shared" ref="AJ23:AQ23" si="48">SUM(AJ25:AJ37)</f>
        <v>239</v>
      </c>
      <c r="AK23" s="174">
        <f t="shared" si="48"/>
        <v>345</v>
      </c>
      <c r="AL23" s="174">
        <f t="shared" si="48"/>
        <v>297</v>
      </c>
      <c r="AM23" s="174">
        <f t="shared" si="48"/>
        <v>376</v>
      </c>
      <c r="AN23" s="174">
        <f t="shared" si="48"/>
        <v>464</v>
      </c>
      <c r="AO23" s="174">
        <f t="shared" si="48"/>
        <v>523</v>
      </c>
      <c r="AP23" s="174">
        <f t="shared" si="48"/>
        <v>458</v>
      </c>
      <c r="AQ23" s="174">
        <f t="shared" si="48"/>
        <v>413</v>
      </c>
      <c r="AR23" s="173"/>
      <c r="AS23" s="174">
        <f>SUM(AS25:AS37)</f>
        <v>0</v>
      </c>
      <c r="AT23" s="174"/>
      <c r="AU23" s="174"/>
      <c r="AV23" s="174">
        <f t="shared" ref="AV23:BK23" si="49">SUM(AV25:AV37)</f>
        <v>0</v>
      </c>
      <c r="AW23" s="174">
        <f t="shared" si="49"/>
        <v>0</v>
      </c>
      <c r="AX23" s="174">
        <f t="shared" si="49"/>
        <v>0</v>
      </c>
      <c r="AY23" s="174">
        <f t="shared" si="49"/>
        <v>0</v>
      </c>
      <c r="AZ23" s="174">
        <f t="shared" si="49"/>
        <v>0</v>
      </c>
      <c r="BA23" s="174">
        <f t="shared" si="49"/>
        <v>0</v>
      </c>
      <c r="BB23" s="174">
        <f t="shared" si="49"/>
        <v>0</v>
      </c>
      <c r="BC23" s="174">
        <f t="shared" si="49"/>
        <v>0</v>
      </c>
      <c r="BD23" s="173">
        <f t="shared" si="49"/>
        <v>0</v>
      </c>
      <c r="BE23" s="174">
        <f t="shared" si="49"/>
        <v>0</v>
      </c>
      <c r="BF23" s="174">
        <f t="shared" si="49"/>
        <v>0</v>
      </c>
      <c r="BG23" s="174">
        <f t="shared" si="49"/>
        <v>0</v>
      </c>
      <c r="BH23" s="174">
        <f t="shared" si="49"/>
        <v>0</v>
      </c>
      <c r="BI23" s="174">
        <f t="shared" si="49"/>
        <v>0</v>
      </c>
      <c r="BJ23" s="174">
        <f t="shared" si="49"/>
        <v>0</v>
      </c>
      <c r="BK23" s="174">
        <f t="shared" si="49"/>
        <v>0</v>
      </c>
      <c r="BL23" s="174"/>
      <c r="BM23" s="174">
        <f>SUM(BM25:BM37)</f>
        <v>0</v>
      </c>
      <c r="BN23" s="174"/>
      <c r="BO23" s="174"/>
      <c r="BP23" s="174">
        <f t="shared" ref="BP23:BW23" si="50">SUM(BP25:BP37)</f>
        <v>571</v>
      </c>
      <c r="BQ23" s="174">
        <f t="shared" si="50"/>
        <v>432</v>
      </c>
      <c r="BR23" s="174">
        <f t="shared" si="50"/>
        <v>526</v>
      </c>
      <c r="BS23" s="174">
        <f t="shared" si="50"/>
        <v>350</v>
      </c>
      <c r="BT23" s="174">
        <f t="shared" si="50"/>
        <v>275</v>
      </c>
      <c r="BU23" s="174">
        <f t="shared" si="50"/>
        <v>283</v>
      </c>
      <c r="BV23" s="174">
        <f t="shared" si="50"/>
        <v>138</v>
      </c>
      <c r="BW23" s="174">
        <f t="shared" si="50"/>
        <v>116</v>
      </c>
      <c r="BX23" s="174">
        <f t="shared" ref="BX23:BY23" si="51">SUM(BX25:BX37)</f>
        <v>153</v>
      </c>
      <c r="BY23" s="174">
        <f t="shared" si="51"/>
        <v>194</v>
      </c>
      <c r="BZ23" s="174">
        <f t="shared" ref="BZ23:CA23" si="52">SUM(BZ25:BZ37)</f>
        <v>0</v>
      </c>
      <c r="CA23" s="174">
        <f t="shared" si="52"/>
        <v>0</v>
      </c>
      <c r="CB23" s="174">
        <f t="shared" ref="CB23:CC23" si="53">SUM(CB25:CB37)</f>
        <v>431</v>
      </c>
      <c r="CC23" s="174">
        <f t="shared" si="53"/>
        <v>425</v>
      </c>
    </row>
    <row r="24" spans="1:81" s="112" customFormat="1">
      <c r="A24" s="58" t="s">
        <v>189</v>
      </c>
      <c r="B24" s="117"/>
      <c r="C24" s="58">
        <f>(C23/C$4)*100</f>
        <v>12.185906493825643</v>
      </c>
      <c r="D24" s="58">
        <f t="shared" ref="D24:BU24" si="54">(D23/D$4)*100</f>
        <v>0</v>
      </c>
      <c r="E24" s="58">
        <f t="shared" si="54"/>
        <v>0</v>
      </c>
      <c r="F24" s="58">
        <f t="shared" si="54"/>
        <v>12.140252889612908</v>
      </c>
      <c r="G24" s="58">
        <f t="shared" si="54"/>
        <v>12.050852803454886</v>
      </c>
      <c r="H24" s="58">
        <f t="shared" si="54"/>
        <v>11.666895071033759</v>
      </c>
      <c r="I24" s="176">
        <f t="shared" si="54"/>
        <v>12.526757046022119</v>
      </c>
      <c r="J24" s="176">
        <f t="shared" si="54"/>
        <v>12.698897785383942</v>
      </c>
      <c r="K24" s="176">
        <f t="shared" si="54"/>
        <v>13.516714924980258</v>
      </c>
      <c r="L24" s="176">
        <f t="shared" si="54"/>
        <v>12.890740740740741</v>
      </c>
      <c r="M24" s="176"/>
      <c r="N24" s="176">
        <f t="shared" si="54"/>
        <v>13.078650144823211</v>
      </c>
      <c r="O24" s="176"/>
      <c r="P24" s="176"/>
      <c r="Q24" s="176">
        <f t="shared" si="54"/>
        <v>11.999274462474361</v>
      </c>
      <c r="R24" s="176">
        <f t="shared" si="54"/>
        <v>11.436457614540341</v>
      </c>
      <c r="S24" s="176">
        <f t="shared" si="54"/>
        <v>11.36656746031746</v>
      </c>
      <c r="T24" s="176">
        <f t="shared" ref="T24" si="55">(T23/T$4)*100</f>
        <v>11.005031763759291</v>
      </c>
      <c r="U24" s="176">
        <f t="shared" si="54"/>
        <v>11.725390652290352</v>
      </c>
      <c r="V24" s="176">
        <f t="shared" si="54"/>
        <v>12.226441378690515</v>
      </c>
      <c r="W24" s="176">
        <f t="shared" ref="W24:X24" si="56">(W23/W$4)*100</f>
        <v>13.833879017133413</v>
      </c>
      <c r="X24" s="176">
        <f t="shared" si="56"/>
        <v>14.769436612988008</v>
      </c>
      <c r="Y24" s="176">
        <f t="shared" ref="Y24:Z24" si="57">(Y23/Y$4)*100</f>
        <v>9.2745142857142859</v>
      </c>
      <c r="Z24" s="176">
        <f t="shared" si="57"/>
        <v>13.17535322557932</v>
      </c>
      <c r="AA24" s="176">
        <f t="shared" ref="AA24:AC24" si="58">(AA23/AA$4)*100</f>
        <v>12.493121406183956</v>
      </c>
      <c r="AB24" s="176" t="e">
        <f t="shared" si="58"/>
        <v>#DIV/0!</v>
      </c>
      <c r="AC24" s="176">
        <f t="shared" si="58"/>
        <v>11.811699355583642</v>
      </c>
      <c r="AD24" s="176">
        <f t="shared" ref="AD24:AE24" si="59">(AD23/AD$4)*100</f>
        <v>11.520590921726699</v>
      </c>
      <c r="AE24" s="176">
        <f t="shared" si="59"/>
        <v>12.064936862416245</v>
      </c>
      <c r="AF24" s="175">
        <f t="shared" si="54"/>
        <v>0</v>
      </c>
      <c r="AG24" s="176">
        <f t="shared" si="54"/>
        <v>5.9652928416485906</v>
      </c>
      <c r="AH24" s="176">
        <f t="shared" si="54"/>
        <v>0</v>
      </c>
      <c r="AI24" s="176">
        <f t="shared" si="54"/>
        <v>0</v>
      </c>
      <c r="AJ24" s="176">
        <f t="shared" si="54"/>
        <v>3.5783799970055394</v>
      </c>
      <c r="AK24" s="176">
        <f t="shared" si="54"/>
        <v>4.9349163209841223</v>
      </c>
      <c r="AL24" s="176">
        <f t="shared" si="54"/>
        <v>6.562085726911179</v>
      </c>
      <c r="AM24" s="176">
        <f t="shared" si="54"/>
        <v>6.9449575175470999</v>
      </c>
      <c r="AN24" s="176">
        <f t="shared" si="54"/>
        <v>8.8229701464156687</v>
      </c>
      <c r="AO24" s="176">
        <f t="shared" si="54"/>
        <v>7.8106332138590213</v>
      </c>
      <c r="AP24" s="176">
        <f t="shared" si="54"/>
        <v>6.8924003009781787</v>
      </c>
      <c r="AQ24" s="176">
        <f t="shared" si="54"/>
        <v>5.6320741851902358</v>
      </c>
      <c r="AR24" s="175"/>
      <c r="AS24" s="176">
        <f t="shared" si="54"/>
        <v>0</v>
      </c>
      <c r="AT24" s="176">
        <f t="shared" si="54"/>
        <v>0</v>
      </c>
      <c r="AU24" s="176">
        <f t="shared" si="54"/>
        <v>0</v>
      </c>
      <c r="AV24" s="176">
        <f t="shared" si="54"/>
        <v>0</v>
      </c>
      <c r="AW24" s="176">
        <f t="shared" si="54"/>
        <v>0</v>
      </c>
      <c r="AX24" s="176">
        <f t="shared" si="54"/>
        <v>0</v>
      </c>
      <c r="AY24" s="176">
        <f t="shared" si="54"/>
        <v>0</v>
      </c>
      <c r="AZ24" s="176">
        <f t="shared" si="54"/>
        <v>0</v>
      </c>
      <c r="BA24" s="176">
        <f t="shared" si="54"/>
        <v>0</v>
      </c>
      <c r="BB24" s="176">
        <f t="shared" si="54"/>
        <v>0</v>
      </c>
      <c r="BC24" s="176">
        <f t="shared" si="54"/>
        <v>0</v>
      </c>
      <c r="BD24" s="175">
        <f t="shared" si="54"/>
        <v>0</v>
      </c>
      <c r="BE24" s="176">
        <f t="shared" si="54"/>
        <v>0</v>
      </c>
      <c r="BF24" s="176">
        <f t="shared" si="54"/>
        <v>0</v>
      </c>
      <c r="BG24" s="176">
        <f t="shared" si="54"/>
        <v>0</v>
      </c>
      <c r="BH24" s="176">
        <f t="shared" si="54"/>
        <v>0</v>
      </c>
      <c r="BI24" s="176">
        <f t="shared" si="54"/>
        <v>0</v>
      </c>
      <c r="BJ24" s="176">
        <f t="shared" si="54"/>
        <v>0</v>
      </c>
      <c r="BK24" s="176">
        <f t="shared" si="54"/>
        <v>0</v>
      </c>
      <c r="BL24" s="176"/>
      <c r="BM24" s="176">
        <f t="shared" si="54"/>
        <v>0</v>
      </c>
      <c r="BN24" s="176"/>
      <c r="BO24" s="176"/>
      <c r="BP24" s="176">
        <f t="shared" si="54"/>
        <v>4.9747342742638088</v>
      </c>
      <c r="BQ24" s="176">
        <f t="shared" si="54"/>
        <v>3.6272040302267001</v>
      </c>
      <c r="BR24" s="176">
        <f t="shared" si="54"/>
        <v>3.7199434229137198</v>
      </c>
      <c r="BS24" s="176">
        <f t="shared" ref="BS24" si="60">(BS23/BS$4)*100</f>
        <v>2.2937282915000985</v>
      </c>
      <c r="BT24" s="176">
        <f t="shared" si="54"/>
        <v>1.6758074344911638</v>
      </c>
      <c r="BU24" s="176">
        <f t="shared" si="54"/>
        <v>1.6473601490191514</v>
      </c>
      <c r="BV24" s="176">
        <f t="shared" ref="BV24:BW24" si="61">(BV23/BV$4)*100</f>
        <v>0.74663204025320562</v>
      </c>
      <c r="BW24" s="176">
        <f t="shared" si="61"/>
        <v>0.53473470704835657</v>
      </c>
      <c r="BX24" s="176">
        <f t="shared" ref="BX24:BY24" si="62">(BX23/BX$4)*100</f>
        <v>0.63241433472492037</v>
      </c>
      <c r="BY24" s="176">
        <f t="shared" si="62"/>
        <v>0.79756618977141913</v>
      </c>
      <c r="BZ24" s="176" t="e">
        <f t="shared" ref="BZ24:CA24" si="63">(BZ23/BZ$4)*100</f>
        <v>#DIV/0!</v>
      </c>
      <c r="CA24" s="176">
        <f t="shared" si="63"/>
        <v>0</v>
      </c>
      <c r="CB24" s="176">
        <f t="shared" ref="CB24:CC24" si="64">(CB23/CB$4)*100</f>
        <v>1.9791523166643707</v>
      </c>
      <c r="CC24" s="176">
        <f t="shared" si="64"/>
        <v>2.4814620190342733</v>
      </c>
    </row>
    <row r="25" spans="1:81">
      <c r="A25" s="46" t="s">
        <v>112</v>
      </c>
      <c r="B25" s="118"/>
      <c r="C25" s="109">
        <v>34</v>
      </c>
      <c r="D25" s="109"/>
      <c r="E25" s="109"/>
      <c r="F25" s="109">
        <v>45</v>
      </c>
      <c r="G25" s="109">
        <v>47</v>
      </c>
      <c r="H25" s="109">
        <v>64</v>
      </c>
      <c r="I25" s="178">
        <v>64</v>
      </c>
      <c r="J25" s="178">
        <v>56</v>
      </c>
      <c r="K25" s="178">
        <v>64</v>
      </c>
      <c r="L25" s="178">
        <v>75</v>
      </c>
      <c r="M25" s="178"/>
      <c r="N25" s="178">
        <v>52</v>
      </c>
      <c r="O25" s="178"/>
      <c r="P25" s="178"/>
      <c r="Q25" s="178">
        <v>51</v>
      </c>
      <c r="R25" s="178">
        <v>51</v>
      </c>
      <c r="S25" s="178">
        <v>31</v>
      </c>
      <c r="T25" s="178">
        <v>44</v>
      </c>
      <c r="U25" s="178">
        <v>42</v>
      </c>
      <c r="V25" s="178">
        <v>31</v>
      </c>
      <c r="W25" s="178">
        <v>49</v>
      </c>
      <c r="X25" s="178">
        <v>57</v>
      </c>
      <c r="Y25" s="178">
        <v>58</v>
      </c>
      <c r="Z25" s="178">
        <v>57</v>
      </c>
      <c r="AA25" s="178">
        <v>65</v>
      </c>
      <c r="AB25" s="178"/>
      <c r="AC25" s="178">
        <v>50</v>
      </c>
      <c r="AD25" s="178">
        <v>36</v>
      </c>
      <c r="AE25" s="178">
        <v>45</v>
      </c>
      <c r="AF25" s="177" t="s">
        <v>52</v>
      </c>
      <c r="AG25" s="178" t="s">
        <v>52</v>
      </c>
      <c r="AH25" s="178" t="s">
        <v>52</v>
      </c>
      <c r="AI25" s="178" t="s">
        <v>52</v>
      </c>
      <c r="AJ25" s="178" t="s">
        <v>52</v>
      </c>
      <c r="AK25" s="178" t="s">
        <v>52</v>
      </c>
      <c r="AL25" s="178" t="s">
        <v>52</v>
      </c>
      <c r="AM25" s="178" t="s">
        <v>52</v>
      </c>
      <c r="AN25" s="178" t="s">
        <v>52</v>
      </c>
      <c r="AO25" s="178" t="s">
        <v>52</v>
      </c>
      <c r="AP25" s="178" t="s">
        <v>52</v>
      </c>
      <c r="AQ25" s="178" t="s">
        <v>52</v>
      </c>
      <c r="AR25" s="177" t="s">
        <v>52</v>
      </c>
      <c r="AS25" s="178" t="s">
        <v>52</v>
      </c>
      <c r="AT25" s="178" t="s">
        <v>52</v>
      </c>
      <c r="AU25" s="178" t="s">
        <v>52</v>
      </c>
      <c r="AV25" s="178" t="s">
        <v>52</v>
      </c>
      <c r="AW25" s="178" t="s">
        <v>52</v>
      </c>
      <c r="AX25" s="178" t="s">
        <v>52</v>
      </c>
      <c r="AY25" s="178" t="s">
        <v>52</v>
      </c>
      <c r="AZ25" s="178" t="s">
        <v>52</v>
      </c>
      <c r="BA25" s="178" t="s">
        <v>52</v>
      </c>
      <c r="BB25" s="178" t="s">
        <v>52</v>
      </c>
      <c r="BC25" s="178" t="s">
        <v>52</v>
      </c>
      <c r="BD25" s="177" t="str">
        <f t="shared" ref="BD25:BD37" si="65">IF(AG25&gt;AS25,(AG25),(AS25))</f>
        <v>NA</v>
      </c>
      <c r="BE25" s="178" t="str">
        <f t="shared" ref="BE25:BE37" si="66">IF(AJ25&gt;AV25,(AJ25),(AV25))</f>
        <v>NA</v>
      </c>
      <c r="BF25" s="178" t="str">
        <f t="shared" ref="BF25:BF37" si="67">IF(AK25&gt;AW25,(AK25),(AW25))</f>
        <v>NA</v>
      </c>
      <c r="BG25" s="178" t="str">
        <f t="shared" ref="BG25:BG37" si="68">IF(AL25&gt;AX25,(AL25),(AX25))</f>
        <v>NA</v>
      </c>
      <c r="BH25" s="178" t="str">
        <f t="shared" ref="BH25:BH37" si="69">IF(AM25&gt;AY25,(AM25),(AY25))</f>
        <v>NA</v>
      </c>
      <c r="BI25" s="178" t="str">
        <f t="shared" ref="BI25:BI37" si="70">IF(AN25&gt;AZ25,(AN25),(AZ25))</f>
        <v>NA</v>
      </c>
      <c r="BJ25" s="178" t="str">
        <f t="shared" ref="BJ25:BJ37" si="71">IF(AO25&gt;BA25,(AO25),(BA25))</f>
        <v>NA</v>
      </c>
      <c r="BK25" s="178" t="str">
        <f t="shared" ref="BK25:BK37" si="72">IF(AP25&gt;BB25,(AP25),(BB25))</f>
        <v>NA</v>
      </c>
      <c r="BL25" s="178"/>
      <c r="BM25" s="178" t="str">
        <f t="shared" ref="BM25:BM37" si="73">IF(AQ25&gt;BC25,(AQ25),(BC25))</f>
        <v>NA</v>
      </c>
      <c r="BN25" s="178"/>
      <c r="BO25" s="178"/>
      <c r="BP25" s="178" t="s">
        <v>52</v>
      </c>
      <c r="BQ25" s="178" t="s">
        <v>52</v>
      </c>
      <c r="BR25" s="178" t="s">
        <v>52</v>
      </c>
      <c r="BS25" s="178" t="s">
        <v>52</v>
      </c>
      <c r="BT25" s="178" t="s">
        <v>52</v>
      </c>
      <c r="BU25" s="178" t="s">
        <v>52</v>
      </c>
      <c r="BV25" s="178" t="s">
        <v>52</v>
      </c>
      <c r="BW25" s="178" t="s">
        <v>52</v>
      </c>
      <c r="BX25" s="178" t="s">
        <v>52</v>
      </c>
      <c r="BY25" s="178" t="s">
        <v>52</v>
      </c>
      <c r="BZ25" s="178" t="s">
        <v>52</v>
      </c>
      <c r="CA25" s="178" t="s">
        <v>52</v>
      </c>
      <c r="CB25" s="178" t="s">
        <v>52</v>
      </c>
      <c r="CC25" s="178" t="s">
        <v>52</v>
      </c>
    </row>
    <row r="26" spans="1:81">
      <c r="A26" s="46" t="s">
        <v>113</v>
      </c>
      <c r="B26" s="118"/>
      <c r="C26" s="109">
        <v>198</v>
      </c>
      <c r="D26" s="109"/>
      <c r="E26" s="109"/>
      <c r="F26" s="109">
        <v>267</v>
      </c>
      <c r="G26" s="109">
        <v>222</v>
      </c>
      <c r="H26" s="109">
        <v>272</v>
      </c>
      <c r="I26" s="178">
        <v>206</v>
      </c>
      <c r="J26" s="178">
        <v>232</v>
      </c>
      <c r="K26" s="178">
        <v>349</v>
      </c>
      <c r="L26" s="178">
        <v>421</v>
      </c>
      <c r="M26" s="178"/>
      <c r="N26" s="178">
        <v>480</v>
      </c>
      <c r="O26" s="178"/>
      <c r="P26" s="178"/>
      <c r="Q26" s="178">
        <v>555</v>
      </c>
      <c r="R26" s="178">
        <v>688</v>
      </c>
      <c r="S26" s="178">
        <v>859</v>
      </c>
      <c r="T26" s="178">
        <v>890</v>
      </c>
      <c r="U26" s="178">
        <v>1848</v>
      </c>
      <c r="V26" s="178">
        <v>2355</v>
      </c>
      <c r="W26" s="178">
        <v>4076</v>
      </c>
      <c r="X26" s="178">
        <v>5708</v>
      </c>
      <c r="Y26" s="178">
        <v>1073</v>
      </c>
      <c r="Z26" s="178">
        <v>7136</v>
      </c>
      <c r="AA26" s="178">
        <v>5587</v>
      </c>
      <c r="AB26" s="178"/>
      <c r="AC26" s="178">
        <v>4021</v>
      </c>
      <c r="AD26" s="178">
        <v>3074</v>
      </c>
      <c r="AE26" s="178">
        <v>2896</v>
      </c>
      <c r="AF26" s="177" t="s">
        <v>52</v>
      </c>
      <c r="AG26" s="178" t="s">
        <v>52</v>
      </c>
      <c r="AH26" s="178" t="s">
        <v>52</v>
      </c>
      <c r="AI26" s="178" t="s">
        <v>52</v>
      </c>
      <c r="AJ26" s="178" t="s">
        <v>52</v>
      </c>
      <c r="AK26" s="178" t="s">
        <v>52</v>
      </c>
      <c r="AL26" s="178" t="s">
        <v>52</v>
      </c>
      <c r="AM26" s="178" t="s">
        <v>52</v>
      </c>
      <c r="AN26" s="178" t="s">
        <v>52</v>
      </c>
      <c r="AO26" s="178" t="s">
        <v>52</v>
      </c>
      <c r="AP26" s="178" t="s">
        <v>52</v>
      </c>
      <c r="AQ26" s="178" t="s">
        <v>52</v>
      </c>
      <c r="AR26" s="177" t="s">
        <v>52</v>
      </c>
      <c r="AS26" s="178" t="s">
        <v>52</v>
      </c>
      <c r="AT26" s="178" t="s">
        <v>52</v>
      </c>
      <c r="AU26" s="178" t="s">
        <v>52</v>
      </c>
      <c r="AV26" s="178" t="s">
        <v>52</v>
      </c>
      <c r="AW26" s="178" t="s">
        <v>52</v>
      </c>
      <c r="AX26" s="178" t="s">
        <v>52</v>
      </c>
      <c r="AY26" s="178" t="s">
        <v>52</v>
      </c>
      <c r="AZ26" s="178" t="s">
        <v>52</v>
      </c>
      <c r="BA26" s="178" t="s">
        <v>52</v>
      </c>
      <c r="BB26" s="178" t="s">
        <v>52</v>
      </c>
      <c r="BC26" s="178" t="s">
        <v>52</v>
      </c>
      <c r="BD26" s="177" t="str">
        <f t="shared" si="65"/>
        <v>NA</v>
      </c>
      <c r="BE26" s="178" t="str">
        <f t="shared" si="66"/>
        <v>NA</v>
      </c>
      <c r="BF26" s="178" t="str">
        <f t="shared" si="67"/>
        <v>NA</v>
      </c>
      <c r="BG26" s="178" t="str">
        <f t="shared" si="68"/>
        <v>NA</v>
      </c>
      <c r="BH26" s="178" t="str">
        <f t="shared" si="69"/>
        <v>NA</v>
      </c>
      <c r="BI26" s="178" t="str">
        <f t="shared" si="70"/>
        <v>NA</v>
      </c>
      <c r="BJ26" s="178" t="str">
        <f t="shared" si="71"/>
        <v>NA</v>
      </c>
      <c r="BK26" s="178" t="str">
        <f t="shared" si="72"/>
        <v>NA</v>
      </c>
      <c r="BL26" s="178"/>
      <c r="BM26" s="178"/>
      <c r="BN26" s="178"/>
      <c r="BO26" s="178"/>
      <c r="BP26" s="178" t="s">
        <v>52</v>
      </c>
      <c r="BQ26" s="178" t="s">
        <v>52</v>
      </c>
      <c r="BR26" s="178" t="s">
        <v>52</v>
      </c>
      <c r="BS26" s="178" t="s">
        <v>52</v>
      </c>
      <c r="BT26" s="178" t="s">
        <v>52</v>
      </c>
      <c r="BU26" s="178" t="s">
        <v>52</v>
      </c>
      <c r="BV26" s="178" t="s">
        <v>52</v>
      </c>
      <c r="BW26" s="178" t="s">
        <v>52</v>
      </c>
      <c r="BX26" s="178" t="s">
        <v>52</v>
      </c>
      <c r="BY26" s="178" t="s">
        <v>52</v>
      </c>
      <c r="BZ26" s="178" t="s">
        <v>52</v>
      </c>
      <c r="CA26" s="178" t="s">
        <v>52</v>
      </c>
      <c r="CB26" s="178" t="s">
        <v>52</v>
      </c>
      <c r="CC26" s="178" t="s">
        <v>52</v>
      </c>
    </row>
    <row r="27" spans="1:81">
      <c r="A27" s="46" t="s">
        <v>114</v>
      </c>
      <c r="B27" s="118"/>
      <c r="C27" s="109">
        <v>2974</v>
      </c>
      <c r="D27" s="109"/>
      <c r="E27" s="109"/>
      <c r="F27" s="109">
        <v>3259</v>
      </c>
      <c r="G27" s="109">
        <v>3577</v>
      </c>
      <c r="H27" s="109">
        <v>3552</v>
      </c>
      <c r="I27" s="178">
        <v>4089</v>
      </c>
      <c r="J27" s="178">
        <v>4457</v>
      </c>
      <c r="K27" s="178">
        <v>5208</v>
      </c>
      <c r="L27" s="178">
        <v>4989</v>
      </c>
      <c r="M27" s="178"/>
      <c r="N27" s="178">
        <v>5630</v>
      </c>
      <c r="O27" s="178"/>
      <c r="P27" s="178"/>
      <c r="Q27" s="178">
        <v>6176</v>
      </c>
      <c r="R27" s="178">
        <v>6056</v>
      </c>
      <c r="S27" s="178">
        <v>6321</v>
      </c>
      <c r="T27" s="178">
        <v>6272</v>
      </c>
      <c r="U27" s="178">
        <v>6270</v>
      </c>
      <c r="V27" s="178">
        <v>6217</v>
      </c>
      <c r="W27" s="178">
        <v>5880</v>
      </c>
      <c r="X27" s="178">
        <v>6537</v>
      </c>
      <c r="Y27" s="178">
        <v>6444</v>
      </c>
      <c r="Z27" s="178">
        <v>6940</v>
      </c>
      <c r="AA27" s="178">
        <v>7142</v>
      </c>
      <c r="AB27" s="178"/>
      <c r="AC27" s="178">
        <v>8072</v>
      </c>
      <c r="AD27" s="178">
        <v>7884</v>
      </c>
      <c r="AE27" s="178">
        <v>8277</v>
      </c>
      <c r="AF27" s="177"/>
      <c r="AG27" s="178">
        <v>330</v>
      </c>
      <c r="AH27" s="178"/>
      <c r="AI27" s="178"/>
      <c r="AJ27" s="178">
        <v>239</v>
      </c>
      <c r="AK27" s="178">
        <v>345</v>
      </c>
      <c r="AL27" s="178">
        <v>297</v>
      </c>
      <c r="AM27" s="178">
        <v>376</v>
      </c>
      <c r="AN27" s="178">
        <v>464</v>
      </c>
      <c r="AO27" s="178">
        <v>523</v>
      </c>
      <c r="AP27" s="178">
        <v>458</v>
      </c>
      <c r="AQ27" s="178">
        <v>413</v>
      </c>
      <c r="AR27" s="177" t="s">
        <v>52</v>
      </c>
      <c r="AS27" s="178" t="s">
        <v>52</v>
      </c>
      <c r="AT27" s="178" t="s">
        <v>52</v>
      </c>
      <c r="AU27" s="178" t="s">
        <v>52</v>
      </c>
      <c r="AV27" s="178" t="s">
        <v>52</v>
      </c>
      <c r="AW27" s="178" t="s">
        <v>52</v>
      </c>
      <c r="AX27" s="178" t="s">
        <v>52</v>
      </c>
      <c r="AY27" s="178" t="s">
        <v>52</v>
      </c>
      <c r="AZ27" s="178" t="s">
        <v>52</v>
      </c>
      <c r="BA27" s="178" t="s">
        <v>52</v>
      </c>
      <c r="BB27" s="178" t="s">
        <v>52</v>
      </c>
      <c r="BC27" s="178" t="s">
        <v>52</v>
      </c>
      <c r="BD27" s="177" t="str">
        <f t="shared" si="65"/>
        <v>NA</v>
      </c>
      <c r="BE27" s="178" t="str">
        <f t="shared" si="66"/>
        <v>NA</v>
      </c>
      <c r="BF27" s="178" t="str">
        <f t="shared" si="67"/>
        <v>NA</v>
      </c>
      <c r="BG27" s="178" t="str">
        <f t="shared" si="68"/>
        <v>NA</v>
      </c>
      <c r="BH27" s="178" t="str">
        <f t="shared" si="69"/>
        <v>NA</v>
      </c>
      <c r="BI27" s="178" t="str">
        <f t="shared" si="70"/>
        <v>NA</v>
      </c>
      <c r="BJ27" s="178" t="str">
        <f t="shared" si="71"/>
        <v>NA</v>
      </c>
      <c r="BK27" s="178" t="str">
        <f t="shared" si="72"/>
        <v>NA</v>
      </c>
      <c r="BL27" s="178"/>
      <c r="BM27" s="178" t="str">
        <f t="shared" si="73"/>
        <v>NA</v>
      </c>
      <c r="BN27" s="178"/>
      <c r="BO27" s="178"/>
      <c r="BP27" s="178">
        <v>571</v>
      </c>
      <c r="BQ27" s="178">
        <v>432</v>
      </c>
      <c r="BR27" s="178">
        <v>526</v>
      </c>
      <c r="BS27" s="178">
        <v>350</v>
      </c>
      <c r="BT27" s="178">
        <v>275</v>
      </c>
      <c r="BU27" s="178">
        <v>283</v>
      </c>
      <c r="BV27" s="178">
        <v>138</v>
      </c>
      <c r="BW27" s="3">
        <v>116</v>
      </c>
      <c r="BX27" s="1">
        <v>153</v>
      </c>
      <c r="BY27" s="1">
        <v>194</v>
      </c>
      <c r="CA27" s="1">
        <v>0</v>
      </c>
      <c r="CB27" s="1">
        <v>431</v>
      </c>
      <c r="CC27" s="1">
        <v>425</v>
      </c>
    </row>
    <row r="28" spans="1:81">
      <c r="A28" s="46" t="s">
        <v>115</v>
      </c>
      <c r="B28" s="118"/>
      <c r="C28" s="109">
        <v>248</v>
      </c>
      <c r="D28" s="109"/>
      <c r="E28" s="109"/>
      <c r="F28" s="109">
        <v>274</v>
      </c>
      <c r="G28" s="109">
        <v>316</v>
      </c>
      <c r="H28" s="109">
        <v>332</v>
      </c>
      <c r="I28" s="178">
        <v>360</v>
      </c>
      <c r="J28" s="178">
        <v>512</v>
      </c>
      <c r="K28" s="178">
        <v>451</v>
      </c>
      <c r="L28" s="178">
        <v>409</v>
      </c>
      <c r="M28" s="178"/>
      <c r="N28" s="178">
        <v>387</v>
      </c>
      <c r="O28" s="178"/>
      <c r="P28" s="178"/>
      <c r="Q28" s="178">
        <v>526</v>
      </c>
      <c r="R28" s="178">
        <v>681</v>
      </c>
      <c r="S28" s="178">
        <v>555</v>
      </c>
      <c r="T28" s="178">
        <v>499</v>
      </c>
      <c r="U28" s="178">
        <v>475</v>
      </c>
      <c r="V28" s="178">
        <v>870</v>
      </c>
      <c r="W28" s="178">
        <v>1634</v>
      </c>
      <c r="X28" s="178">
        <v>1554</v>
      </c>
      <c r="Y28" s="178">
        <v>608</v>
      </c>
      <c r="Z28" s="178">
        <v>615</v>
      </c>
      <c r="AA28" s="178">
        <v>643</v>
      </c>
      <c r="AB28" s="178"/>
      <c r="AC28" s="178">
        <v>598</v>
      </c>
      <c r="AD28" s="178">
        <v>1085</v>
      </c>
      <c r="AE28" s="178">
        <v>1083</v>
      </c>
      <c r="AF28" s="177" t="s">
        <v>52</v>
      </c>
      <c r="AG28" s="178" t="s">
        <v>52</v>
      </c>
      <c r="AH28" s="178" t="s">
        <v>52</v>
      </c>
      <c r="AI28" s="178" t="s">
        <v>52</v>
      </c>
      <c r="AJ28" s="178" t="s">
        <v>52</v>
      </c>
      <c r="AK28" s="178" t="s">
        <v>52</v>
      </c>
      <c r="AL28" s="178" t="s">
        <v>52</v>
      </c>
      <c r="AM28" s="178" t="s">
        <v>52</v>
      </c>
      <c r="AN28" s="178" t="s">
        <v>52</v>
      </c>
      <c r="AO28" s="178" t="s">
        <v>52</v>
      </c>
      <c r="AP28" s="178" t="s">
        <v>52</v>
      </c>
      <c r="AQ28" s="178" t="s">
        <v>52</v>
      </c>
      <c r="AR28" s="177" t="s">
        <v>52</v>
      </c>
      <c r="AS28" s="178" t="s">
        <v>52</v>
      </c>
      <c r="AT28" s="178" t="s">
        <v>52</v>
      </c>
      <c r="AU28" s="178" t="s">
        <v>52</v>
      </c>
      <c r="AV28" s="178" t="s">
        <v>52</v>
      </c>
      <c r="AW28" s="178" t="s">
        <v>52</v>
      </c>
      <c r="AX28" s="178" t="s">
        <v>52</v>
      </c>
      <c r="AY28" s="178" t="s">
        <v>52</v>
      </c>
      <c r="AZ28" s="178" t="s">
        <v>52</v>
      </c>
      <c r="BA28" s="178" t="s">
        <v>52</v>
      </c>
      <c r="BB28" s="178" t="s">
        <v>52</v>
      </c>
      <c r="BC28" s="178" t="s">
        <v>52</v>
      </c>
      <c r="BD28" s="177" t="str">
        <f t="shared" si="65"/>
        <v>NA</v>
      </c>
      <c r="BE28" s="178" t="str">
        <f t="shared" si="66"/>
        <v>NA</v>
      </c>
      <c r="BF28" s="178" t="str">
        <f t="shared" si="67"/>
        <v>NA</v>
      </c>
      <c r="BG28" s="178" t="str">
        <f t="shared" si="68"/>
        <v>NA</v>
      </c>
      <c r="BH28" s="178" t="str">
        <f t="shared" si="69"/>
        <v>NA</v>
      </c>
      <c r="BI28" s="178" t="str">
        <f t="shared" si="70"/>
        <v>NA</v>
      </c>
      <c r="BJ28" s="178" t="str">
        <f t="shared" si="71"/>
        <v>NA</v>
      </c>
      <c r="BK28" s="178" t="str">
        <f t="shared" si="72"/>
        <v>NA</v>
      </c>
      <c r="BL28" s="178"/>
      <c r="BM28" s="178" t="str">
        <f t="shared" si="73"/>
        <v>NA</v>
      </c>
      <c r="BN28" s="178"/>
      <c r="BO28" s="178"/>
      <c r="BP28" s="178" t="s">
        <v>52</v>
      </c>
      <c r="BQ28" s="178" t="s">
        <v>52</v>
      </c>
      <c r="BR28" s="178" t="s">
        <v>52</v>
      </c>
      <c r="BS28" s="178" t="s">
        <v>52</v>
      </c>
      <c r="BT28" s="178" t="s">
        <v>52</v>
      </c>
      <c r="BU28" s="178" t="s">
        <v>52</v>
      </c>
      <c r="BV28" s="178" t="s">
        <v>52</v>
      </c>
      <c r="BW28" s="3" t="s">
        <v>52</v>
      </c>
      <c r="BX28" s="3" t="s">
        <v>52</v>
      </c>
      <c r="BY28" s="3" t="s">
        <v>52</v>
      </c>
      <c r="BZ28" s="3" t="s">
        <v>52</v>
      </c>
      <c r="CA28" s="3" t="s">
        <v>52</v>
      </c>
      <c r="CB28" s="3" t="s">
        <v>52</v>
      </c>
      <c r="CC28" s="3" t="s">
        <v>52</v>
      </c>
    </row>
    <row r="29" spans="1:81">
      <c r="A29" s="46" t="s">
        <v>117</v>
      </c>
      <c r="B29" s="118"/>
      <c r="C29" s="109">
        <v>52</v>
      </c>
      <c r="D29" s="109"/>
      <c r="E29" s="109"/>
      <c r="F29" s="109">
        <v>107</v>
      </c>
      <c r="G29" s="109">
        <v>93</v>
      </c>
      <c r="H29" s="109">
        <v>84</v>
      </c>
      <c r="I29" s="178">
        <v>91</v>
      </c>
      <c r="J29" s="178">
        <v>84</v>
      </c>
      <c r="K29" s="178">
        <v>134</v>
      </c>
      <c r="L29" s="178">
        <v>156</v>
      </c>
      <c r="M29" s="178"/>
      <c r="N29" s="178">
        <v>145</v>
      </c>
      <c r="O29" s="178"/>
      <c r="P29" s="178"/>
      <c r="Q29" s="178">
        <v>150</v>
      </c>
      <c r="R29" s="178">
        <v>136</v>
      </c>
      <c r="S29" s="178">
        <v>120</v>
      </c>
      <c r="T29" s="178">
        <v>120</v>
      </c>
      <c r="U29" s="178">
        <v>107</v>
      </c>
      <c r="V29" s="178">
        <v>111</v>
      </c>
      <c r="W29" s="178">
        <v>98</v>
      </c>
      <c r="X29" s="178">
        <v>58</v>
      </c>
      <c r="Y29" s="178">
        <v>70</v>
      </c>
      <c r="Z29" s="178">
        <v>104</v>
      </c>
      <c r="AA29" s="178">
        <v>92</v>
      </c>
      <c r="AB29" s="178"/>
      <c r="AC29" s="178">
        <v>80</v>
      </c>
      <c r="AD29" s="178">
        <v>63</v>
      </c>
      <c r="AE29" s="178">
        <v>82</v>
      </c>
      <c r="AF29" s="177" t="s">
        <v>52</v>
      </c>
      <c r="AG29" s="178" t="s">
        <v>52</v>
      </c>
      <c r="AH29" s="178" t="s">
        <v>52</v>
      </c>
      <c r="AI29" s="178" t="s">
        <v>52</v>
      </c>
      <c r="AJ29" s="178" t="s">
        <v>52</v>
      </c>
      <c r="AK29" s="178" t="s">
        <v>52</v>
      </c>
      <c r="AL29" s="178" t="s">
        <v>52</v>
      </c>
      <c r="AM29" s="178" t="s">
        <v>52</v>
      </c>
      <c r="AN29" s="178" t="s">
        <v>52</v>
      </c>
      <c r="AO29" s="178" t="s">
        <v>52</v>
      </c>
      <c r="AP29" s="178" t="s">
        <v>52</v>
      </c>
      <c r="AQ29" s="178" t="s">
        <v>52</v>
      </c>
      <c r="AR29" s="177" t="s">
        <v>52</v>
      </c>
      <c r="AS29" s="178" t="s">
        <v>52</v>
      </c>
      <c r="AT29" s="178" t="s">
        <v>52</v>
      </c>
      <c r="AU29" s="178" t="s">
        <v>52</v>
      </c>
      <c r="AV29" s="178" t="s">
        <v>52</v>
      </c>
      <c r="AW29" s="178" t="s">
        <v>52</v>
      </c>
      <c r="AX29" s="178" t="s">
        <v>52</v>
      </c>
      <c r="AY29" s="178" t="s">
        <v>52</v>
      </c>
      <c r="AZ29" s="178" t="s">
        <v>52</v>
      </c>
      <c r="BA29" s="178" t="s">
        <v>52</v>
      </c>
      <c r="BB29" s="178" t="s">
        <v>52</v>
      </c>
      <c r="BC29" s="178" t="s">
        <v>52</v>
      </c>
      <c r="BD29" s="177" t="str">
        <f t="shared" si="65"/>
        <v>NA</v>
      </c>
      <c r="BE29" s="178" t="str">
        <f t="shared" si="66"/>
        <v>NA</v>
      </c>
      <c r="BF29" s="178" t="str">
        <f t="shared" si="67"/>
        <v>NA</v>
      </c>
      <c r="BG29" s="178" t="str">
        <f t="shared" si="68"/>
        <v>NA</v>
      </c>
      <c r="BH29" s="178" t="str">
        <f t="shared" si="69"/>
        <v>NA</v>
      </c>
      <c r="BI29" s="178" t="str">
        <f t="shared" si="70"/>
        <v>NA</v>
      </c>
      <c r="BJ29" s="178" t="str">
        <f t="shared" si="71"/>
        <v>NA</v>
      </c>
      <c r="BK29" s="178" t="str">
        <f t="shared" si="72"/>
        <v>NA</v>
      </c>
      <c r="BL29" s="178"/>
      <c r="BM29" s="178" t="str">
        <f t="shared" si="73"/>
        <v>NA</v>
      </c>
      <c r="BN29" s="178"/>
      <c r="BO29" s="178"/>
      <c r="BP29" s="178" t="s">
        <v>52</v>
      </c>
      <c r="BQ29" s="178" t="s">
        <v>52</v>
      </c>
      <c r="BR29" s="178" t="s">
        <v>52</v>
      </c>
      <c r="BS29" s="178" t="s">
        <v>52</v>
      </c>
      <c r="BT29" s="178" t="s">
        <v>52</v>
      </c>
      <c r="BU29" s="178" t="s">
        <v>52</v>
      </c>
      <c r="BV29" s="178" t="s">
        <v>52</v>
      </c>
      <c r="BW29" s="3" t="s">
        <v>52</v>
      </c>
      <c r="BX29" s="3" t="s">
        <v>52</v>
      </c>
      <c r="BY29" s="3" t="s">
        <v>52</v>
      </c>
      <c r="BZ29" s="3" t="s">
        <v>52</v>
      </c>
      <c r="CA29" s="3" t="s">
        <v>52</v>
      </c>
      <c r="CB29" s="3" t="s">
        <v>52</v>
      </c>
      <c r="CC29" s="3" t="s">
        <v>52</v>
      </c>
    </row>
    <row r="30" spans="1:81">
      <c r="A30" s="46" t="s">
        <v>119</v>
      </c>
      <c r="B30" s="118"/>
      <c r="C30" s="109">
        <v>7</v>
      </c>
      <c r="D30" s="109"/>
      <c r="E30" s="109"/>
      <c r="F30" s="109">
        <v>13</v>
      </c>
      <c r="G30" s="109">
        <v>14</v>
      </c>
      <c r="H30" s="109">
        <v>11</v>
      </c>
      <c r="I30" s="178">
        <v>17</v>
      </c>
      <c r="J30" s="178">
        <v>9</v>
      </c>
      <c r="K30" s="178">
        <v>8</v>
      </c>
      <c r="L30" s="178">
        <v>11</v>
      </c>
      <c r="M30" s="178"/>
      <c r="N30" s="178">
        <v>14</v>
      </c>
      <c r="O30" s="178"/>
      <c r="P30" s="178"/>
      <c r="Q30" s="178">
        <v>11</v>
      </c>
      <c r="R30" s="178">
        <v>10</v>
      </c>
      <c r="S30" s="178">
        <v>9</v>
      </c>
      <c r="T30" s="178">
        <v>20</v>
      </c>
      <c r="U30" s="178">
        <v>16</v>
      </c>
      <c r="V30" s="178">
        <v>13</v>
      </c>
      <c r="W30" s="178">
        <v>30</v>
      </c>
      <c r="X30" s="178">
        <v>18</v>
      </c>
      <c r="Y30" s="178">
        <v>33</v>
      </c>
      <c r="Z30" s="178">
        <v>45</v>
      </c>
      <c r="AA30" s="178">
        <v>38</v>
      </c>
      <c r="AB30" s="178"/>
      <c r="AC30" s="178">
        <v>41</v>
      </c>
      <c r="AD30" s="178">
        <v>51</v>
      </c>
      <c r="AE30" s="178">
        <v>57</v>
      </c>
      <c r="AF30" s="177" t="s">
        <v>52</v>
      </c>
      <c r="AG30" s="178" t="s">
        <v>52</v>
      </c>
      <c r="AH30" s="178" t="s">
        <v>52</v>
      </c>
      <c r="AI30" s="178" t="s">
        <v>52</v>
      </c>
      <c r="AJ30" s="178" t="s">
        <v>52</v>
      </c>
      <c r="AK30" s="178" t="s">
        <v>52</v>
      </c>
      <c r="AL30" s="178" t="s">
        <v>52</v>
      </c>
      <c r="AM30" s="178" t="s">
        <v>52</v>
      </c>
      <c r="AN30" s="178" t="s">
        <v>52</v>
      </c>
      <c r="AO30" s="178" t="s">
        <v>52</v>
      </c>
      <c r="AP30" s="178" t="s">
        <v>52</v>
      </c>
      <c r="AQ30" s="178" t="s">
        <v>52</v>
      </c>
      <c r="AR30" s="177" t="s">
        <v>52</v>
      </c>
      <c r="AS30" s="178" t="s">
        <v>52</v>
      </c>
      <c r="AT30" s="178" t="s">
        <v>52</v>
      </c>
      <c r="AU30" s="178" t="s">
        <v>52</v>
      </c>
      <c r="AV30" s="178" t="s">
        <v>52</v>
      </c>
      <c r="AW30" s="178" t="s">
        <v>52</v>
      </c>
      <c r="AX30" s="178" t="s">
        <v>52</v>
      </c>
      <c r="AY30" s="178" t="s">
        <v>52</v>
      </c>
      <c r="AZ30" s="178" t="s">
        <v>52</v>
      </c>
      <c r="BA30" s="178" t="s">
        <v>52</v>
      </c>
      <c r="BB30" s="178" t="s">
        <v>52</v>
      </c>
      <c r="BC30" s="178" t="s">
        <v>52</v>
      </c>
      <c r="BD30" s="177" t="str">
        <f t="shared" si="65"/>
        <v>NA</v>
      </c>
      <c r="BE30" s="178" t="str">
        <f t="shared" si="66"/>
        <v>NA</v>
      </c>
      <c r="BF30" s="178" t="str">
        <f t="shared" si="67"/>
        <v>NA</v>
      </c>
      <c r="BG30" s="178" t="str">
        <f t="shared" si="68"/>
        <v>NA</v>
      </c>
      <c r="BH30" s="178" t="str">
        <f t="shared" si="69"/>
        <v>NA</v>
      </c>
      <c r="BI30" s="178" t="str">
        <f t="shared" si="70"/>
        <v>NA</v>
      </c>
      <c r="BJ30" s="178" t="str">
        <f>IF(AO30&gt;BA30,(AO30),(BA30))</f>
        <v>NA</v>
      </c>
      <c r="BK30" s="178" t="str">
        <f t="shared" si="72"/>
        <v>NA</v>
      </c>
      <c r="BL30" s="178"/>
      <c r="BM30" s="178" t="str">
        <f t="shared" si="73"/>
        <v>NA</v>
      </c>
      <c r="BN30" s="178"/>
      <c r="BO30" s="178"/>
      <c r="BP30" s="178" t="s">
        <v>52</v>
      </c>
      <c r="BQ30" s="178" t="s">
        <v>52</v>
      </c>
      <c r="BR30" s="178" t="s">
        <v>52</v>
      </c>
      <c r="BS30" s="178" t="s">
        <v>52</v>
      </c>
      <c r="BT30" s="178" t="s">
        <v>52</v>
      </c>
      <c r="BU30" s="178" t="s">
        <v>52</v>
      </c>
      <c r="BV30" s="178" t="s">
        <v>52</v>
      </c>
      <c r="BW30" s="3" t="s">
        <v>52</v>
      </c>
      <c r="BX30" s="3" t="s">
        <v>52</v>
      </c>
      <c r="BY30" s="3" t="s">
        <v>52</v>
      </c>
      <c r="BZ30" s="3" t="s">
        <v>52</v>
      </c>
      <c r="CA30" s="3" t="s">
        <v>52</v>
      </c>
      <c r="CB30" s="3" t="s">
        <v>52</v>
      </c>
      <c r="CC30" s="3" t="s">
        <v>52</v>
      </c>
    </row>
    <row r="31" spans="1:81">
      <c r="A31" s="46" t="s">
        <v>128</v>
      </c>
      <c r="B31" s="118"/>
      <c r="C31" s="109">
        <v>7</v>
      </c>
      <c r="D31" s="109"/>
      <c r="E31" s="109"/>
      <c r="F31" s="109">
        <v>4</v>
      </c>
      <c r="G31" s="109">
        <v>1</v>
      </c>
      <c r="H31" s="109">
        <v>0</v>
      </c>
      <c r="I31" s="178">
        <v>2</v>
      </c>
      <c r="J31" s="178">
        <v>4</v>
      </c>
      <c r="K31" s="178">
        <v>6</v>
      </c>
      <c r="L31" s="178">
        <v>6</v>
      </c>
      <c r="M31" s="178"/>
      <c r="N31" s="178">
        <v>4</v>
      </c>
      <c r="O31" s="178"/>
      <c r="P31" s="178"/>
      <c r="Q31" s="178">
        <v>6</v>
      </c>
      <c r="R31" s="178">
        <v>4</v>
      </c>
      <c r="S31" s="178">
        <v>8</v>
      </c>
      <c r="T31" s="178">
        <v>9</v>
      </c>
      <c r="U31" s="178">
        <v>6</v>
      </c>
      <c r="V31" s="178">
        <v>9</v>
      </c>
      <c r="W31" s="178">
        <v>4</v>
      </c>
      <c r="X31" s="178">
        <v>12</v>
      </c>
      <c r="Y31" s="178">
        <v>6</v>
      </c>
      <c r="Z31" s="178">
        <v>19</v>
      </c>
      <c r="AA31" s="178">
        <v>12</v>
      </c>
      <c r="AB31" s="178"/>
      <c r="AC31" s="178">
        <v>7</v>
      </c>
      <c r="AD31" s="178">
        <v>22</v>
      </c>
      <c r="AE31" s="178">
        <v>17</v>
      </c>
      <c r="AF31" s="177" t="s">
        <v>52</v>
      </c>
      <c r="AG31" s="178" t="s">
        <v>52</v>
      </c>
      <c r="AH31" s="178" t="s">
        <v>52</v>
      </c>
      <c r="AI31" s="178" t="s">
        <v>52</v>
      </c>
      <c r="AJ31" s="178" t="s">
        <v>52</v>
      </c>
      <c r="AK31" s="178" t="s">
        <v>52</v>
      </c>
      <c r="AL31" s="178" t="s">
        <v>52</v>
      </c>
      <c r="AM31" s="178" t="s">
        <v>52</v>
      </c>
      <c r="AN31" s="178" t="s">
        <v>52</v>
      </c>
      <c r="AO31" s="178" t="s">
        <v>52</v>
      </c>
      <c r="AP31" s="178" t="s">
        <v>52</v>
      </c>
      <c r="AQ31" s="178" t="s">
        <v>52</v>
      </c>
      <c r="AR31" s="177" t="s">
        <v>52</v>
      </c>
      <c r="AS31" s="178" t="s">
        <v>52</v>
      </c>
      <c r="AT31" s="178" t="s">
        <v>52</v>
      </c>
      <c r="AU31" s="178" t="s">
        <v>52</v>
      </c>
      <c r="AV31" s="178" t="s">
        <v>52</v>
      </c>
      <c r="AW31" s="178" t="s">
        <v>52</v>
      </c>
      <c r="AX31" s="178" t="s">
        <v>52</v>
      </c>
      <c r="AY31" s="178" t="s">
        <v>52</v>
      </c>
      <c r="AZ31" s="178" t="s">
        <v>52</v>
      </c>
      <c r="BA31" s="178" t="s">
        <v>52</v>
      </c>
      <c r="BB31" s="178" t="s">
        <v>52</v>
      </c>
      <c r="BC31" s="178" t="s">
        <v>52</v>
      </c>
      <c r="BD31" s="177" t="str">
        <f t="shared" si="65"/>
        <v>NA</v>
      </c>
      <c r="BE31" s="178" t="str">
        <f t="shared" si="66"/>
        <v>NA</v>
      </c>
      <c r="BF31" s="178" t="str">
        <f t="shared" si="67"/>
        <v>NA</v>
      </c>
      <c r="BG31" s="178" t="str">
        <f t="shared" si="68"/>
        <v>NA</v>
      </c>
      <c r="BH31" s="178" t="str">
        <f t="shared" si="69"/>
        <v>NA</v>
      </c>
      <c r="BI31" s="178" t="str">
        <f t="shared" si="70"/>
        <v>NA</v>
      </c>
      <c r="BJ31" s="178" t="str">
        <f t="shared" si="71"/>
        <v>NA</v>
      </c>
      <c r="BK31" s="178" t="str">
        <f t="shared" si="72"/>
        <v>NA</v>
      </c>
      <c r="BL31" s="178"/>
      <c r="BM31" s="178" t="str">
        <f t="shared" si="73"/>
        <v>NA</v>
      </c>
      <c r="BN31" s="178"/>
      <c r="BO31" s="178"/>
      <c r="BP31" s="178" t="s">
        <v>52</v>
      </c>
      <c r="BQ31" s="178" t="s">
        <v>52</v>
      </c>
      <c r="BR31" s="178" t="s">
        <v>52</v>
      </c>
      <c r="BS31" s="178" t="s">
        <v>52</v>
      </c>
      <c r="BT31" s="178" t="s">
        <v>52</v>
      </c>
      <c r="BU31" s="178" t="s">
        <v>52</v>
      </c>
      <c r="BV31" s="178" t="s">
        <v>52</v>
      </c>
      <c r="BW31" s="3" t="s">
        <v>52</v>
      </c>
      <c r="BX31" s="3" t="s">
        <v>52</v>
      </c>
      <c r="BY31" s="3" t="s">
        <v>52</v>
      </c>
      <c r="BZ31" s="3" t="s">
        <v>52</v>
      </c>
      <c r="CA31" s="3" t="s">
        <v>52</v>
      </c>
      <c r="CB31" s="3" t="s">
        <v>52</v>
      </c>
      <c r="CC31" s="3" t="s">
        <v>52</v>
      </c>
    </row>
    <row r="32" spans="1:81">
      <c r="A32" s="46" t="s">
        <v>135</v>
      </c>
      <c r="B32" s="118"/>
      <c r="C32" s="109">
        <v>51</v>
      </c>
      <c r="D32" s="109"/>
      <c r="E32" s="109"/>
      <c r="F32" s="109">
        <v>56</v>
      </c>
      <c r="G32" s="109">
        <v>71</v>
      </c>
      <c r="H32" s="109">
        <v>62</v>
      </c>
      <c r="I32" s="178">
        <v>64</v>
      </c>
      <c r="J32" s="178">
        <v>65</v>
      </c>
      <c r="K32" s="178">
        <v>97</v>
      </c>
      <c r="L32" s="178">
        <v>86</v>
      </c>
      <c r="M32" s="178"/>
      <c r="N32" s="178">
        <v>123</v>
      </c>
      <c r="O32" s="178"/>
      <c r="P32" s="178"/>
      <c r="Q32" s="178">
        <v>156</v>
      </c>
      <c r="R32" s="178">
        <v>207</v>
      </c>
      <c r="S32" s="178">
        <v>181</v>
      </c>
      <c r="T32" s="178">
        <v>280</v>
      </c>
      <c r="U32" s="178">
        <v>296</v>
      </c>
      <c r="V32" s="178">
        <v>218</v>
      </c>
      <c r="W32" s="178">
        <v>239</v>
      </c>
      <c r="X32" s="178">
        <v>277</v>
      </c>
      <c r="Y32" s="178">
        <v>325</v>
      </c>
      <c r="Z32" s="178">
        <v>308</v>
      </c>
      <c r="AA32" s="178">
        <v>337</v>
      </c>
      <c r="AB32" s="178"/>
      <c r="AC32" s="178">
        <v>396</v>
      </c>
      <c r="AD32" s="178">
        <v>392</v>
      </c>
      <c r="AE32" s="178">
        <v>368</v>
      </c>
      <c r="AF32" s="177" t="s">
        <v>52</v>
      </c>
      <c r="AG32" s="178" t="s">
        <v>52</v>
      </c>
      <c r="AH32" s="178" t="s">
        <v>52</v>
      </c>
      <c r="AI32" s="178" t="s">
        <v>52</v>
      </c>
      <c r="AJ32" s="178" t="s">
        <v>52</v>
      </c>
      <c r="AK32" s="178" t="s">
        <v>52</v>
      </c>
      <c r="AL32" s="178" t="s">
        <v>52</v>
      </c>
      <c r="AM32" s="178" t="s">
        <v>52</v>
      </c>
      <c r="AN32" s="178" t="s">
        <v>52</v>
      </c>
      <c r="AO32" s="178" t="s">
        <v>52</v>
      </c>
      <c r="AP32" s="178" t="s">
        <v>52</v>
      </c>
      <c r="AQ32" s="178" t="s">
        <v>52</v>
      </c>
      <c r="AR32" s="177" t="s">
        <v>52</v>
      </c>
      <c r="AS32" s="178" t="s">
        <v>52</v>
      </c>
      <c r="AT32" s="178" t="s">
        <v>52</v>
      </c>
      <c r="AU32" s="178" t="s">
        <v>52</v>
      </c>
      <c r="AV32" s="178" t="s">
        <v>52</v>
      </c>
      <c r="AW32" s="178" t="s">
        <v>52</v>
      </c>
      <c r="AX32" s="178" t="s">
        <v>52</v>
      </c>
      <c r="AY32" s="178" t="s">
        <v>52</v>
      </c>
      <c r="AZ32" s="178" t="s">
        <v>52</v>
      </c>
      <c r="BA32" s="178" t="s">
        <v>52</v>
      </c>
      <c r="BB32" s="178" t="s">
        <v>52</v>
      </c>
      <c r="BC32" s="178" t="s">
        <v>52</v>
      </c>
      <c r="BD32" s="177" t="str">
        <f t="shared" si="65"/>
        <v>NA</v>
      </c>
      <c r="BE32" s="178" t="str">
        <f t="shared" si="66"/>
        <v>NA</v>
      </c>
      <c r="BF32" s="178" t="str">
        <f t="shared" si="67"/>
        <v>NA</v>
      </c>
      <c r="BG32" s="178" t="str">
        <f t="shared" si="68"/>
        <v>NA</v>
      </c>
      <c r="BH32" s="178" t="str">
        <f t="shared" si="69"/>
        <v>NA</v>
      </c>
      <c r="BI32" s="178" t="str">
        <f t="shared" si="70"/>
        <v>NA</v>
      </c>
      <c r="BJ32" s="178" t="str">
        <f t="shared" si="71"/>
        <v>NA</v>
      </c>
      <c r="BK32" s="178" t="str">
        <f t="shared" si="72"/>
        <v>NA</v>
      </c>
      <c r="BL32" s="178"/>
      <c r="BM32" s="178" t="str">
        <f t="shared" si="73"/>
        <v>NA</v>
      </c>
      <c r="BN32" s="178"/>
      <c r="BO32" s="178"/>
      <c r="BP32" s="178" t="s">
        <v>52</v>
      </c>
      <c r="BQ32" s="178" t="s">
        <v>52</v>
      </c>
      <c r="BR32" s="178" t="s">
        <v>52</v>
      </c>
      <c r="BS32" s="178" t="s">
        <v>52</v>
      </c>
      <c r="BT32" s="178" t="s">
        <v>52</v>
      </c>
      <c r="BU32" s="178" t="s">
        <v>52</v>
      </c>
      <c r="BV32" s="178" t="s">
        <v>52</v>
      </c>
      <c r="BW32" s="3" t="s">
        <v>52</v>
      </c>
      <c r="BX32" s="3" t="s">
        <v>52</v>
      </c>
      <c r="BY32" s="3" t="s">
        <v>52</v>
      </c>
      <c r="BZ32" s="3" t="s">
        <v>52</v>
      </c>
      <c r="CA32" s="3" t="s">
        <v>52</v>
      </c>
      <c r="CB32" s="3" t="s">
        <v>52</v>
      </c>
      <c r="CC32" s="3" t="s">
        <v>52</v>
      </c>
    </row>
    <row r="33" spans="1:81">
      <c r="A33" s="46" t="s">
        <v>134</v>
      </c>
      <c r="B33" s="118"/>
      <c r="C33" s="109">
        <v>43</v>
      </c>
      <c r="D33" s="109"/>
      <c r="E33" s="109"/>
      <c r="F33" s="109">
        <v>84</v>
      </c>
      <c r="G33" s="109">
        <v>63</v>
      </c>
      <c r="H33" s="109">
        <v>86</v>
      </c>
      <c r="I33" s="178">
        <v>110</v>
      </c>
      <c r="J33" s="178">
        <v>98</v>
      </c>
      <c r="K33" s="178">
        <v>109</v>
      </c>
      <c r="L33" s="178">
        <v>112</v>
      </c>
      <c r="M33" s="178"/>
      <c r="N33" s="178">
        <v>90</v>
      </c>
      <c r="O33" s="178"/>
      <c r="P33" s="178"/>
      <c r="Q33" s="178">
        <v>97</v>
      </c>
      <c r="R33" s="178">
        <v>106</v>
      </c>
      <c r="S33" s="178">
        <v>111</v>
      </c>
      <c r="T33" s="178">
        <v>94</v>
      </c>
      <c r="U33" s="178">
        <v>123</v>
      </c>
      <c r="V33" s="178">
        <v>128</v>
      </c>
      <c r="W33" s="178">
        <v>102</v>
      </c>
      <c r="X33" s="178">
        <v>139</v>
      </c>
      <c r="Y33" s="178">
        <v>181</v>
      </c>
      <c r="Z33" s="178">
        <v>233</v>
      </c>
      <c r="AA33" s="178">
        <v>249</v>
      </c>
      <c r="AB33" s="178"/>
      <c r="AC33" s="178">
        <v>293</v>
      </c>
      <c r="AD33" s="178">
        <v>271</v>
      </c>
      <c r="AE33" s="178">
        <v>305</v>
      </c>
      <c r="AF33" s="177" t="s">
        <v>52</v>
      </c>
      <c r="AG33" s="178" t="s">
        <v>52</v>
      </c>
      <c r="AH33" s="178" t="s">
        <v>52</v>
      </c>
      <c r="AI33" s="178" t="s">
        <v>52</v>
      </c>
      <c r="AJ33" s="178" t="s">
        <v>52</v>
      </c>
      <c r="AK33" s="178" t="s">
        <v>52</v>
      </c>
      <c r="AL33" s="178" t="s">
        <v>52</v>
      </c>
      <c r="AM33" s="178" t="s">
        <v>52</v>
      </c>
      <c r="AN33" s="178" t="s">
        <v>52</v>
      </c>
      <c r="AO33" s="178" t="s">
        <v>52</v>
      </c>
      <c r="AP33" s="178" t="s">
        <v>52</v>
      </c>
      <c r="AQ33" s="178" t="s">
        <v>52</v>
      </c>
      <c r="AR33" s="177" t="s">
        <v>52</v>
      </c>
      <c r="AS33" s="178" t="s">
        <v>52</v>
      </c>
      <c r="AT33" s="178" t="s">
        <v>52</v>
      </c>
      <c r="AU33" s="178" t="s">
        <v>52</v>
      </c>
      <c r="AV33" s="178" t="s">
        <v>52</v>
      </c>
      <c r="AW33" s="178" t="s">
        <v>52</v>
      </c>
      <c r="AX33" s="178" t="s">
        <v>52</v>
      </c>
      <c r="AY33" s="178" t="s">
        <v>52</v>
      </c>
      <c r="AZ33" s="178" t="s">
        <v>52</v>
      </c>
      <c r="BA33" s="178" t="s">
        <v>52</v>
      </c>
      <c r="BB33" s="178" t="s">
        <v>52</v>
      </c>
      <c r="BC33" s="178" t="s">
        <v>52</v>
      </c>
      <c r="BD33" s="177" t="str">
        <f t="shared" si="65"/>
        <v>NA</v>
      </c>
      <c r="BE33" s="178" t="str">
        <f t="shared" si="66"/>
        <v>NA</v>
      </c>
      <c r="BF33" s="178" t="str">
        <f t="shared" si="67"/>
        <v>NA</v>
      </c>
      <c r="BG33" s="178" t="str">
        <f t="shared" si="68"/>
        <v>NA</v>
      </c>
      <c r="BH33" s="178" t="str">
        <f t="shared" si="69"/>
        <v>NA</v>
      </c>
      <c r="BI33" s="178" t="str">
        <f t="shared" si="70"/>
        <v>NA</v>
      </c>
      <c r="BJ33" s="178" t="str">
        <f t="shared" si="71"/>
        <v>NA</v>
      </c>
      <c r="BK33" s="178" t="str">
        <f t="shared" si="72"/>
        <v>NA</v>
      </c>
      <c r="BL33" s="178"/>
      <c r="BM33" s="178" t="str">
        <f t="shared" si="73"/>
        <v>NA</v>
      </c>
      <c r="BN33" s="178"/>
      <c r="BO33" s="178"/>
      <c r="BP33" s="178" t="s">
        <v>52</v>
      </c>
      <c r="BQ33" s="178" t="s">
        <v>52</v>
      </c>
      <c r="BR33" s="178" t="s">
        <v>52</v>
      </c>
      <c r="BS33" s="178" t="s">
        <v>52</v>
      </c>
      <c r="BT33" s="178" t="s">
        <v>52</v>
      </c>
      <c r="BU33" s="178" t="s">
        <v>52</v>
      </c>
      <c r="BV33" s="178" t="s">
        <v>52</v>
      </c>
      <c r="BW33" s="3" t="s">
        <v>52</v>
      </c>
      <c r="BX33" s="3" t="s">
        <v>52</v>
      </c>
      <c r="BY33" s="3" t="s">
        <v>52</v>
      </c>
      <c r="BZ33" s="3" t="s">
        <v>52</v>
      </c>
      <c r="CA33" s="3" t="s">
        <v>52</v>
      </c>
      <c r="CB33" s="3" t="s">
        <v>52</v>
      </c>
      <c r="CC33" s="3" t="s">
        <v>52</v>
      </c>
    </row>
    <row r="34" spans="1:81">
      <c r="A34" s="46" t="s">
        <v>138</v>
      </c>
      <c r="B34" s="118"/>
      <c r="C34" s="109">
        <v>45</v>
      </c>
      <c r="D34" s="109"/>
      <c r="E34" s="109"/>
      <c r="F34" s="109">
        <v>45</v>
      </c>
      <c r="G34" s="109">
        <v>63</v>
      </c>
      <c r="H34" s="109">
        <v>67</v>
      </c>
      <c r="I34" s="178">
        <v>53</v>
      </c>
      <c r="J34" s="178">
        <v>45</v>
      </c>
      <c r="K34" s="178">
        <v>47</v>
      </c>
      <c r="L34" s="178">
        <v>62</v>
      </c>
      <c r="M34" s="178"/>
      <c r="N34" s="178">
        <v>98</v>
      </c>
      <c r="O34" s="178"/>
      <c r="P34" s="178"/>
      <c r="Q34" s="178">
        <v>119</v>
      </c>
      <c r="R34" s="178">
        <v>139</v>
      </c>
      <c r="S34" s="178">
        <v>143</v>
      </c>
      <c r="T34" s="178">
        <v>160</v>
      </c>
      <c r="U34" s="178">
        <v>128</v>
      </c>
      <c r="V34" s="178">
        <v>140</v>
      </c>
      <c r="W34" s="178">
        <v>147</v>
      </c>
      <c r="X34" s="178">
        <v>203</v>
      </c>
      <c r="Y34" s="178">
        <v>210</v>
      </c>
      <c r="Z34" s="178">
        <v>243</v>
      </c>
      <c r="AA34" s="178">
        <v>307</v>
      </c>
      <c r="AB34" s="178"/>
      <c r="AC34" s="178">
        <v>250</v>
      </c>
      <c r="AD34" s="178">
        <v>244</v>
      </c>
      <c r="AE34" s="178">
        <v>291</v>
      </c>
      <c r="AF34" s="177" t="s">
        <v>52</v>
      </c>
      <c r="AG34" s="178" t="s">
        <v>52</v>
      </c>
      <c r="AH34" s="178" t="s">
        <v>52</v>
      </c>
      <c r="AI34" s="178" t="s">
        <v>52</v>
      </c>
      <c r="AJ34" s="178" t="s">
        <v>52</v>
      </c>
      <c r="AK34" s="178" t="s">
        <v>52</v>
      </c>
      <c r="AL34" s="178" t="s">
        <v>52</v>
      </c>
      <c r="AM34" s="178" t="s">
        <v>52</v>
      </c>
      <c r="AN34" s="178" t="s">
        <v>52</v>
      </c>
      <c r="AO34" s="178" t="s">
        <v>52</v>
      </c>
      <c r="AP34" s="178" t="s">
        <v>52</v>
      </c>
      <c r="AQ34" s="178" t="s">
        <v>52</v>
      </c>
      <c r="AR34" s="177" t="s">
        <v>52</v>
      </c>
      <c r="AS34" s="178" t="s">
        <v>52</v>
      </c>
      <c r="AT34" s="178" t="s">
        <v>52</v>
      </c>
      <c r="AU34" s="178" t="s">
        <v>52</v>
      </c>
      <c r="AV34" s="178" t="s">
        <v>52</v>
      </c>
      <c r="AW34" s="178" t="s">
        <v>52</v>
      </c>
      <c r="AX34" s="178" t="s">
        <v>52</v>
      </c>
      <c r="AY34" s="178" t="s">
        <v>52</v>
      </c>
      <c r="AZ34" s="178" t="s">
        <v>52</v>
      </c>
      <c r="BA34" s="178" t="s">
        <v>52</v>
      </c>
      <c r="BB34" s="178" t="s">
        <v>52</v>
      </c>
      <c r="BC34" s="178" t="s">
        <v>52</v>
      </c>
      <c r="BD34" s="177" t="str">
        <f t="shared" si="65"/>
        <v>NA</v>
      </c>
      <c r="BE34" s="178" t="str">
        <f t="shared" si="66"/>
        <v>NA</v>
      </c>
      <c r="BF34" s="178" t="str">
        <f t="shared" si="67"/>
        <v>NA</v>
      </c>
      <c r="BG34" s="178" t="str">
        <f t="shared" si="68"/>
        <v>NA</v>
      </c>
      <c r="BH34" s="178" t="str">
        <f t="shared" si="69"/>
        <v>NA</v>
      </c>
      <c r="BI34" s="178" t="str">
        <f t="shared" si="70"/>
        <v>NA</v>
      </c>
      <c r="BJ34" s="178" t="str">
        <f t="shared" si="71"/>
        <v>NA</v>
      </c>
      <c r="BK34" s="178" t="str">
        <f t="shared" si="72"/>
        <v>NA</v>
      </c>
      <c r="BL34" s="178"/>
      <c r="BM34" s="178" t="str">
        <f t="shared" si="73"/>
        <v>NA</v>
      </c>
      <c r="BN34" s="178"/>
      <c r="BO34" s="178"/>
      <c r="BP34" s="178" t="s">
        <v>52</v>
      </c>
      <c r="BQ34" s="178" t="s">
        <v>52</v>
      </c>
      <c r="BR34" s="178" t="s">
        <v>52</v>
      </c>
      <c r="BS34" s="178" t="s">
        <v>52</v>
      </c>
      <c r="BT34" s="178" t="s">
        <v>52</v>
      </c>
      <c r="BU34" s="178" t="s">
        <v>52</v>
      </c>
      <c r="BV34" s="178" t="s">
        <v>52</v>
      </c>
      <c r="BW34" s="3" t="s">
        <v>52</v>
      </c>
      <c r="BX34" s="3" t="s">
        <v>52</v>
      </c>
      <c r="BY34" s="3" t="s">
        <v>52</v>
      </c>
      <c r="BZ34" s="3" t="s">
        <v>52</v>
      </c>
      <c r="CA34" s="3" t="s">
        <v>52</v>
      </c>
      <c r="CB34" s="3" t="s">
        <v>52</v>
      </c>
      <c r="CC34" s="3" t="s">
        <v>52</v>
      </c>
    </row>
    <row r="35" spans="1:81">
      <c r="A35" s="46" t="s">
        <v>142</v>
      </c>
      <c r="B35" s="118"/>
      <c r="C35" s="109">
        <v>19</v>
      </c>
      <c r="D35" s="109"/>
      <c r="E35" s="109"/>
      <c r="F35" s="109">
        <v>20</v>
      </c>
      <c r="G35" s="109">
        <v>26</v>
      </c>
      <c r="H35" s="109">
        <v>26</v>
      </c>
      <c r="I35" s="178">
        <v>27</v>
      </c>
      <c r="J35" s="178">
        <v>31</v>
      </c>
      <c r="K35" s="178">
        <v>37</v>
      </c>
      <c r="L35" s="178">
        <v>34</v>
      </c>
      <c r="M35" s="178"/>
      <c r="N35" s="178">
        <v>36</v>
      </c>
      <c r="O35" s="178"/>
      <c r="P35" s="178"/>
      <c r="Q35" s="178">
        <v>40</v>
      </c>
      <c r="R35" s="178">
        <v>52</v>
      </c>
      <c r="S35" s="178">
        <v>43</v>
      </c>
      <c r="T35" s="178">
        <v>50</v>
      </c>
      <c r="U35" s="178">
        <v>58</v>
      </c>
      <c r="V35" s="178">
        <v>63</v>
      </c>
      <c r="W35" s="178">
        <v>66</v>
      </c>
      <c r="X35" s="178">
        <v>84</v>
      </c>
      <c r="Y35" s="178">
        <v>143</v>
      </c>
      <c r="Z35" s="178">
        <v>138</v>
      </c>
      <c r="AA35" s="178">
        <v>202</v>
      </c>
      <c r="AB35" s="178"/>
      <c r="AC35" s="178">
        <v>246</v>
      </c>
      <c r="AD35" s="178">
        <v>232</v>
      </c>
      <c r="AE35" s="178">
        <v>298</v>
      </c>
      <c r="AF35" s="177" t="s">
        <v>52</v>
      </c>
      <c r="AG35" s="178" t="s">
        <v>52</v>
      </c>
      <c r="AH35" s="178" t="s">
        <v>52</v>
      </c>
      <c r="AI35" s="178" t="s">
        <v>52</v>
      </c>
      <c r="AJ35" s="178" t="s">
        <v>52</v>
      </c>
      <c r="AK35" s="178" t="s">
        <v>52</v>
      </c>
      <c r="AL35" s="178" t="s">
        <v>52</v>
      </c>
      <c r="AM35" s="178" t="s">
        <v>52</v>
      </c>
      <c r="AN35" s="178" t="s">
        <v>52</v>
      </c>
      <c r="AO35" s="178" t="s">
        <v>52</v>
      </c>
      <c r="AP35" s="178" t="s">
        <v>52</v>
      </c>
      <c r="AQ35" s="178" t="s">
        <v>52</v>
      </c>
      <c r="AR35" s="177" t="s">
        <v>52</v>
      </c>
      <c r="AS35" s="178" t="s">
        <v>52</v>
      </c>
      <c r="AT35" s="178" t="s">
        <v>52</v>
      </c>
      <c r="AU35" s="178" t="s">
        <v>52</v>
      </c>
      <c r="AV35" s="178" t="s">
        <v>52</v>
      </c>
      <c r="AW35" s="178" t="s">
        <v>52</v>
      </c>
      <c r="AX35" s="178" t="s">
        <v>52</v>
      </c>
      <c r="AY35" s="178" t="s">
        <v>52</v>
      </c>
      <c r="AZ35" s="178" t="s">
        <v>52</v>
      </c>
      <c r="BA35" s="178" t="s">
        <v>52</v>
      </c>
      <c r="BB35" s="178" t="s">
        <v>52</v>
      </c>
      <c r="BC35" s="178" t="s">
        <v>52</v>
      </c>
      <c r="BD35" s="177" t="str">
        <f t="shared" si="65"/>
        <v>NA</v>
      </c>
      <c r="BE35" s="178" t="str">
        <f t="shared" si="66"/>
        <v>NA</v>
      </c>
      <c r="BF35" s="178" t="str">
        <f t="shared" si="67"/>
        <v>NA</v>
      </c>
      <c r="BG35" s="178" t="str">
        <f t="shared" si="68"/>
        <v>NA</v>
      </c>
      <c r="BH35" s="178" t="str">
        <f t="shared" si="69"/>
        <v>NA</v>
      </c>
      <c r="BI35" s="178" t="str">
        <f t="shared" si="70"/>
        <v>NA</v>
      </c>
      <c r="BJ35" s="178" t="str">
        <f t="shared" si="71"/>
        <v>NA</v>
      </c>
      <c r="BK35" s="178" t="str">
        <f t="shared" si="72"/>
        <v>NA</v>
      </c>
      <c r="BL35" s="178"/>
      <c r="BM35" s="178" t="str">
        <f t="shared" si="73"/>
        <v>NA</v>
      </c>
      <c r="BN35" s="178"/>
      <c r="BO35" s="178"/>
      <c r="BP35" s="178" t="s">
        <v>52</v>
      </c>
      <c r="BQ35" s="178" t="s">
        <v>52</v>
      </c>
      <c r="BR35" s="178" t="s">
        <v>52</v>
      </c>
      <c r="BS35" s="178" t="s">
        <v>52</v>
      </c>
      <c r="BT35" s="178" t="s">
        <v>52</v>
      </c>
      <c r="BU35" s="178" t="s">
        <v>52</v>
      </c>
      <c r="BV35" s="178" t="s">
        <v>52</v>
      </c>
      <c r="BW35" s="3" t="s">
        <v>52</v>
      </c>
      <c r="BX35" s="3" t="s">
        <v>52</v>
      </c>
      <c r="BY35" s="3" t="s">
        <v>52</v>
      </c>
      <c r="BZ35" s="3" t="s">
        <v>52</v>
      </c>
      <c r="CA35" s="3" t="s">
        <v>52</v>
      </c>
      <c r="CB35" s="3" t="s">
        <v>52</v>
      </c>
      <c r="CC35" s="3" t="s">
        <v>52</v>
      </c>
    </row>
    <row r="36" spans="1:81">
      <c r="A36" s="46" t="s">
        <v>66</v>
      </c>
      <c r="B36" s="118"/>
      <c r="C36" s="109">
        <v>270</v>
      </c>
      <c r="D36" s="109"/>
      <c r="E36" s="109"/>
      <c r="F36" s="109">
        <v>509</v>
      </c>
      <c r="G36" s="109">
        <v>456</v>
      </c>
      <c r="H36" s="109">
        <v>534</v>
      </c>
      <c r="I36" s="178">
        <v>520</v>
      </c>
      <c r="J36" s="178">
        <v>620</v>
      </c>
      <c r="K36" s="178">
        <v>658</v>
      </c>
      <c r="L36" s="178">
        <v>586</v>
      </c>
      <c r="M36" s="178"/>
      <c r="N36" s="178">
        <v>566</v>
      </c>
      <c r="O36" s="178"/>
      <c r="P36" s="178"/>
      <c r="Q36" s="178">
        <v>687</v>
      </c>
      <c r="R36" s="178">
        <v>633</v>
      </c>
      <c r="S36" s="178">
        <v>759</v>
      </c>
      <c r="T36" s="178">
        <v>702</v>
      </c>
      <c r="U36" s="178">
        <v>680</v>
      </c>
      <c r="V36" s="178">
        <v>692</v>
      </c>
      <c r="W36" s="178">
        <v>713</v>
      </c>
      <c r="X36" s="178">
        <v>776</v>
      </c>
      <c r="Y36" s="178">
        <v>944</v>
      </c>
      <c r="Z36" s="178">
        <v>975</v>
      </c>
      <c r="AA36" s="178">
        <v>955</v>
      </c>
      <c r="AB36" s="178"/>
      <c r="AC36" s="178">
        <v>1035</v>
      </c>
      <c r="AD36" s="178">
        <v>1099</v>
      </c>
      <c r="AE36" s="178">
        <v>1066</v>
      </c>
      <c r="AF36" s="177" t="s">
        <v>52</v>
      </c>
      <c r="AG36" s="178" t="s">
        <v>52</v>
      </c>
      <c r="AH36" s="178" t="s">
        <v>52</v>
      </c>
      <c r="AI36" s="178" t="s">
        <v>52</v>
      </c>
      <c r="AJ36" s="178" t="s">
        <v>52</v>
      </c>
      <c r="AK36" s="178" t="s">
        <v>52</v>
      </c>
      <c r="AL36" s="178" t="s">
        <v>52</v>
      </c>
      <c r="AM36" s="178" t="s">
        <v>52</v>
      </c>
      <c r="AN36" s="178" t="s">
        <v>52</v>
      </c>
      <c r="AO36" s="178" t="s">
        <v>52</v>
      </c>
      <c r="AP36" s="178" t="s">
        <v>52</v>
      </c>
      <c r="AQ36" s="178" t="s">
        <v>52</v>
      </c>
      <c r="AR36" s="177" t="s">
        <v>52</v>
      </c>
      <c r="AS36" s="178" t="s">
        <v>52</v>
      </c>
      <c r="AT36" s="178" t="s">
        <v>52</v>
      </c>
      <c r="AU36" s="178" t="s">
        <v>52</v>
      </c>
      <c r="AV36" s="178" t="s">
        <v>52</v>
      </c>
      <c r="AW36" s="178" t="s">
        <v>52</v>
      </c>
      <c r="AX36" s="178" t="s">
        <v>52</v>
      </c>
      <c r="AY36" s="178" t="s">
        <v>52</v>
      </c>
      <c r="AZ36" s="178" t="s">
        <v>52</v>
      </c>
      <c r="BA36" s="178" t="s">
        <v>52</v>
      </c>
      <c r="BB36" s="178" t="s">
        <v>52</v>
      </c>
      <c r="BC36" s="178" t="s">
        <v>52</v>
      </c>
      <c r="BD36" s="177" t="str">
        <f t="shared" si="65"/>
        <v>NA</v>
      </c>
      <c r="BE36" s="178" t="str">
        <f t="shared" si="66"/>
        <v>NA</v>
      </c>
      <c r="BF36" s="178" t="str">
        <f t="shared" si="67"/>
        <v>NA</v>
      </c>
      <c r="BG36" s="178" t="str">
        <f t="shared" si="68"/>
        <v>NA</v>
      </c>
      <c r="BH36" s="178" t="str">
        <f t="shared" si="69"/>
        <v>NA</v>
      </c>
      <c r="BI36" s="178" t="str">
        <f t="shared" si="70"/>
        <v>NA</v>
      </c>
      <c r="BJ36" s="178" t="str">
        <f t="shared" si="71"/>
        <v>NA</v>
      </c>
      <c r="BK36" s="178" t="str">
        <f t="shared" si="72"/>
        <v>NA</v>
      </c>
      <c r="BL36" s="178"/>
      <c r="BM36" s="178" t="str">
        <f t="shared" si="73"/>
        <v>NA</v>
      </c>
      <c r="BN36" s="178"/>
      <c r="BO36" s="178"/>
      <c r="BP36" s="178" t="s">
        <v>52</v>
      </c>
      <c r="BQ36" s="178" t="s">
        <v>52</v>
      </c>
      <c r="BR36" s="178" t="s">
        <v>52</v>
      </c>
      <c r="BS36" s="178" t="s">
        <v>52</v>
      </c>
      <c r="BT36" s="178" t="s">
        <v>52</v>
      </c>
      <c r="BU36" s="178" t="s">
        <v>52</v>
      </c>
      <c r="BV36" s="178" t="s">
        <v>52</v>
      </c>
      <c r="BW36" s="3" t="s">
        <v>52</v>
      </c>
      <c r="BX36" s="3" t="s">
        <v>52</v>
      </c>
      <c r="BY36" s="3" t="s">
        <v>52</v>
      </c>
      <c r="BZ36" s="3" t="s">
        <v>52</v>
      </c>
      <c r="CA36" s="3" t="s">
        <v>52</v>
      </c>
      <c r="CB36" s="3" t="s">
        <v>52</v>
      </c>
      <c r="CC36" s="3" t="s">
        <v>52</v>
      </c>
    </row>
    <row r="37" spans="1:81">
      <c r="A37" s="48" t="s">
        <v>145</v>
      </c>
      <c r="B37" s="119"/>
      <c r="C37" s="110">
        <v>19</v>
      </c>
      <c r="D37" s="110"/>
      <c r="E37" s="110"/>
      <c r="F37" s="110">
        <v>12</v>
      </c>
      <c r="G37" s="110">
        <v>18</v>
      </c>
      <c r="H37" s="110">
        <v>18</v>
      </c>
      <c r="I37" s="180">
        <v>15</v>
      </c>
      <c r="J37" s="180">
        <v>20</v>
      </c>
      <c r="K37" s="180">
        <v>21</v>
      </c>
      <c r="L37" s="180">
        <v>14</v>
      </c>
      <c r="M37" s="180"/>
      <c r="N37" s="180">
        <v>6</v>
      </c>
      <c r="O37" s="180"/>
      <c r="P37" s="180"/>
      <c r="Q37" s="180">
        <v>26</v>
      </c>
      <c r="R37" s="180">
        <v>21</v>
      </c>
      <c r="S37" s="180">
        <v>26</v>
      </c>
      <c r="T37" s="180">
        <v>24</v>
      </c>
      <c r="U37" s="180">
        <v>21</v>
      </c>
      <c r="V37" s="180">
        <v>36</v>
      </c>
      <c r="W37" s="180">
        <v>18</v>
      </c>
      <c r="X37" s="180">
        <v>31</v>
      </c>
      <c r="Y37" s="180">
        <v>49</v>
      </c>
      <c r="Z37" s="180">
        <v>28</v>
      </c>
      <c r="AA37" s="180">
        <v>36</v>
      </c>
      <c r="AB37" s="180"/>
      <c r="AC37" s="180">
        <v>51</v>
      </c>
      <c r="AD37" s="180">
        <v>52</v>
      </c>
      <c r="AE37" s="180">
        <v>34</v>
      </c>
      <c r="AF37" s="179" t="s">
        <v>52</v>
      </c>
      <c r="AG37" s="180" t="s">
        <v>52</v>
      </c>
      <c r="AH37" s="180" t="s">
        <v>52</v>
      </c>
      <c r="AI37" s="180" t="s">
        <v>52</v>
      </c>
      <c r="AJ37" s="180" t="s">
        <v>52</v>
      </c>
      <c r="AK37" s="180" t="s">
        <v>52</v>
      </c>
      <c r="AL37" s="180" t="s">
        <v>52</v>
      </c>
      <c r="AM37" s="180" t="s">
        <v>52</v>
      </c>
      <c r="AN37" s="180" t="s">
        <v>52</v>
      </c>
      <c r="AO37" s="180" t="s">
        <v>52</v>
      </c>
      <c r="AP37" s="180" t="s">
        <v>52</v>
      </c>
      <c r="AQ37" s="180" t="s">
        <v>52</v>
      </c>
      <c r="AR37" s="179" t="s">
        <v>52</v>
      </c>
      <c r="AS37" s="180" t="s">
        <v>52</v>
      </c>
      <c r="AT37" s="180" t="s">
        <v>52</v>
      </c>
      <c r="AU37" s="180" t="s">
        <v>52</v>
      </c>
      <c r="AV37" s="180" t="s">
        <v>52</v>
      </c>
      <c r="AW37" s="180" t="s">
        <v>52</v>
      </c>
      <c r="AX37" s="180" t="s">
        <v>52</v>
      </c>
      <c r="AY37" s="180" t="s">
        <v>52</v>
      </c>
      <c r="AZ37" s="180" t="s">
        <v>52</v>
      </c>
      <c r="BA37" s="180" t="s">
        <v>52</v>
      </c>
      <c r="BB37" s="180" t="s">
        <v>52</v>
      </c>
      <c r="BC37" s="180" t="s">
        <v>52</v>
      </c>
      <c r="BD37" s="179" t="str">
        <f t="shared" si="65"/>
        <v>NA</v>
      </c>
      <c r="BE37" s="180" t="str">
        <f t="shared" si="66"/>
        <v>NA</v>
      </c>
      <c r="BF37" s="180" t="str">
        <f t="shared" si="67"/>
        <v>NA</v>
      </c>
      <c r="BG37" s="180" t="str">
        <f t="shared" si="68"/>
        <v>NA</v>
      </c>
      <c r="BH37" s="180" t="str">
        <f t="shared" si="69"/>
        <v>NA</v>
      </c>
      <c r="BI37" s="180" t="str">
        <f t="shared" si="70"/>
        <v>NA</v>
      </c>
      <c r="BJ37" s="180" t="str">
        <f t="shared" si="71"/>
        <v>NA</v>
      </c>
      <c r="BK37" s="180" t="str">
        <f t="shared" si="72"/>
        <v>NA</v>
      </c>
      <c r="BL37" s="180"/>
      <c r="BM37" s="180" t="str">
        <f t="shared" si="73"/>
        <v>NA</v>
      </c>
      <c r="BN37" s="180"/>
      <c r="BO37" s="180"/>
      <c r="BP37" s="180" t="s">
        <v>52</v>
      </c>
      <c r="BQ37" s="180" t="s">
        <v>52</v>
      </c>
      <c r="BR37" s="180" t="s">
        <v>52</v>
      </c>
      <c r="BS37" s="180" t="s">
        <v>52</v>
      </c>
      <c r="BT37" s="180" t="s">
        <v>52</v>
      </c>
      <c r="BU37" s="180" t="s">
        <v>52</v>
      </c>
      <c r="BV37" s="180" t="s">
        <v>52</v>
      </c>
      <c r="BW37" s="3" t="s">
        <v>52</v>
      </c>
      <c r="BX37" s="3" t="s">
        <v>52</v>
      </c>
      <c r="BY37" s="3" t="s">
        <v>52</v>
      </c>
      <c r="BZ37" s="3" t="s">
        <v>52</v>
      </c>
      <c r="CA37" s="3" t="s">
        <v>52</v>
      </c>
      <c r="CB37" s="3" t="s">
        <v>52</v>
      </c>
      <c r="CC37" s="3" t="s">
        <v>52</v>
      </c>
    </row>
    <row r="38" spans="1:81" s="112" customFormat="1">
      <c r="A38" s="111" t="s">
        <v>186</v>
      </c>
      <c r="B38" s="116"/>
      <c r="C38" s="59">
        <f>SUM(C40:C51)</f>
        <v>7713</v>
      </c>
      <c r="D38" s="59"/>
      <c r="E38" s="59"/>
      <c r="F38" s="59">
        <f t="shared" ref="F38:L38" si="74">SUM(F40:F51)</f>
        <v>8187</v>
      </c>
      <c r="G38" s="59">
        <f t="shared" si="74"/>
        <v>8749</v>
      </c>
      <c r="H38" s="59">
        <f t="shared" si="74"/>
        <v>9736</v>
      </c>
      <c r="I38" s="174">
        <f t="shared" si="74"/>
        <v>9070</v>
      </c>
      <c r="J38" s="174">
        <f t="shared" si="74"/>
        <v>9698</v>
      </c>
      <c r="K38" s="174">
        <f t="shared" si="74"/>
        <v>9844</v>
      </c>
      <c r="L38" s="174">
        <f t="shared" si="74"/>
        <v>9617</v>
      </c>
      <c r="M38" s="174"/>
      <c r="N38" s="174">
        <f>SUM(N40:N51)</f>
        <v>10083</v>
      </c>
      <c r="O38" s="174"/>
      <c r="P38" s="174"/>
      <c r="Q38" s="174">
        <f t="shared" ref="Q38:Y38" si="75">SUM(Q40:Q51)</f>
        <v>12223</v>
      </c>
      <c r="R38" s="174">
        <f t="shared" si="75"/>
        <v>13081</v>
      </c>
      <c r="S38" s="174">
        <f t="shared" si="75"/>
        <v>13933</v>
      </c>
      <c r="T38" s="174">
        <f t="shared" si="75"/>
        <v>14906</v>
      </c>
      <c r="U38" s="174">
        <f t="shared" si="75"/>
        <v>15815</v>
      </c>
      <c r="V38" s="174">
        <f t="shared" si="75"/>
        <v>16692</v>
      </c>
      <c r="W38" s="174">
        <f t="shared" si="75"/>
        <v>17672</v>
      </c>
      <c r="X38" s="174">
        <f t="shared" si="75"/>
        <v>19350</v>
      </c>
      <c r="Y38" s="174">
        <f t="shared" si="75"/>
        <v>20520</v>
      </c>
      <c r="Z38" s="174">
        <f t="shared" ref="Z38:AA38" si="76">SUM(Z40:Z51)</f>
        <v>22696</v>
      </c>
      <c r="AA38" s="174">
        <f t="shared" si="76"/>
        <v>23100</v>
      </c>
      <c r="AB38" s="174">
        <f t="shared" ref="AB38:AC38" si="77">SUM(AB40:AB51)</f>
        <v>0</v>
      </c>
      <c r="AC38" s="174">
        <f t="shared" si="77"/>
        <v>22789</v>
      </c>
      <c r="AD38" s="174">
        <f t="shared" ref="AD38:AE38" si="78">SUM(AD40:AD51)</f>
        <v>21681</v>
      </c>
      <c r="AE38" s="174">
        <f t="shared" si="78"/>
        <v>19979</v>
      </c>
      <c r="AF38" s="173"/>
      <c r="AG38" s="174">
        <f>SUM(AG40:AG51)</f>
        <v>1875</v>
      </c>
      <c r="AH38" s="174"/>
      <c r="AI38" s="174"/>
      <c r="AJ38" s="174">
        <f t="shared" ref="AJ38:AQ38" si="79">SUM(AJ40:AJ51)</f>
        <v>1667</v>
      </c>
      <c r="AK38" s="174">
        <f t="shared" si="79"/>
        <v>1721</v>
      </c>
      <c r="AL38" s="174">
        <f t="shared" si="79"/>
        <v>1577</v>
      </c>
      <c r="AM38" s="174">
        <f t="shared" si="79"/>
        <v>1444</v>
      </c>
      <c r="AN38" s="174">
        <f t="shared" si="79"/>
        <v>1473</v>
      </c>
      <c r="AO38" s="174">
        <f t="shared" si="79"/>
        <v>1543</v>
      </c>
      <c r="AP38" s="174">
        <f t="shared" si="79"/>
        <v>1216</v>
      </c>
      <c r="AQ38" s="174">
        <f t="shared" si="79"/>
        <v>1234</v>
      </c>
      <c r="AR38" s="173"/>
      <c r="AS38" s="174">
        <f>SUM(AS40:AS51)</f>
        <v>14</v>
      </c>
      <c r="AT38" s="174"/>
      <c r="AU38" s="174"/>
      <c r="AV38" s="174">
        <f t="shared" ref="AV38:BK38" si="80">SUM(AV40:AV51)</f>
        <v>11</v>
      </c>
      <c r="AW38" s="174">
        <f t="shared" si="80"/>
        <v>20</v>
      </c>
      <c r="AX38" s="174">
        <f t="shared" si="80"/>
        <v>21</v>
      </c>
      <c r="AY38" s="174">
        <f t="shared" si="80"/>
        <v>28</v>
      </c>
      <c r="AZ38" s="174">
        <f t="shared" si="80"/>
        <v>36</v>
      </c>
      <c r="BA38" s="174">
        <f t="shared" si="80"/>
        <v>20</v>
      </c>
      <c r="BB38" s="174">
        <f t="shared" si="80"/>
        <v>22</v>
      </c>
      <c r="BC38" s="174">
        <f t="shared" si="80"/>
        <v>26</v>
      </c>
      <c r="BD38" s="173">
        <f t="shared" si="80"/>
        <v>921</v>
      </c>
      <c r="BE38" s="174">
        <f t="shared" si="80"/>
        <v>881</v>
      </c>
      <c r="BF38" s="174">
        <f t="shared" si="80"/>
        <v>882</v>
      </c>
      <c r="BG38" s="174">
        <f t="shared" si="80"/>
        <v>828</v>
      </c>
      <c r="BH38" s="174">
        <f t="shared" si="80"/>
        <v>673</v>
      </c>
      <c r="BI38" s="174">
        <f t="shared" si="80"/>
        <v>556</v>
      </c>
      <c r="BJ38" s="174">
        <f t="shared" si="80"/>
        <v>616</v>
      </c>
      <c r="BK38" s="174">
        <f t="shared" si="80"/>
        <v>573</v>
      </c>
      <c r="BL38" s="174"/>
      <c r="BM38" s="174">
        <f>SUM(BM40:BM51)</f>
        <v>587</v>
      </c>
      <c r="BN38" s="174"/>
      <c r="BO38" s="174"/>
      <c r="BP38" s="174">
        <f t="shared" ref="BP38:BW38" si="81">SUM(BP40:BP51)</f>
        <v>1902</v>
      </c>
      <c r="BQ38" s="174">
        <f t="shared" si="81"/>
        <v>2219</v>
      </c>
      <c r="BR38" s="174">
        <f t="shared" si="81"/>
        <v>2716</v>
      </c>
      <c r="BS38" s="174">
        <f t="shared" si="81"/>
        <v>2447</v>
      </c>
      <c r="BT38" s="174">
        <f t="shared" si="81"/>
        <v>3112</v>
      </c>
      <c r="BU38" s="174">
        <f t="shared" si="81"/>
        <v>3374</v>
      </c>
      <c r="BV38" s="174">
        <f t="shared" si="81"/>
        <v>3551</v>
      </c>
      <c r="BW38" s="174">
        <f t="shared" si="81"/>
        <v>3742</v>
      </c>
      <c r="BX38" s="174">
        <f t="shared" ref="BX38:BY38" si="82">SUM(BX40:BX51)</f>
        <v>4511</v>
      </c>
      <c r="BY38" s="174">
        <f t="shared" si="82"/>
        <v>4672</v>
      </c>
      <c r="BZ38" s="174">
        <f t="shared" ref="BZ38:CA38" si="83">SUM(BZ40:BZ51)</f>
        <v>0</v>
      </c>
      <c r="CA38" s="174">
        <f t="shared" si="83"/>
        <v>1480</v>
      </c>
      <c r="CB38" s="174">
        <f t="shared" ref="CB38:CC38" si="84">SUM(CB40:CB51)</f>
        <v>3642</v>
      </c>
      <c r="CC38" s="174">
        <f t="shared" si="84"/>
        <v>2860</v>
      </c>
    </row>
    <row r="39" spans="1:81" s="112" customFormat="1">
      <c r="A39" s="58" t="s">
        <v>189</v>
      </c>
      <c r="B39" s="117"/>
      <c r="C39" s="58">
        <f>(C38/C$4)*100</f>
        <v>23.692940959636296</v>
      </c>
      <c r="D39" s="58"/>
      <c r="E39" s="58"/>
      <c r="F39" s="58">
        <f t="shared" ref="F39:BU39" si="85">(F38/F$4)*100</f>
        <v>21.169808393452797</v>
      </c>
      <c r="G39" s="58">
        <f t="shared" si="85"/>
        <v>21.226678312346849</v>
      </c>
      <c r="H39" s="58">
        <f t="shared" si="85"/>
        <v>22.237449180028321</v>
      </c>
      <c r="I39" s="176">
        <f t="shared" si="85"/>
        <v>20.223867285051732</v>
      </c>
      <c r="J39" s="176">
        <f t="shared" si="85"/>
        <v>19.7583684778844</v>
      </c>
      <c r="K39" s="176">
        <f t="shared" si="85"/>
        <v>18.508630090625353</v>
      </c>
      <c r="L39" s="176">
        <f t="shared" si="85"/>
        <v>17.809259259259257</v>
      </c>
      <c r="M39" s="176"/>
      <c r="N39" s="176">
        <f t="shared" si="85"/>
        <v>17.281094143657771</v>
      </c>
      <c r="O39" s="176"/>
      <c r="P39" s="176"/>
      <c r="Q39" s="176">
        <f t="shared" si="85"/>
        <v>17.054317645909784</v>
      </c>
      <c r="R39" s="176">
        <f t="shared" si="85"/>
        <v>17.030999778666008</v>
      </c>
      <c r="S39" s="176">
        <f t="shared" si="85"/>
        <v>17.278025793650794</v>
      </c>
      <c r="T39" s="176">
        <f t="shared" ref="T39" si="86">(T38/T$4)*100</f>
        <v>17.900589641051507</v>
      </c>
      <c r="U39" s="176">
        <f t="shared" si="85"/>
        <v>18.414801704664541</v>
      </c>
      <c r="V39" s="176">
        <f t="shared" si="85"/>
        <v>18.752527749067539</v>
      </c>
      <c r="W39" s="176">
        <f t="shared" ref="W39:X39" si="87">(W38/W$4)*100</f>
        <v>18.724901194146877</v>
      </c>
      <c r="X39" s="176">
        <f t="shared" si="87"/>
        <v>18.492856118889474</v>
      </c>
      <c r="Y39" s="176">
        <f t="shared" ref="Y39:Z39" si="88">(Y38/Y$4)*100</f>
        <v>18.761142857142858</v>
      </c>
      <c r="Z39" s="176">
        <f t="shared" si="88"/>
        <v>17.755941856644398</v>
      </c>
      <c r="AA39" s="176">
        <f t="shared" ref="AA39:AC39" si="89">(AA38/AA$4)*100</f>
        <v>18.422668655145188</v>
      </c>
      <c r="AB39" s="176" t="e">
        <f t="shared" si="89"/>
        <v>#DIV/0!</v>
      </c>
      <c r="AC39" s="176">
        <f t="shared" si="89"/>
        <v>17.779182074927053</v>
      </c>
      <c r="AD39" s="176">
        <f t="shared" ref="AD39:AE39" si="90">(AD38/AD$4)*100</f>
        <v>17.220126285691592</v>
      </c>
      <c r="AE39" s="176">
        <f t="shared" si="90"/>
        <v>16.265967580417986</v>
      </c>
      <c r="AF39" s="175">
        <f t="shared" si="85"/>
        <v>0</v>
      </c>
      <c r="AG39" s="176">
        <f t="shared" si="85"/>
        <v>33.893709327548805</v>
      </c>
      <c r="AH39" s="176">
        <f t="shared" si="85"/>
        <v>0</v>
      </c>
      <c r="AI39" s="176">
        <f t="shared" si="85"/>
        <v>0</v>
      </c>
      <c r="AJ39" s="176">
        <f t="shared" si="85"/>
        <v>24.958826171582572</v>
      </c>
      <c r="AK39" s="176">
        <f t="shared" si="85"/>
        <v>24.617365183807753</v>
      </c>
      <c r="AL39" s="176">
        <f t="shared" si="85"/>
        <v>34.843128590366767</v>
      </c>
      <c r="AM39" s="176">
        <f t="shared" si="85"/>
        <v>26.671592168452165</v>
      </c>
      <c r="AN39" s="176">
        <f t="shared" si="85"/>
        <v>28.009127210496292</v>
      </c>
      <c r="AO39" s="176">
        <f t="shared" si="85"/>
        <v>23.043608124253286</v>
      </c>
      <c r="AP39" s="176">
        <f t="shared" si="85"/>
        <v>18.299473288186608</v>
      </c>
      <c r="AQ39" s="176">
        <f t="shared" si="85"/>
        <v>16.828037638074459</v>
      </c>
      <c r="AR39" s="175"/>
      <c r="AS39" s="176">
        <f t="shared" si="85"/>
        <v>1.6091954022988506</v>
      </c>
      <c r="AT39" s="176">
        <f t="shared" si="85"/>
        <v>0</v>
      </c>
      <c r="AU39" s="176">
        <f t="shared" si="85"/>
        <v>0</v>
      </c>
      <c r="AV39" s="176">
        <f t="shared" si="85"/>
        <v>1.1714589989350372</v>
      </c>
      <c r="AW39" s="176">
        <f t="shared" si="85"/>
        <v>1.4947683109118086</v>
      </c>
      <c r="AX39" s="176">
        <f t="shared" si="85"/>
        <v>1.6091954022988506</v>
      </c>
      <c r="AY39" s="176">
        <f t="shared" si="85"/>
        <v>2.1621621621621623</v>
      </c>
      <c r="AZ39" s="176">
        <f t="shared" si="85"/>
        <v>2.5052192066805845</v>
      </c>
      <c r="BA39" s="176">
        <f t="shared" si="85"/>
        <v>1.3986013986013985</v>
      </c>
      <c r="BB39" s="176">
        <f t="shared" si="85"/>
        <v>1.4579191517561298</v>
      </c>
      <c r="BC39" s="176">
        <f t="shared" si="85"/>
        <v>1.7368069472277889</v>
      </c>
      <c r="BD39" s="175">
        <f t="shared" si="85"/>
        <v>24.078431372549019</v>
      </c>
      <c r="BE39" s="176">
        <f t="shared" si="85"/>
        <v>22.555043522785461</v>
      </c>
      <c r="BF39" s="176">
        <f t="shared" si="85"/>
        <v>22.956793336803749</v>
      </c>
      <c r="BG39" s="176">
        <f t="shared" si="85"/>
        <v>22.306034482758623</v>
      </c>
      <c r="BH39" s="176">
        <f t="shared" si="85"/>
        <v>18.038059501474134</v>
      </c>
      <c r="BI39" s="176">
        <f t="shared" si="85"/>
        <v>14.115257679614116</v>
      </c>
      <c r="BJ39" s="176">
        <f t="shared" si="85"/>
        <v>13.151152860802734</v>
      </c>
      <c r="BK39" s="176">
        <f t="shared" si="85"/>
        <v>11.855990068280571</v>
      </c>
      <c r="BL39" s="176"/>
      <c r="BM39" s="176">
        <f t="shared" si="85"/>
        <v>10.931098696461824</v>
      </c>
      <c r="BN39" s="176"/>
      <c r="BO39" s="176"/>
      <c r="BP39" s="176">
        <f t="shared" si="85"/>
        <v>16.570831155253529</v>
      </c>
      <c r="BQ39" s="176">
        <f t="shared" si="85"/>
        <v>18.631402183039462</v>
      </c>
      <c r="BR39" s="176">
        <f t="shared" si="85"/>
        <v>19.207920792079207</v>
      </c>
      <c r="BS39" s="176">
        <f t="shared" ref="BS39" si="91">(BS38/BS$4)*100</f>
        <v>16.036437512287829</v>
      </c>
      <c r="BT39" s="176">
        <f t="shared" si="85"/>
        <v>18.964046313223644</v>
      </c>
      <c r="BU39" s="176">
        <f t="shared" si="85"/>
        <v>19.640258455090517</v>
      </c>
      <c r="BV39" s="176">
        <f t="shared" ref="BV39:BW39" si="92">(BV38/BV$4)*100</f>
        <v>19.212249093761834</v>
      </c>
      <c r="BW39" s="176">
        <f t="shared" si="92"/>
        <v>17.249804084266813</v>
      </c>
      <c r="BX39" s="176">
        <f t="shared" ref="BX39:BY39" si="93">(BX38/BX$4)*100</f>
        <v>18.645889306824287</v>
      </c>
      <c r="BY39" s="176">
        <f t="shared" si="93"/>
        <v>19.207367209340571</v>
      </c>
      <c r="BZ39" s="176" t="e">
        <f t="shared" ref="BZ39:CA39" si="94">(BZ38/BZ$4)*100</f>
        <v>#DIV/0!</v>
      </c>
      <c r="CA39" s="176">
        <f t="shared" si="94"/>
        <v>13.499954392045973</v>
      </c>
      <c r="CB39" s="176">
        <f t="shared" ref="CB39:CC39" si="95">(CB38/CB$4)*100</f>
        <v>16.724066675850668</v>
      </c>
      <c r="CC39" s="176">
        <f t="shared" si="95"/>
        <v>16.698779704560053</v>
      </c>
    </row>
    <row r="40" spans="1:81">
      <c r="A40" s="46" t="s">
        <v>120</v>
      </c>
      <c r="B40" s="118"/>
      <c r="C40" s="109">
        <v>2346</v>
      </c>
      <c r="D40" s="109"/>
      <c r="E40" s="109"/>
      <c r="F40" s="109">
        <v>2399</v>
      </c>
      <c r="G40" s="109">
        <v>2895</v>
      </c>
      <c r="H40" s="109">
        <v>2695</v>
      </c>
      <c r="I40" s="178">
        <v>2886</v>
      </c>
      <c r="J40" s="178">
        <v>3016</v>
      </c>
      <c r="K40" s="178">
        <v>3022</v>
      </c>
      <c r="L40" s="178">
        <v>2817</v>
      </c>
      <c r="M40" s="178"/>
      <c r="N40" s="178">
        <v>2992</v>
      </c>
      <c r="O40" s="178"/>
      <c r="P40" s="178"/>
      <c r="Q40" s="178">
        <v>3353</v>
      </c>
      <c r="R40" s="178">
        <v>3651</v>
      </c>
      <c r="S40" s="178">
        <v>3762</v>
      </c>
      <c r="T40" s="178">
        <v>3733</v>
      </c>
      <c r="U40" s="178">
        <v>4681</v>
      </c>
      <c r="V40" s="178">
        <v>4560</v>
      </c>
      <c r="W40" s="178">
        <v>5098</v>
      </c>
      <c r="X40" s="178">
        <v>5666</v>
      </c>
      <c r="Y40" s="178">
        <v>4289</v>
      </c>
      <c r="Z40" s="178">
        <v>4835</v>
      </c>
      <c r="AA40" s="178">
        <v>4781</v>
      </c>
      <c r="AB40" s="178"/>
      <c r="AC40" s="178">
        <v>4927</v>
      </c>
      <c r="AD40" s="178">
        <v>4839</v>
      </c>
      <c r="AE40" s="178">
        <v>4391</v>
      </c>
      <c r="AF40" s="177" t="s">
        <v>52</v>
      </c>
      <c r="AG40" s="178">
        <v>877</v>
      </c>
      <c r="AH40" s="178" t="s">
        <v>52</v>
      </c>
      <c r="AI40" s="178" t="s">
        <v>52</v>
      </c>
      <c r="AJ40" s="178">
        <v>792</v>
      </c>
      <c r="AK40" s="178">
        <v>848</v>
      </c>
      <c r="AL40" s="178">
        <v>749</v>
      </c>
      <c r="AM40" s="178">
        <v>771</v>
      </c>
      <c r="AN40" s="178">
        <v>802</v>
      </c>
      <c r="AO40" s="178">
        <v>830</v>
      </c>
      <c r="AP40" s="178">
        <v>585</v>
      </c>
      <c r="AQ40" s="178">
        <v>576</v>
      </c>
      <c r="AR40" s="177" t="s">
        <v>52</v>
      </c>
      <c r="AS40" s="178" t="s">
        <v>52</v>
      </c>
      <c r="AT40" s="178" t="s">
        <v>52</v>
      </c>
      <c r="AU40" s="178" t="s">
        <v>52</v>
      </c>
      <c r="AV40" s="178" t="s">
        <v>52</v>
      </c>
      <c r="AW40" s="178" t="s">
        <v>52</v>
      </c>
      <c r="AX40" s="178" t="s">
        <v>52</v>
      </c>
      <c r="AY40" s="178" t="s">
        <v>52</v>
      </c>
      <c r="AZ40" s="178" t="s">
        <v>52</v>
      </c>
      <c r="BA40" s="178" t="s">
        <v>52</v>
      </c>
      <c r="BB40" s="178" t="s">
        <v>52</v>
      </c>
      <c r="BC40" s="178" t="s">
        <v>52</v>
      </c>
      <c r="BD40" s="177" t="str">
        <f t="shared" ref="BD40:BD51" si="96">IF(AG40&gt;AS40,(AG40),(AS40))</f>
        <v>NA</v>
      </c>
      <c r="BE40" s="178" t="str">
        <f t="shared" ref="BE40:BE51" si="97">IF(AJ40&gt;AV40,(AJ40),(AV40))</f>
        <v>NA</v>
      </c>
      <c r="BF40" s="178" t="str">
        <f t="shared" ref="BF40:BF51" si="98">IF(AK40&gt;AW40,(AK40),(AW40))</f>
        <v>NA</v>
      </c>
      <c r="BG40" s="178" t="str">
        <f t="shared" ref="BG40:BG51" si="99">IF(AL40&gt;AX40,(AL40),(AX40))</f>
        <v>NA</v>
      </c>
      <c r="BH40" s="178" t="str">
        <f t="shared" ref="BH40:BH51" si="100">IF(AM40&gt;AY40,(AM40),(AY40))</f>
        <v>NA</v>
      </c>
      <c r="BI40" s="178" t="str">
        <f t="shared" ref="BI40:BI51" si="101">IF(AN40&gt;AZ40,(AN40),(AZ40))</f>
        <v>NA</v>
      </c>
      <c r="BJ40" s="178" t="str">
        <f t="shared" ref="BJ40:BJ51" si="102">IF(AO40&gt;BA40,(AO40),(BA40))</f>
        <v>NA</v>
      </c>
      <c r="BK40" s="178" t="str">
        <f t="shared" ref="BK40:BK51" si="103">IF(AP40&gt;BB40,(AP40),(BB40))</f>
        <v>NA</v>
      </c>
      <c r="BL40" s="178"/>
      <c r="BM40" s="178" t="str">
        <f t="shared" ref="BM40:BM51" si="104">IF(AQ40&gt;BC40,(AQ40),(BC40))</f>
        <v>NA</v>
      </c>
      <c r="BN40" s="178"/>
      <c r="BO40" s="178"/>
      <c r="BP40" s="178">
        <v>892</v>
      </c>
      <c r="BQ40" s="178">
        <v>1100</v>
      </c>
      <c r="BR40" s="178">
        <v>1118</v>
      </c>
      <c r="BS40" s="178">
        <v>1161</v>
      </c>
      <c r="BT40" s="178">
        <v>1067</v>
      </c>
      <c r="BU40" s="178">
        <v>939</v>
      </c>
      <c r="BV40" s="178">
        <v>1332</v>
      </c>
      <c r="BW40" s="3">
        <v>1301</v>
      </c>
      <c r="BX40" s="1">
        <v>1592</v>
      </c>
      <c r="BY40" s="1">
        <v>1602</v>
      </c>
      <c r="CA40" s="1">
        <v>673</v>
      </c>
      <c r="CB40" s="1">
        <v>1359</v>
      </c>
      <c r="CC40" s="1">
        <v>1017</v>
      </c>
    </row>
    <row r="41" spans="1:81">
      <c r="A41" s="46" t="s">
        <v>121</v>
      </c>
      <c r="B41" s="118"/>
      <c r="C41" s="109">
        <v>496</v>
      </c>
      <c r="D41" s="109"/>
      <c r="E41" s="109"/>
      <c r="F41" s="109">
        <v>472</v>
      </c>
      <c r="G41" s="109">
        <v>464</v>
      </c>
      <c r="H41" s="109">
        <v>493</v>
      </c>
      <c r="I41" s="178">
        <v>515</v>
      </c>
      <c r="J41" s="178">
        <v>699</v>
      </c>
      <c r="K41" s="178">
        <v>689</v>
      </c>
      <c r="L41" s="178">
        <v>789</v>
      </c>
      <c r="M41" s="178"/>
      <c r="N41" s="178">
        <v>872</v>
      </c>
      <c r="O41" s="178"/>
      <c r="P41" s="178"/>
      <c r="Q41" s="178">
        <v>1232</v>
      </c>
      <c r="R41" s="178">
        <v>1287</v>
      </c>
      <c r="S41" s="178">
        <v>1357</v>
      </c>
      <c r="T41" s="178">
        <v>1539</v>
      </c>
      <c r="U41" s="178">
        <v>1453</v>
      </c>
      <c r="V41" s="178">
        <v>1651</v>
      </c>
      <c r="W41" s="178">
        <v>1587</v>
      </c>
      <c r="X41" s="178">
        <v>1779</v>
      </c>
      <c r="Y41" s="178">
        <v>2227</v>
      </c>
      <c r="Z41" s="178">
        <v>2107</v>
      </c>
      <c r="AA41" s="178">
        <v>2128</v>
      </c>
      <c r="AB41" s="178"/>
      <c r="AC41" s="178">
        <v>1905</v>
      </c>
      <c r="AD41" s="178">
        <v>1701</v>
      </c>
      <c r="AE41" s="178">
        <v>1677</v>
      </c>
      <c r="AF41" s="177" t="s">
        <v>52</v>
      </c>
      <c r="AG41" s="178">
        <v>10</v>
      </c>
      <c r="AH41" s="178" t="s">
        <v>52</v>
      </c>
      <c r="AI41" s="178" t="s">
        <v>52</v>
      </c>
      <c r="AJ41" s="178" t="s">
        <v>52</v>
      </c>
      <c r="AK41" s="178" t="s">
        <v>52</v>
      </c>
      <c r="AL41" s="178" t="s">
        <v>52</v>
      </c>
      <c r="AM41" s="178" t="s">
        <v>52</v>
      </c>
      <c r="AN41" s="178" t="s">
        <v>52</v>
      </c>
      <c r="AO41" s="178" t="s">
        <v>52</v>
      </c>
      <c r="AP41" s="178" t="s">
        <v>52</v>
      </c>
      <c r="AQ41" s="178" t="s">
        <v>52</v>
      </c>
      <c r="AR41" s="177" t="s">
        <v>52</v>
      </c>
      <c r="AS41" s="178" t="s">
        <v>52</v>
      </c>
      <c r="AT41" s="178" t="s">
        <v>52</v>
      </c>
      <c r="AU41" s="178" t="s">
        <v>52</v>
      </c>
      <c r="AV41" s="178" t="s">
        <v>52</v>
      </c>
      <c r="AW41" s="178" t="s">
        <v>52</v>
      </c>
      <c r="AX41" s="178" t="s">
        <v>52</v>
      </c>
      <c r="AY41" s="178" t="s">
        <v>52</v>
      </c>
      <c r="AZ41" s="178" t="s">
        <v>52</v>
      </c>
      <c r="BA41" s="178" t="s">
        <v>52</v>
      </c>
      <c r="BB41" s="178" t="s">
        <v>52</v>
      </c>
      <c r="BC41" s="178" t="s">
        <v>52</v>
      </c>
      <c r="BD41" s="177" t="str">
        <f t="shared" si="96"/>
        <v>NA</v>
      </c>
      <c r="BE41" s="178" t="str">
        <f t="shared" si="97"/>
        <v>NA</v>
      </c>
      <c r="BF41" s="178" t="str">
        <f t="shared" si="98"/>
        <v>NA</v>
      </c>
      <c r="BG41" s="178" t="str">
        <f t="shared" si="99"/>
        <v>NA</v>
      </c>
      <c r="BH41" s="178" t="str">
        <f t="shared" si="100"/>
        <v>NA</v>
      </c>
      <c r="BI41" s="178" t="str">
        <f t="shared" si="101"/>
        <v>NA</v>
      </c>
      <c r="BJ41" s="178" t="str">
        <f t="shared" si="102"/>
        <v>NA</v>
      </c>
      <c r="BK41" s="178" t="str">
        <f t="shared" si="103"/>
        <v>NA</v>
      </c>
      <c r="BL41" s="178"/>
      <c r="BM41" s="178" t="str">
        <f t="shared" si="104"/>
        <v>NA</v>
      </c>
      <c r="BN41" s="178"/>
      <c r="BO41" s="178"/>
      <c r="BP41" s="178" t="s">
        <v>52</v>
      </c>
      <c r="BQ41" s="178" t="s">
        <v>52</v>
      </c>
      <c r="BR41" s="178" t="s">
        <v>52</v>
      </c>
      <c r="BS41" s="178">
        <v>58</v>
      </c>
      <c r="BT41" s="178">
        <v>83</v>
      </c>
      <c r="BU41" s="178">
        <v>163</v>
      </c>
      <c r="BV41" s="178">
        <v>103</v>
      </c>
      <c r="BW41" s="3">
        <v>195</v>
      </c>
      <c r="BX41" s="1">
        <v>266</v>
      </c>
      <c r="BY41" s="1">
        <v>267</v>
      </c>
      <c r="CA41" s="1">
        <v>74</v>
      </c>
      <c r="CB41" s="1">
        <v>105</v>
      </c>
      <c r="CC41" s="1">
        <v>31</v>
      </c>
    </row>
    <row r="42" spans="1:81">
      <c r="A42" s="46" t="s">
        <v>118</v>
      </c>
      <c r="B42" s="118"/>
      <c r="C42" s="109">
        <v>66</v>
      </c>
      <c r="D42" s="109"/>
      <c r="E42" s="109"/>
      <c r="F42" s="109">
        <v>160</v>
      </c>
      <c r="G42" s="109">
        <v>122</v>
      </c>
      <c r="H42" s="109">
        <v>156</v>
      </c>
      <c r="I42" s="178">
        <v>115</v>
      </c>
      <c r="J42" s="178">
        <v>123</v>
      </c>
      <c r="K42" s="178">
        <v>115</v>
      </c>
      <c r="L42" s="178">
        <v>168</v>
      </c>
      <c r="M42" s="178"/>
      <c r="N42" s="178">
        <v>155</v>
      </c>
      <c r="O42" s="178"/>
      <c r="P42" s="178"/>
      <c r="Q42" s="178">
        <v>258</v>
      </c>
      <c r="R42" s="178">
        <v>262</v>
      </c>
      <c r="S42" s="178">
        <v>257</v>
      </c>
      <c r="T42" s="178">
        <v>326</v>
      </c>
      <c r="U42" s="178">
        <v>339</v>
      </c>
      <c r="V42" s="178">
        <v>277</v>
      </c>
      <c r="W42" s="178">
        <v>344</v>
      </c>
      <c r="X42" s="178">
        <v>484</v>
      </c>
      <c r="Y42" s="178">
        <v>966</v>
      </c>
      <c r="Z42" s="178">
        <v>1253</v>
      </c>
      <c r="AA42" s="178">
        <v>1754</v>
      </c>
      <c r="AB42" s="178"/>
      <c r="AC42" s="178">
        <v>1473</v>
      </c>
      <c r="AD42" s="178">
        <v>1510</v>
      </c>
      <c r="AE42" s="178">
        <v>1245</v>
      </c>
      <c r="AF42" s="177" t="s">
        <v>52</v>
      </c>
      <c r="AG42" s="178" t="s">
        <v>52</v>
      </c>
      <c r="AH42" s="178" t="s">
        <v>52</v>
      </c>
      <c r="AI42" s="178" t="s">
        <v>52</v>
      </c>
      <c r="AJ42" s="178" t="s">
        <v>52</v>
      </c>
      <c r="AK42" s="178" t="s">
        <v>52</v>
      </c>
      <c r="AL42" s="178" t="s">
        <v>52</v>
      </c>
      <c r="AM42" s="178" t="s">
        <v>52</v>
      </c>
      <c r="AN42" s="178" t="s">
        <v>52</v>
      </c>
      <c r="AO42" s="178" t="s">
        <v>52</v>
      </c>
      <c r="AP42" s="178" t="s">
        <v>52</v>
      </c>
      <c r="AQ42" s="178" t="s">
        <v>52</v>
      </c>
      <c r="AR42" s="177" t="s">
        <v>52</v>
      </c>
      <c r="AS42" s="178" t="s">
        <v>52</v>
      </c>
      <c r="AT42" s="178" t="s">
        <v>52</v>
      </c>
      <c r="AU42" s="178" t="s">
        <v>52</v>
      </c>
      <c r="AV42" s="178" t="s">
        <v>52</v>
      </c>
      <c r="AW42" s="178" t="s">
        <v>52</v>
      </c>
      <c r="AX42" s="178" t="s">
        <v>52</v>
      </c>
      <c r="AY42" s="178" t="s">
        <v>52</v>
      </c>
      <c r="AZ42" s="178" t="s">
        <v>52</v>
      </c>
      <c r="BA42" s="178" t="s">
        <v>52</v>
      </c>
      <c r="BB42" s="178" t="s">
        <v>52</v>
      </c>
      <c r="BC42" s="178" t="s">
        <v>52</v>
      </c>
      <c r="BD42" s="177" t="str">
        <f t="shared" si="96"/>
        <v>NA</v>
      </c>
      <c r="BE42" s="178" t="str">
        <f t="shared" si="97"/>
        <v>NA</v>
      </c>
      <c r="BF42" s="178" t="str">
        <f t="shared" si="98"/>
        <v>NA</v>
      </c>
      <c r="BG42" s="178" t="str">
        <f t="shared" si="99"/>
        <v>NA</v>
      </c>
      <c r="BH42" s="178" t="str">
        <f t="shared" si="100"/>
        <v>NA</v>
      </c>
      <c r="BI42" s="178" t="str">
        <f t="shared" si="101"/>
        <v>NA</v>
      </c>
      <c r="BJ42" s="178" t="str">
        <f t="shared" si="102"/>
        <v>NA</v>
      </c>
      <c r="BK42" s="178" t="str">
        <f t="shared" si="103"/>
        <v>NA</v>
      </c>
      <c r="BL42" s="178"/>
      <c r="BM42" s="178" t="str">
        <f t="shared" si="104"/>
        <v>NA</v>
      </c>
      <c r="BN42" s="178"/>
      <c r="BO42" s="178"/>
      <c r="BP42" s="178" t="s">
        <v>52</v>
      </c>
      <c r="BQ42" s="178" t="s">
        <v>52</v>
      </c>
      <c r="BR42" s="178" t="s">
        <v>52</v>
      </c>
      <c r="BS42" s="178" t="s">
        <v>52</v>
      </c>
      <c r="BT42" s="178" t="s">
        <v>52</v>
      </c>
      <c r="BU42" s="178" t="s">
        <v>52</v>
      </c>
      <c r="BV42" s="178" t="s">
        <v>52</v>
      </c>
      <c r="BW42" s="3" t="s">
        <v>52</v>
      </c>
      <c r="BX42" s="3" t="s">
        <v>52</v>
      </c>
      <c r="BY42" s="3" t="s">
        <v>52</v>
      </c>
      <c r="BZ42" s="3" t="s">
        <v>52</v>
      </c>
      <c r="CA42" s="3" t="s">
        <v>52</v>
      </c>
      <c r="CB42" s="3" t="s">
        <v>52</v>
      </c>
      <c r="CC42" s="3" t="s">
        <v>52</v>
      </c>
    </row>
    <row r="43" spans="1:81">
      <c r="A43" s="46" t="s">
        <v>122</v>
      </c>
      <c r="B43" s="118"/>
      <c r="C43" s="109">
        <v>369</v>
      </c>
      <c r="D43" s="109"/>
      <c r="E43" s="109"/>
      <c r="F43" s="109">
        <v>426</v>
      </c>
      <c r="G43" s="109">
        <v>448</v>
      </c>
      <c r="H43" s="109">
        <v>484</v>
      </c>
      <c r="I43" s="178">
        <v>502</v>
      </c>
      <c r="J43" s="178">
        <v>559</v>
      </c>
      <c r="K43" s="178">
        <v>504</v>
      </c>
      <c r="L43" s="178">
        <v>526</v>
      </c>
      <c r="M43" s="178"/>
      <c r="N43" s="178">
        <v>604</v>
      </c>
      <c r="O43" s="178"/>
      <c r="P43" s="178"/>
      <c r="Q43" s="178">
        <v>597</v>
      </c>
      <c r="R43" s="178">
        <v>597</v>
      </c>
      <c r="S43" s="178">
        <v>595</v>
      </c>
      <c r="T43" s="178">
        <v>577</v>
      </c>
      <c r="U43" s="178">
        <v>535</v>
      </c>
      <c r="V43" s="178">
        <v>593</v>
      </c>
      <c r="W43" s="178">
        <v>589</v>
      </c>
      <c r="X43" s="178">
        <v>684</v>
      </c>
      <c r="Y43" s="178">
        <v>717</v>
      </c>
      <c r="Z43" s="178">
        <v>863</v>
      </c>
      <c r="AA43" s="178">
        <v>901</v>
      </c>
      <c r="AB43" s="178"/>
      <c r="AC43" s="178">
        <v>1024</v>
      </c>
      <c r="AD43" s="178">
        <v>908</v>
      </c>
      <c r="AE43" s="178">
        <v>812</v>
      </c>
      <c r="AF43" s="177" t="s">
        <v>52</v>
      </c>
      <c r="AG43" s="178">
        <v>67</v>
      </c>
      <c r="AH43" s="178" t="s">
        <v>52</v>
      </c>
      <c r="AI43" s="178" t="s">
        <v>52</v>
      </c>
      <c r="AJ43" s="178" t="s">
        <v>52</v>
      </c>
      <c r="AK43" s="178" t="s">
        <v>52</v>
      </c>
      <c r="AL43" s="178" t="s">
        <v>52</v>
      </c>
      <c r="AM43" s="178" t="s">
        <v>52</v>
      </c>
      <c r="AN43" s="178" t="s">
        <v>52</v>
      </c>
      <c r="AO43" s="178" t="s">
        <v>52</v>
      </c>
      <c r="AP43" s="178">
        <v>12</v>
      </c>
      <c r="AQ43" s="178">
        <v>23</v>
      </c>
      <c r="AR43" s="177" t="s">
        <v>52</v>
      </c>
      <c r="AS43" s="178" t="s">
        <v>52</v>
      </c>
      <c r="AT43" s="178" t="s">
        <v>52</v>
      </c>
      <c r="AU43" s="178" t="s">
        <v>52</v>
      </c>
      <c r="AV43" s="178" t="s">
        <v>52</v>
      </c>
      <c r="AW43" s="178" t="s">
        <v>52</v>
      </c>
      <c r="AX43" s="178" t="s">
        <v>52</v>
      </c>
      <c r="AY43" s="178" t="s">
        <v>52</v>
      </c>
      <c r="AZ43" s="178" t="s">
        <v>52</v>
      </c>
      <c r="BA43" s="178" t="s">
        <v>52</v>
      </c>
      <c r="BB43" s="178" t="s">
        <v>52</v>
      </c>
      <c r="BC43" s="178" t="s">
        <v>52</v>
      </c>
      <c r="BD43" s="177" t="str">
        <f t="shared" si="96"/>
        <v>NA</v>
      </c>
      <c r="BE43" s="178" t="str">
        <f t="shared" si="97"/>
        <v>NA</v>
      </c>
      <c r="BF43" s="178" t="str">
        <f t="shared" si="98"/>
        <v>NA</v>
      </c>
      <c r="BG43" s="178" t="str">
        <f t="shared" si="99"/>
        <v>NA</v>
      </c>
      <c r="BH43" s="178" t="str">
        <f t="shared" si="100"/>
        <v>NA</v>
      </c>
      <c r="BI43" s="178" t="str">
        <f t="shared" si="101"/>
        <v>NA</v>
      </c>
      <c r="BJ43" s="178" t="str">
        <f t="shared" si="102"/>
        <v>NA</v>
      </c>
      <c r="BK43" s="178" t="str">
        <f t="shared" si="103"/>
        <v>NA</v>
      </c>
      <c r="BL43" s="178"/>
      <c r="BM43" s="178" t="str">
        <f t="shared" si="104"/>
        <v>NA</v>
      </c>
      <c r="BN43" s="178"/>
      <c r="BO43" s="178"/>
      <c r="BP43" s="178">
        <v>20</v>
      </c>
      <c r="BQ43" s="178" t="s">
        <v>52</v>
      </c>
      <c r="BR43" s="178" t="s">
        <v>52</v>
      </c>
      <c r="BS43" s="178" t="s">
        <v>52</v>
      </c>
      <c r="BT43" s="178" t="s">
        <v>52</v>
      </c>
      <c r="BU43" s="178" t="s">
        <v>52</v>
      </c>
      <c r="BV43" s="178" t="s">
        <v>52</v>
      </c>
      <c r="BW43" s="3" t="s">
        <v>52</v>
      </c>
      <c r="BX43" s="3" t="s">
        <v>52</v>
      </c>
      <c r="BY43" s="3" t="s">
        <v>52</v>
      </c>
      <c r="BZ43" s="3" t="s">
        <v>52</v>
      </c>
      <c r="CA43" s="3" t="s">
        <v>52</v>
      </c>
      <c r="CB43" s="3" t="s">
        <v>52</v>
      </c>
      <c r="CC43" s="3" t="s">
        <v>52</v>
      </c>
    </row>
    <row r="44" spans="1:81">
      <c r="A44" s="46" t="s">
        <v>125</v>
      </c>
      <c r="B44" s="118"/>
      <c r="C44" s="109">
        <v>1850</v>
      </c>
      <c r="D44" s="109"/>
      <c r="E44" s="109"/>
      <c r="F44" s="109">
        <v>1907</v>
      </c>
      <c r="G44" s="109">
        <v>2025</v>
      </c>
      <c r="H44" s="109">
        <v>3166</v>
      </c>
      <c r="I44" s="178">
        <v>1991</v>
      </c>
      <c r="J44" s="178">
        <v>1788</v>
      </c>
      <c r="K44" s="178">
        <v>1822</v>
      </c>
      <c r="L44" s="178">
        <v>1819</v>
      </c>
      <c r="M44" s="178"/>
      <c r="N44" s="178">
        <v>1762</v>
      </c>
      <c r="O44" s="178"/>
      <c r="P44" s="178"/>
      <c r="Q44" s="178">
        <v>2228</v>
      </c>
      <c r="R44" s="178">
        <v>2303</v>
      </c>
      <c r="S44" s="178">
        <v>2572</v>
      </c>
      <c r="T44" s="178">
        <v>2635</v>
      </c>
      <c r="U44" s="178">
        <v>2643</v>
      </c>
      <c r="V44" s="178">
        <v>2860</v>
      </c>
      <c r="W44" s="178">
        <v>2938</v>
      </c>
      <c r="X44" s="178">
        <v>3181</v>
      </c>
      <c r="Y44" s="178">
        <v>3446</v>
      </c>
      <c r="Z44" s="178">
        <v>3853</v>
      </c>
      <c r="AA44" s="178">
        <v>4461</v>
      </c>
      <c r="AB44" s="178"/>
      <c r="AC44" s="178">
        <v>4403</v>
      </c>
      <c r="AD44" s="178">
        <v>3883</v>
      </c>
      <c r="AE44" s="178">
        <v>3516</v>
      </c>
      <c r="AF44" s="177" t="s">
        <v>52</v>
      </c>
      <c r="AG44" s="178">
        <v>921</v>
      </c>
      <c r="AH44" s="178" t="s">
        <v>52</v>
      </c>
      <c r="AI44" s="178" t="s">
        <v>52</v>
      </c>
      <c r="AJ44" s="178">
        <v>839</v>
      </c>
      <c r="AK44" s="178">
        <v>873</v>
      </c>
      <c r="AL44" s="178">
        <v>825</v>
      </c>
      <c r="AM44" s="178">
        <v>672</v>
      </c>
      <c r="AN44" s="178">
        <v>492</v>
      </c>
      <c r="AO44" s="178">
        <v>552</v>
      </c>
      <c r="AP44" s="178">
        <v>484</v>
      </c>
      <c r="AQ44" s="178">
        <v>490</v>
      </c>
      <c r="AR44" s="178">
        <v>0</v>
      </c>
      <c r="AS44" s="178">
        <v>0</v>
      </c>
      <c r="AT44" s="178">
        <v>0</v>
      </c>
      <c r="AU44" s="178">
        <v>0</v>
      </c>
      <c r="AV44" s="178">
        <v>0</v>
      </c>
      <c r="AW44" s="178">
        <v>11</v>
      </c>
      <c r="AX44" s="178">
        <v>13</v>
      </c>
      <c r="AY44" s="178">
        <v>17</v>
      </c>
      <c r="AZ44" s="178">
        <v>26</v>
      </c>
      <c r="BA44" s="178">
        <v>15</v>
      </c>
      <c r="BB44" s="178">
        <v>17</v>
      </c>
      <c r="BC44" s="178">
        <v>20</v>
      </c>
      <c r="BD44" s="177">
        <f t="shared" si="96"/>
        <v>921</v>
      </c>
      <c r="BE44" s="178">
        <f t="shared" si="97"/>
        <v>839</v>
      </c>
      <c r="BF44" s="178">
        <f t="shared" si="98"/>
        <v>873</v>
      </c>
      <c r="BG44" s="178">
        <f t="shared" si="99"/>
        <v>825</v>
      </c>
      <c r="BH44" s="178">
        <f t="shared" si="100"/>
        <v>672</v>
      </c>
      <c r="BI44" s="178">
        <f t="shared" si="101"/>
        <v>492</v>
      </c>
      <c r="BJ44" s="178">
        <f t="shared" si="102"/>
        <v>552</v>
      </c>
      <c r="BK44" s="178">
        <f t="shared" si="103"/>
        <v>484</v>
      </c>
      <c r="BL44" s="178"/>
      <c r="BM44" s="178">
        <f t="shared" si="104"/>
        <v>490</v>
      </c>
      <c r="BN44" s="178"/>
      <c r="BO44" s="178"/>
      <c r="BP44" s="178">
        <v>679</v>
      </c>
      <c r="BQ44" s="178">
        <v>638</v>
      </c>
      <c r="BR44" s="178">
        <v>763</v>
      </c>
      <c r="BS44" s="178">
        <v>689</v>
      </c>
      <c r="BT44" s="178">
        <v>665</v>
      </c>
      <c r="BU44" s="178">
        <v>785</v>
      </c>
      <c r="BV44" s="178">
        <v>746</v>
      </c>
      <c r="BW44" s="3">
        <v>915</v>
      </c>
      <c r="BX44" s="1">
        <v>996</v>
      </c>
      <c r="BY44" s="1">
        <v>1664</v>
      </c>
      <c r="CA44" s="1">
        <v>61</v>
      </c>
      <c r="CB44" s="1">
        <v>1308</v>
      </c>
      <c r="CC44" s="1">
        <v>1090</v>
      </c>
    </row>
    <row r="45" spans="1:81">
      <c r="A45" s="46" t="s">
        <v>126</v>
      </c>
      <c r="B45" s="118"/>
      <c r="C45" s="109">
        <v>73</v>
      </c>
      <c r="D45" s="109"/>
      <c r="E45" s="109"/>
      <c r="F45" s="109">
        <v>128</v>
      </c>
      <c r="G45" s="109">
        <v>161</v>
      </c>
      <c r="H45" s="109">
        <v>125</v>
      </c>
      <c r="I45" s="178">
        <v>249</v>
      </c>
      <c r="J45" s="178">
        <v>249</v>
      </c>
      <c r="K45" s="178">
        <v>208</v>
      </c>
      <c r="L45" s="178">
        <v>205</v>
      </c>
      <c r="M45" s="178"/>
      <c r="N45" s="178">
        <v>300</v>
      </c>
      <c r="O45" s="178"/>
      <c r="P45" s="178"/>
      <c r="Q45" s="178">
        <v>433</v>
      </c>
      <c r="R45" s="178">
        <v>412</v>
      </c>
      <c r="S45" s="178">
        <v>559</v>
      </c>
      <c r="T45" s="178">
        <v>669</v>
      </c>
      <c r="U45" s="178">
        <v>737</v>
      </c>
      <c r="V45" s="178">
        <v>784</v>
      </c>
      <c r="W45" s="178">
        <v>956</v>
      </c>
      <c r="X45" s="178">
        <v>1032</v>
      </c>
      <c r="Y45" s="178">
        <v>1045</v>
      </c>
      <c r="Z45" s="178">
        <v>1189</v>
      </c>
      <c r="AA45" s="178">
        <v>1375</v>
      </c>
      <c r="AB45" s="178"/>
      <c r="AC45" s="178">
        <v>1405</v>
      </c>
      <c r="AD45" s="178">
        <v>1464</v>
      </c>
      <c r="AE45" s="178">
        <v>1362</v>
      </c>
      <c r="AF45" s="177" t="s">
        <v>52</v>
      </c>
      <c r="AG45" s="178" t="s">
        <v>52</v>
      </c>
      <c r="AH45" s="178" t="s">
        <v>52</v>
      </c>
      <c r="AI45" s="178" t="s">
        <v>52</v>
      </c>
      <c r="AJ45" s="178" t="s">
        <v>52</v>
      </c>
      <c r="AK45" s="178" t="s">
        <v>52</v>
      </c>
      <c r="AL45" s="178" t="s">
        <v>52</v>
      </c>
      <c r="AM45" s="178" t="s">
        <v>52</v>
      </c>
      <c r="AN45" s="178" t="s">
        <v>52</v>
      </c>
      <c r="AO45" s="178" t="s">
        <v>52</v>
      </c>
      <c r="AP45" s="178" t="s">
        <v>52</v>
      </c>
      <c r="AQ45" s="178" t="s">
        <v>52</v>
      </c>
      <c r="AR45" s="177" t="s">
        <v>52</v>
      </c>
      <c r="AS45" s="178" t="s">
        <v>52</v>
      </c>
      <c r="AT45" s="178" t="s">
        <v>52</v>
      </c>
      <c r="AU45" s="178" t="s">
        <v>52</v>
      </c>
      <c r="AV45" s="178" t="s">
        <v>52</v>
      </c>
      <c r="AW45" s="178" t="s">
        <v>52</v>
      </c>
      <c r="AX45" s="178" t="s">
        <v>52</v>
      </c>
      <c r="AY45" s="178" t="s">
        <v>52</v>
      </c>
      <c r="AZ45" s="178" t="s">
        <v>52</v>
      </c>
      <c r="BA45" s="178" t="s">
        <v>52</v>
      </c>
      <c r="BB45" s="178" t="s">
        <v>52</v>
      </c>
      <c r="BC45" s="178" t="s">
        <v>52</v>
      </c>
      <c r="BD45" s="177" t="str">
        <f t="shared" si="96"/>
        <v>NA</v>
      </c>
      <c r="BE45" s="178" t="str">
        <f t="shared" si="97"/>
        <v>NA</v>
      </c>
      <c r="BF45" s="178" t="str">
        <f t="shared" si="98"/>
        <v>NA</v>
      </c>
      <c r="BG45" s="178" t="str">
        <f t="shared" si="99"/>
        <v>NA</v>
      </c>
      <c r="BH45" s="178" t="str">
        <f t="shared" si="100"/>
        <v>NA</v>
      </c>
      <c r="BI45" s="178" t="str">
        <f t="shared" si="101"/>
        <v>NA</v>
      </c>
      <c r="BJ45" s="178" t="str">
        <f t="shared" si="102"/>
        <v>NA</v>
      </c>
      <c r="BK45" s="178" t="str">
        <f t="shared" si="103"/>
        <v>NA</v>
      </c>
      <c r="BL45" s="178"/>
      <c r="BM45" s="178" t="str">
        <f t="shared" si="104"/>
        <v>NA</v>
      </c>
      <c r="BN45" s="178"/>
      <c r="BO45" s="178"/>
      <c r="BP45" s="178" t="s">
        <v>52</v>
      </c>
      <c r="BQ45" s="178" t="s">
        <v>52</v>
      </c>
      <c r="BR45" s="178" t="s">
        <v>52</v>
      </c>
      <c r="BS45" s="178" t="s">
        <v>52</v>
      </c>
      <c r="BT45" s="178" t="s">
        <v>52</v>
      </c>
      <c r="BU45" s="178" t="s">
        <v>52</v>
      </c>
      <c r="BV45" s="178" t="s">
        <v>52</v>
      </c>
      <c r="BW45" s="3" t="s">
        <v>52</v>
      </c>
      <c r="BX45" s="3" t="s">
        <v>52</v>
      </c>
      <c r="BY45" s="3" t="s">
        <v>52</v>
      </c>
      <c r="CA45" s="1">
        <v>333</v>
      </c>
      <c r="CB45" s="1">
        <v>8</v>
      </c>
      <c r="CC45" s="3" t="s">
        <v>52</v>
      </c>
    </row>
    <row r="46" spans="1:81">
      <c r="A46" s="46" t="s">
        <v>127</v>
      </c>
      <c r="B46" s="118"/>
      <c r="C46" s="109">
        <v>622</v>
      </c>
      <c r="D46" s="109"/>
      <c r="E46" s="109"/>
      <c r="F46" s="109">
        <v>694</v>
      </c>
      <c r="G46" s="109">
        <v>754</v>
      </c>
      <c r="H46" s="109">
        <v>766</v>
      </c>
      <c r="I46" s="178">
        <v>838</v>
      </c>
      <c r="J46" s="178">
        <v>1057</v>
      </c>
      <c r="K46" s="178">
        <v>1000</v>
      </c>
      <c r="L46" s="178">
        <v>977</v>
      </c>
      <c r="M46" s="178"/>
      <c r="N46" s="178">
        <v>1073</v>
      </c>
      <c r="O46" s="178"/>
      <c r="P46" s="178"/>
      <c r="Q46" s="178">
        <v>1235</v>
      </c>
      <c r="R46" s="178">
        <v>1294</v>
      </c>
      <c r="S46" s="178">
        <v>1494</v>
      </c>
      <c r="T46" s="178">
        <v>1754</v>
      </c>
      <c r="U46" s="178">
        <v>1670</v>
      </c>
      <c r="V46" s="178">
        <v>1626</v>
      </c>
      <c r="W46" s="178">
        <v>1637</v>
      </c>
      <c r="X46" s="178">
        <v>1753</v>
      </c>
      <c r="Y46" s="178">
        <v>2157</v>
      </c>
      <c r="Z46" s="178">
        <v>2569</v>
      </c>
      <c r="AA46" s="178">
        <v>2236</v>
      </c>
      <c r="AB46" s="178"/>
      <c r="AC46" s="178">
        <v>2280</v>
      </c>
      <c r="AD46" s="178">
        <v>2226</v>
      </c>
      <c r="AE46" s="178">
        <v>2067</v>
      </c>
      <c r="AF46" s="177" t="s">
        <v>52</v>
      </c>
      <c r="AG46" s="178" t="s">
        <v>52</v>
      </c>
      <c r="AH46" s="178" t="s">
        <v>52</v>
      </c>
      <c r="AI46" s="178" t="s">
        <v>52</v>
      </c>
      <c r="AJ46" s="178">
        <v>1</v>
      </c>
      <c r="AK46" s="178">
        <v>0</v>
      </c>
      <c r="AL46" s="178" t="s">
        <v>52</v>
      </c>
      <c r="AM46" s="178" t="s">
        <v>52</v>
      </c>
      <c r="AN46" s="178" t="s">
        <v>52</v>
      </c>
      <c r="AO46" s="178" t="s">
        <v>52</v>
      </c>
      <c r="AP46" s="178" t="s">
        <v>52</v>
      </c>
      <c r="AQ46" s="178" t="s">
        <v>52</v>
      </c>
      <c r="AR46" s="178">
        <v>0</v>
      </c>
      <c r="AS46" s="178">
        <v>9</v>
      </c>
      <c r="AT46" s="178">
        <v>0</v>
      </c>
      <c r="AU46" s="178">
        <v>0</v>
      </c>
      <c r="AV46" s="178">
        <v>7</v>
      </c>
      <c r="AW46" s="178">
        <v>9</v>
      </c>
      <c r="AX46" s="178">
        <v>8</v>
      </c>
      <c r="AY46" s="178">
        <v>10</v>
      </c>
      <c r="AZ46" s="178">
        <v>10</v>
      </c>
      <c r="BA46" s="178">
        <v>5</v>
      </c>
      <c r="BB46" s="178">
        <v>5</v>
      </c>
      <c r="BC46" s="178">
        <v>6</v>
      </c>
      <c r="BD46" s="177" t="str">
        <f t="shared" si="96"/>
        <v>NA</v>
      </c>
      <c r="BE46" s="178">
        <f t="shared" si="97"/>
        <v>7</v>
      </c>
      <c r="BF46" s="178">
        <f t="shared" si="98"/>
        <v>9</v>
      </c>
      <c r="BG46" s="178" t="str">
        <f t="shared" si="99"/>
        <v>NA</v>
      </c>
      <c r="BH46" s="178" t="str">
        <f t="shared" si="100"/>
        <v>NA</v>
      </c>
      <c r="BI46" s="178" t="str">
        <f t="shared" si="101"/>
        <v>NA</v>
      </c>
      <c r="BJ46" s="178" t="str">
        <f t="shared" si="102"/>
        <v>NA</v>
      </c>
      <c r="BK46" s="178" t="str">
        <f t="shared" si="103"/>
        <v>NA</v>
      </c>
      <c r="BL46" s="178"/>
      <c r="BM46" s="178" t="str">
        <f t="shared" si="104"/>
        <v>NA</v>
      </c>
      <c r="BN46" s="178"/>
      <c r="BO46" s="178"/>
      <c r="BP46" s="178">
        <v>143</v>
      </c>
      <c r="BQ46" s="178">
        <v>188</v>
      </c>
      <c r="BR46" s="178">
        <v>526</v>
      </c>
      <c r="BS46" s="178">
        <v>248</v>
      </c>
      <c r="BT46" s="178">
        <v>696</v>
      </c>
      <c r="BU46" s="178">
        <v>644</v>
      </c>
      <c r="BV46" s="178">
        <v>635</v>
      </c>
      <c r="BW46" s="3">
        <v>511</v>
      </c>
      <c r="BX46" s="1">
        <v>640</v>
      </c>
      <c r="BY46" s="1">
        <v>320</v>
      </c>
      <c r="CA46" s="3" t="s">
        <v>52</v>
      </c>
      <c r="CB46" s="1">
        <v>351</v>
      </c>
      <c r="CC46" s="1">
        <v>374</v>
      </c>
    </row>
    <row r="47" spans="1:81">
      <c r="A47" s="46" t="s">
        <v>131</v>
      </c>
      <c r="B47" s="118"/>
      <c r="C47" s="109">
        <v>51</v>
      </c>
      <c r="D47" s="109"/>
      <c r="E47" s="109"/>
      <c r="F47" s="109">
        <v>127</v>
      </c>
      <c r="G47" s="109">
        <v>63</v>
      </c>
      <c r="H47" s="109">
        <v>51</v>
      </c>
      <c r="I47" s="178">
        <v>65</v>
      </c>
      <c r="J47" s="178">
        <v>82</v>
      </c>
      <c r="K47" s="178">
        <v>104</v>
      </c>
      <c r="L47" s="178">
        <v>92</v>
      </c>
      <c r="M47" s="178"/>
      <c r="N47" s="178">
        <v>111</v>
      </c>
      <c r="O47" s="178"/>
      <c r="P47" s="178"/>
      <c r="Q47" s="178">
        <v>157</v>
      </c>
      <c r="R47" s="178">
        <v>149</v>
      </c>
      <c r="S47" s="178">
        <v>219</v>
      </c>
      <c r="T47" s="178">
        <v>247</v>
      </c>
      <c r="U47" s="178">
        <v>249</v>
      </c>
      <c r="V47" s="178">
        <v>234</v>
      </c>
      <c r="W47" s="178">
        <v>203</v>
      </c>
      <c r="X47" s="178">
        <v>238</v>
      </c>
      <c r="Y47" s="178">
        <v>298</v>
      </c>
      <c r="Z47" s="178">
        <v>330</v>
      </c>
      <c r="AA47" s="178">
        <v>350</v>
      </c>
      <c r="AB47" s="178"/>
      <c r="AC47" s="178">
        <v>321</v>
      </c>
      <c r="AD47" s="178">
        <v>295</v>
      </c>
      <c r="AE47" s="178">
        <v>259</v>
      </c>
      <c r="AF47" s="177" t="s">
        <v>52</v>
      </c>
      <c r="AG47" s="178" t="s">
        <v>52</v>
      </c>
      <c r="AH47" s="178" t="s">
        <v>52</v>
      </c>
      <c r="AI47" s="178" t="s">
        <v>52</v>
      </c>
      <c r="AJ47" s="178" t="s">
        <v>52</v>
      </c>
      <c r="AK47" s="178" t="s">
        <v>52</v>
      </c>
      <c r="AL47" s="178" t="s">
        <v>52</v>
      </c>
      <c r="AM47" s="178" t="s">
        <v>52</v>
      </c>
      <c r="AN47" s="178" t="s">
        <v>52</v>
      </c>
      <c r="AO47" s="178" t="s">
        <v>52</v>
      </c>
      <c r="AP47" s="178" t="s">
        <v>52</v>
      </c>
      <c r="AQ47" s="178" t="s">
        <v>52</v>
      </c>
      <c r="AR47" s="177" t="s">
        <v>52</v>
      </c>
      <c r="AS47" s="178" t="s">
        <v>52</v>
      </c>
      <c r="AT47" s="178" t="s">
        <v>52</v>
      </c>
      <c r="AU47" s="178" t="s">
        <v>52</v>
      </c>
      <c r="AV47" s="178" t="s">
        <v>52</v>
      </c>
      <c r="AW47" s="178" t="s">
        <v>52</v>
      </c>
      <c r="AX47" s="178" t="s">
        <v>52</v>
      </c>
      <c r="AY47" s="178" t="s">
        <v>52</v>
      </c>
      <c r="AZ47" s="178" t="s">
        <v>52</v>
      </c>
      <c r="BA47" s="178" t="s">
        <v>52</v>
      </c>
      <c r="BB47" s="178" t="s">
        <v>52</v>
      </c>
      <c r="BC47" s="178" t="s">
        <v>52</v>
      </c>
      <c r="BD47" s="177" t="str">
        <f t="shared" si="96"/>
        <v>NA</v>
      </c>
      <c r="BE47" s="178" t="str">
        <f t="shared" si="97"/>
        <v>NA</v>
      </c>
      <c r="BF47" s="178" t="str">
        <f t="shared" si="98"/>
        <v>NA</v>
      </c>
      <c r="BG47" s="178" t="str">
        <f t="shared" si="99"/>
        <v>NA</v>
      </c>
      <c r="BH47" s="178" t="str">
        <f t="shared" si="100"/>
        <v>NA</v>
      </c>
      <c r="BI47" s="178" t="str">
        <f t="shared" si="101"/>
        <v>NA</v>
      </c>
      <c r="BJ47" s="178" t="str">
        <f t="shared" si="102"/>
        <v>NA</v>
      </c>
      <c r="BK47" s="178" t="str">
        <f t="shared" si="103"/>
        <v>NA</v>
      </c>
      <c r="BL47" s="178"/>
      <c r="BM47" s="178" t="str">
        <f t="shared" si="104"/>
        <v>NA</v>
      </c>
      <c r="BN47" s="178"/>
      <c r="BO47" s="178"/>
      <c r="BP47" s="178" t="s">
        <v>52</v>
      </c>
      <c r="BQ47" s="178" t="s">
        <v>52</v>
      </c>
      <c r="BR47" s="178" t="s">
        <v>52</v>
      </c>
      <c r="BS47" s="178" t="s">
        <v>52</v>
      </c>
      <c r="BT47" s="178" t="s">
        <v>52</v>
      </c>
      <c r="BU47" s="178" t="s">
        <v>52</v>
      </c>
      <c r="BV47" s="178" t="s">
        <v>52</v>
      </c>
      <c r="BW47" s="3" t="s">
        <v>52</v>
      </c>
      <c r="BX47" s="3" t="s">
        <v>52</v>
      </c>
      <c r="BY47" s="3" t="s">
        <v>52</v>
      </c>
      <c r="BZ47" s="3" t="s">
        <v>52</v>
      </c>
      <c r="CA47" s="3" t="s">
        <v>52</v>
      </c>
      <c r="CB47" s="3" t="s">
        <v>52</v>
      </c>
      <c r="CC47" s="3" t="s">
        <v>52</v>
      </c>
    </row>
    <row r="48" spans="1:81">
      <c r="A48" s="46" t="s">
        <v>130</v>
      </c>
      <c r="B48" s="118"/>
      <c r="C48" s="109">
        <v>0</v>
      </c>
      <c r="D48" s="109"/>
      <c r="E48" s="109"/>
      <c r="F48" s="109">
        <v>5</v>
      </c>
      <c r="G48" s="109">
        <v>10</v>
      </c>
      <c r="H48" s="109">
        <v>33</v>
      </c>
      <c r="I48" s="178">
        <v>17</v>
      </c>
      <c r="J48" s="178">
        <v>17</v>
      </c>
      <c r="K48" s="178">
        <v>39</v>
      </c>
      <c r="L48" s="178">
        <v>10</v>
      </c>
      <c r="M48" s="178"/>
      <c r="N48" s="178">
        <v>27</v>
      </c>
      <c r="O48" s="178"/>
      <c r="P48" s="178"/>
      <c r="Q48" s="178">
        <v>20</v>
      </c>
      <c r="R48" s="178">
        <v>20</v>
      </c>
      <c r="S48" s="178">
        <v>17</v>
      </c>
      <c r="T48" s="178">
        <v>21</v>
      </c>
      <c r="U48" s="178">
        <v>24</v>
      </c>
      <c r="V48" s="178">
        <v>21</v>
      </c>
      <c r="W48" s="178">
        <v>9</v>
      </c>
      <c r="X48" s="178">
        <v>26</v>
      </c>
      <c r="Y48" s="178">
        <v>31</v>
      </c>
      <c r="Z48" s="178">
        <v>37</v>
      </c>
      <c r="AA48" s="178">
        <v>39</v>
      </c>
      <c r="AB48" s="178"/>
      <c r="AC48" s="178">
        <v>71</v>
      </c>
      <c r="AD48" s="178">
        <v>67</v>
      </c>
      <c r="AE48" s="178">
        <v>64</v>
      </c>
      <c r="AF48" s="177" t="s">
        <v>52</v>
      </c>
      <c r="AG48" s="178" t="s">
        <v>52</v>
      </c>
      <c r="AH48" s="178" t="s">
        <v>52</v>
      </c>
      <c r="AI48" s="178" t="s">
        <v>52</v>
      </c>
      <c r="AJ48" s="178" t="s">
        <v>52</v>
      </c>
      <c r="AK48" s="178" t="s">
        <v>52</v>
      </c>
      <c r="AL48" s="178" t="s">
        <v>52</v>
      </c>
      <c r="AM48" s="178" t="s">
        <v>52</v>
      </c>
      <c r="AN48" s="178" t="s">
        <v>52</v>
      </c>
      <c r="AO48" s="178" t="s">
        <v>52</v>
      </c>
      <c r="AP48" s="178" t="s">
        <v>52</v>
      </c>
      <c r="AQ48" s="178" t="s">
        <v>52</v>
      </c>
      <c r="AR48" s="177" t="s">
        <v>52</v>
      </c>
      <c r="AS48" s="178" t="s">
        <v>52</v>
      </c>
      <c r="AT48" s="178" t="s">
        <v>52</v>
      </c>
      <c r="AU48" s="178" t="s">
        <v>52</v>
      </c>
      <c r="AV48" s="178" t="s">
        <v>52</v>
      </c>
      <c r="AW48" s="178" t="s">
        <v>52</v>
      </c>
      <c r="AX48" s="178" t="s">
        <v>52</v>
      </c>
      <c r="AY48" s="178" t="s">
        <v>52</v>
      </c>
      <c r="AZ48" s="178" t="s">
        <v>52</v>
      </c>
      <c r="BA48" s="178" t="s">
        <v>52</v>
      </c>
      <c r="BB48" s="178" t="s">
        <v>52</v>
      </c>
      <c r="BC48" s="178" t="s">
        <v>52</v>
      </c>
      <c r="BD48" s="177" t="str">
        <f t="shared" si="96"/>
        <v>NA</v>
      </c>
      <c r="BE48" s="178" t="str">
        <f t="shared" si="97"/>
        <v>NA</v>
      </c>
      <c r="BF48" s="178" t="str">
        <f t="shared" si="98"/>
        <v>NA</v>
      </c>
      <c r="BG48" s="178" t="str">
        <f t="shared" si="99"/>
        <v>NA</v>
      </c>
      <c r="BH48" s="178" t="str">
        <f t="shared" si="100"/>
        <v>NA</v>
      </c>
      <c r="BI48" s="178" t="str">
        <f t="shared" si="101"/>
        <v>NA</v>
      </c>
      <c r="BJ48" s="178" t="str">
        <f t="shared" si="102"/>
        <v>NA</v>
      </c>
      <c r="BK48" s="178" t="str">
        <f t="shared" si="103"/>
        <v>NA</v>
      </c>
      <c r="BL48" s="178"/>
      <c r="BM48" s="178" t="str">
        <f t="shared" si="104"/>
        <v>NA</v>
      </c>
      <c r="BN48" s="178"/>
      <c r="BO48" s="178"/>
      <c r="BP48" s="178" t="s">
        <v>52</v>
      </c>
      <c r="BQ48" s="178" t="s">
        <v>52</v>
      </c>
      <c r="BR48" s="178" t="s">
        <v>52</v>
      </c>
      <c r="BS48" s="178" t="s">
        <v>52</v>
      </c>
      <c r="BT48" s="178" t="s">
        <v>52</v>
      </c>
      <c r="BU48" s="178" t="s">
        <v>52</v>
      </c>
      <c r="BV48" s="178" t="s">
        <v>52</v>
      </c>
      <c r="BW48" s="3" t="s">
        <v>52</v>
      </c>
      <c r="BX48" s="3" t="s">
        <v>52</v>
      </c>
      <c r="BY48" s="3" t="s">
        <v>52</v>
      </c>
      <c r="BZ48" s="3" t="s">
        <v>52</v>
      </c>
      <c r="CA48" s="3" t="s">
        <v>52</v>
      </c>
      <c r="CB48" s="3" t="s">
        <v>52</v>
      </c>
      <c r="CC48" s="3" t="s">
        <v>52</v>
      </c>
    </row>
    <row r="49" spans="1:81">
      <c r="A49" s="46" t="s">
        <v>137</v>
      </c>
      <c r="B49" s="118"/>
      <c r="C49" s="109">
        <v>1576</v>
      </c>
      <c r="D49" s="109"/>
      <c r="E49" s="109"/>
      <c r="F49" s="109">
        <v>1613</v>
      </c>
      <c r="G49" s="109">
        <v>1481</v>
      </c>
      <c r="H49" s="109">
        <v>1435</v>
      </c>
      <c r="I49" s="178">
        <v>1553</v>
      </c>
      <c r="J49" s="178">
        <v>1713</v>
      </c>
      <c r="K49" s="178">
        <v>1949</v>
      </c>
      <c r="L49" s="178">
        <v>1864</v>
      </c>
      <c r="M49" s="178"/>
      <c r="N49" s="178">
        <v>1863</v>
      </c>
      <c r="O49" s="178"/>
      <c r="P49" s="178"/>
      <c r="Q49" s="178">
        <v>2251</v>
      </c>
      <c r="R49" s="178">
        <v>2584</v>
      </c>
      <c r="S49" s="178">
        <v>2517</v>
      </c>
      <c r="T49" s="178">
        <v>2784</v>
      </c>
      <c r="U49" s="178">
        <v>2830</v>
      </c>
      <c r="V49" s="178">
        <v>3446</v>
      </c>
      <c r="W49" s="178">
        <v>3567</v>
      </c>
      <c r="X49" s="178">
        <v>3741</v>
      </c>
      <c r="Y49" s="178">
        <v>4358</v>
      </c>
      <c r="Z49" s="178">
        <v>4674</v>
      </c>
      <c r="AA49" s="178">
        <v>4150</v>
      </c>
      <c r="AB49" s="178"/>
      <c r="AC49" s="178">
        <v>4085</v>
      </c>
      <c r="AD49" s="178">
        <v>3866</v>
      </c>
      <c r="AE49" s="178">
        <v>3773</v>
      </c>
      <c r="AF49" s="177" t="s">
        <v>52</v>
      </c>
      <c r="AG49" s="178" t="s">
        <v>52</v>
      </c>
      <c r="AH49" s="178" t="s">
        <v>52</v>
      </c>
      <c r="AI49" s="178" t="s">
        <v>52</v>
      </c>
      <c r="AJ49" s="178">
        <v>35</v>
      </c>
      <c r="AK49" s="178">
        <v>0</v>
      </c>
      <c r="AL49" s="178">
        <v>3</v>
      </c>
      <c r="AM49" s="178">
        <v>1</v>
      </c>
      <c r="AN49" s="178">
        <v>64</v>
      </c>
      <c r="AO49" s="178">
        <v>64</v>
      </c>
      <c r="AP49" s="178">
        <v>89</v>
      </c>
      <c r="AQ49" s="178">
        <v>97</v>
      </c>
      <c r="AR49" s="178">
        <v>0</v>
      </c>
      <c r="AS49" s="178">
        <v>5</v>
      </c>
      <c r="AT49" s="178">
        <v>0</v>
      </c>
      <c r="AU49" s="178">
        <v>0</v>
      </c>
      <c r="AV49" s="178">
        <v>4</v>
      </c>
      <c r="AW49" s="178">
        <v>0</v>
      </c>
      <c r="AX49" s="178">
        <v>0</v>
      </c>
      <c r="AY49" s="178">
        <v>1</v>
      </c>
      <c r="AZ49" s="178">
        <v>0</v>
      </c>
      <c r="BA49" s="178">
        <v>0</v>
      </c>
      <c r="BB49" s="178">
        <v>0</v>
      </c>
      <c r="BC49" s="178">
        <v>0</v>
      </c>
      <c r="BD49" s="177" t="str">
        <f t="shared" si="96"/>
        <v>NA</v>
      </c>
      <c r="BE49" s="178">
        <f t="shared" si="97"/>
        <v>35</v>
      </c>
      <c r="BF49" s="178">
        <f t="shared" si="98"/>
        <v>0</v>
      </c>
      <c r="BG49" s="178">
        <f t="shared" si="99"/>
        <v>3</v>
      </c>
      <c r="BH49" s="178">
        <f t="shared" si="100"/>
        <v>1</v>
      </c>
      <c r="BI49" s="178">
        <f t="shared" si="101"/>
        <v>64</v>
      </c>
      <c r="BJ49" s="178">
        <f t="shared" si="102"/>
        <v>64</v>
      </c>
      <c r="BK49" s="178">
        <f t="shared" si="103"/>
        <v>89</v>
      </c>
      <c r="BL49" s="178"/>
      <c r="BM49" s="178">
        <f t="shared" si="104"/>
        <v>97</v>
      </c>
      <c r="BN49" s="178"/>
      <c r="BO49" s="178"/>
      <c r="BP49" s="178">
        <v>129</v>
      </c>
      <c r="BQ49" s="178">
        <v>224</v>
      </c>
      <c r="BR49" s="178">
        <v>208</v>
      </c>
      <c r="BS49" s="178">
        <v>176</v>
      </c>
      <c r="BT49" s="178">
        <v>489</v>
      </c>
      <c r="BU49" s="178">
        <v>723</v>
      </c>
      <c r="BV49" s="178">
        <v>637</v>
      </c>
      <c r="BW49" s="3">
        <v>715</v>
      </c>
      <c r="BX49" s="1">
        <v>887</v>
      </c>
      <c r="BY49" s="1">
        <v>689</v>
      </c>
      <c r="CA49" s="1">
        <v>221</v>
      </c>
      <c r="CB49" s="1">
        <v>407</v>
      </c>
      <c r="CC49" s="1">
        <v>285</v>
      </c>
    </row>
    <row r="50" spans="1:81">
      <c r="A50" s="46" t="s">
        <v>141</v>
      </c>
      <c r="B50" s="118"/>
      <c r="C50" s="109">
        <v>3</v>
      </c>
      <c r="D50" s="109"/>
      <c r="E50" s="109"/>
      <c r="F50" s="109">
        <v>6</v>
      </c>
      <c r="G50" s="109">
        <v>5</v>
      </c>
      <c r="H50" s="109">
        <v>3</v>
      </c>
      <c r="I50" s="178">
        <v>6</v>
      </c>
      <c r="J50" s="178">
        <v>12</v>
      </c>
      <c r="K50" s="178">
        <v>11</v>
      </c>
      <c r="L50" s="178">
        <v>11</v>
      </c>
      <c r="M50" s="178"/>
      <c r="N50" s="178">
        <v>16</v>
      </c>
      <c r="O50" s="178"/>
      <c r="P50" s="178"/>
      <c r="Q50" s="178">
        <v>16</v>
      </c>
      <c r="R50" s="178">
        <v>20</v>
      </c>
      <c r="S50" s="178">
        <v>26</v>
      </c>
      <c r="T50" s="178">
        <v>27</v>
      </c>
      <c r="U50" s="178">
        <v>24</v>
      </c>
      <c r="V50" s="178">
        <v>21</v>
      </c>
      <c r="W50" s="178">
        <v>19</v>
      </c>
      <c r="X50" s="178">
        <v>15</v>
      </c>
      <c r="Y50" s="178">
        <v>40</v>
      </c>
      <c r="Z50" s="178">
        <v>43</v>
      </c>
      <c r="AA50" s="178">
        <v>53</v>
      </c>
      <c r="AB50" s="178"/>
      <c r="AC50" s="178">
        <v>34</v>
      </c>
      <c r="AD50" s="178">
        <v>57</v>
      </c>
      <c r="AE50" s="178">
        <v>66</v>
      </c>
      <c r="AF50" s="177" t="s">
        <v>52</v>
      </c>
      <c r="AG50" s="178" t="s">
        <v>52</v>
      </c>
      <c r="AH50" s="178" t="s">
        <v>52</v>
      </c>
      <c r="AI50" s="178" t="s">
        <v>52</v>
      </c>
      <c r="AJ50" s="178" t="s">
        <v>52</v>
      </c>
      <c r="AK50" s="178" t="s">
        <v>52</v>
      </c>
      <c r="AL50" s="178" t="s">
        <v>52</v>
      </c>
      <c r="AM50" s="178" t="s">
        <v>52</v>
      </c>
      <c r="AN50" s="178" t="s">
        <v>52</v>
      </c>
      <c r="AO50" s="178" t="s">
        <v>52</v>
      </c>
      <c r="AP50" s="178" t="s">
        <v>52</v>
      </c>
      <c r="AQ50" s="178" t="s">
        <v>52</v>
      </c>
      <c r="AR50" s="177" t="s">
        <v>52</v>
      </c>
      <c r="AS50" s="178" t="s">
        <v>52</v>
      </c>
      <c r="AT50" s="178" t="s">
        <v>52</v>
      </c>
      <c r="AU50" s="178" t="s">
        <v>52</v>
      </c>
      <c r="AV50" s="178" t="s">
        <v>52</v>
      </c>
      <c r="AW50" s="178" t="s">
        <v>52</v>
      </c>
      <c r="AX50" s="178" t="s">
        <v>52</v>
      </c>
      <c r="AY50" s="178" t="s">
        <v>52</v>
      </c>
      <c r="AZ50" s="178" t="s">
        <v>52</v>
      </c>
      <c r="BA50" s="178" t="s">
        <v>52</v>
      </c>
      <c r="BB50" s="178" t="s">
        <v>52</v>
      </c>
      <c r="BC50" s="178" t="s">
        <v>52</v>
      </c>
      <c r="BD50" s="177" t="str">
        <f t="shared" si="96"/>
        <v>NA</v>
      </c>
      <c r="BE50" s="178" t="str">
        <f t="shared" si="97"/>
        <v>NA</v>
      </c>
      <c r="BF50" s="178" t="str">
        <f t="shared" si="98"/>
        <v>NA</v>
      </c>
      <c r="BG50" s="178" t="str">
        <f t="shared" si="99"/>
        <v>NA</v>
      </c>
      <c r="BH50" s="178" t="str">
        <f t="shared" si="100"/>
        <v>NA</v>
      </c>
      <c r="BI50" s="178" t="str">
        <f t="shared" si="101"/>
        <v>NA</v>
      </c>
      <c r="BJ50" s="178" t="str">
        <f t="shared" si="102"/>
        <v>NA</v>
      </c>
      <c r="BK50" s="178" t="str">
        <f t="shared" si="103"/>
        <v>NA</v>
      </c>
      <c r="BL50" s="178"/>
      <c r="BM50" s="178" t="str">
        <f t="shared" si="104"/>
        <v>NA</v>
      </c>
      <c r="BN50" s="178"/>
      <c r="BO50" s="178"/>
      <c r="BP50" s="178" t="s">
        <v>52</v>
      </c>
      <c r="BQ50" s="178" t="s">
        <v>52</v>
      </c>
      <c r="BR50" s="178" t="s">
        <v>52</v>
      </c>
      <c r="BS50" s="178" t="s">
        <v>52</v>
      </c>
      <c r="BT50" s="178" t="s">
        <v>52</v>
      </c>
      <c r="BU50" s="178" t="s">
        <v>52</v>
      </c>
      <c r="BV50" s="178" t="s">
        <v>52</v>
      </c>
      <c r="BW50" s="3" t="s">
        <v>52</v>
      </c>
      <c r="BX50" s="3" t="s">
        <v>52</v>
      </c>
      <c r="BY50" s="3" t="s">
        <v>52</v>
      </c>
      <c r="BZ50" s="3" t="s">
        <v>52</v>
      </c>
      <c r="CA50" s="3" t="s">
        <v>52</v>
      </c>
      <c r="CB50" s="3" t="s">
        <v>52</v>
      </c>
      <c r="CC50" s="3" t="s">
        <v>52</v>
      </c>
    </row>
    <row r="51" spans="1:81">
      <c r="A51" s="48" t="s">
        <v>144</v>
      </c>
      <c r="B51" s="119"/>
      <c r="C51" s="110">
        <v>261</v>
      </c>
      <c r="D51" s="110"/>
      <c r="E51" s="110"/>
      <c r="F51" s="110">
        <v>250</v>
      </c>
      <c r="G51" s="110">
        <v>321</v>
      </c>
      <c r="H51" s="110">
        <v>329</v>
      </c>
      <c r="I51" s="180">
        <v>333</v>
      </c>
      <c r="J51" s="180">
        <v>383</v>
      </c>
      <c r="K51" s="180">
        <v>381</v>
      </c>
      <c r="L51" s="180">
        <v>339</v>
      </c>
      <c r="M51" s="180"/>
      <c r="N51" s="180">
        <v>308</v>
      </c>
      <c r="O51" s="180"/>
      <c r="P51" s="180"/>
      <c r="Q51" s="180">
        <v>443</v>
      </c>
      <c r="R51" s="180">
        <v>502</v>
      </c>
      <c r="S51" s="180">
        <v>558</v>
      </c>
      <c r="T51" s="180">
        <v>594</v>
      </c>
      <c r="U51" s="180">
        <v>630</v>
      </c>
      <c r="V51" s="180">
        <v>619</v>
      </c>
      <c r="W51" s="180">
        <v>725</v>
      </c>
      <c r="X51" s="180">
        <v>751</v>
      </c>
      <c r="Y51" s="180">
        <v>946</v>
      </c>
      <c r="Z51" s="180">
        <v>943</v>
      </c>
      <c r="AA51" s="180">
        <v>872</v>
      </c>
      <c r="AB51" s="180"/>
      <c r="AC51" s="180">
        <v>861</v>
      </c>
      <c r="AD51" s="180">
        <v>865</v>
      </c>
      <c r="AE51" s="180">
        <v>747</v>
      </c>
      <c r="AF51" s="179" t="s">
        <v>52</v>
      </c>
      <c r="AG51" s="180" t="s">
        <v>52</v>
      </c>
      <c r="AH51" s="180" t="s">
        <v>52</v>
      </c>
      <c r="AI51" s="180" t="s">
        <v>52</v>
      </c>
      <c r="AJ51" s="180" t="s">
        <v>52</v>
      </c>
      <c r="AK51" s="180" t="s">
        <v>52</v>
      </c>
      <c r="AL51" s="180" t="s">
        <v>52</v>
      </c>
      <c r="AM51" s="180" t="s">
        <v>52</v>
      </c>
      <c r="AN51" s="180">
        <v>115</v>
      </c>
      <c r="AO51" s="180">
        <v>97</v>
      </c>
      <c r="AP51" s="180">
        <v>46</v>
      </c>
      <c r="AQ51" s="180">
        <v>48</v>
      </c>
      <c r="AR51" s="179" t="s">
        <v>52</v>
      </c>
      <c r="AS51" s="180" t="s">
        <v>52</v>
      </c>
      <c r="AT51" s="180" t="s">
        <v>52</v>
      </c>
      <c r="AU51" s="180" t="s">
        <v>52</v>
      </c>
      <c r="AV51" s="180" t="s">
        <v>52</v>
      </c>
      <c r="AW51" s="180" t="s">
        <v>52</v>
      </c>
      <c r="AX51" s="180" t="s">
        <v>52</v>
      </c>
      <c r="AY51" s="180" t="s">
        <v>52</v>
      </c>
      <c r="AZ51" s="180" t="s">
        <v>52</v>
      </c>
      <c r="BA51" s="180" t="s">
        <v>52</v>
      </c>
      <c r="BB51" s="180" t="s">
        <v>52</v>
      </c>
      <c r="BC51" s="180" t="s">
        <v>52</v>
      </c>
      <c r="BD51" s="179" t="str">
        <f t="shared" si="96"/>
        <v>NA</v>
      </c>
      <c r="BE51" s="180" t="str">
        <f t="shared" si="97"/>
        <v>NA</v>
      </c>
      <c r="BF51" s="180" t="str">
        <f t="shared" si="98"/>
        <v>NA</v>
      </c>
      <c r="BG51" s="180" t="str">
        <f t="shared" si="99"/>
        <v>NA</v>
      </c>
      <c r="BH51" s="180" t="str">
        <f t="shared" si="100"/>
        <v>NA</v>
      </c>
      <c r="BI51" s="180" t="str">
        <f t="shared" si="101"/>
        <v>NA</v>
      </c>
      <c r="BJ51" s="180" t="str">
        <f t="shared" si="102"/>
        <v>NA</v>
      </c>
      <c r="BK51" s="180" t="str">
        <f t="shared" si="103"/>
        <v>NA</v>
      </c>
      <c r="BL51" s="180"/>
      <c r="BM51" s="180" t="str">
        <f t="shared" si="104"/>
        <v>NA</v>
      </c>
      <c r="BN51" s="180"/>
      <c r="BO51" s="180"/>
      <c r="BP51" s="180">
        <v>39</v>
      </c>
      <c r="BQ51" s="180">
        <v>69</v>
      </c>
      <c r="BR51" s="180">
        <v>101</v>
      </c>
      <c r="BS51" s="180">
        <v>115</v>
      </c>
      <c r="BT51" s="180">
        <v>112</v>
      </c>
      <c r="BU51" s="180">
        <v>120</v>
      </c>
      <c r="BV51" s="180">
        <v>98</v>
      </c>
      <c r="BW51" s="3">
        <v>105</v>
      </c>
      <c r="BX51" s="1">
        <v>130</v>
      </c>
      <c r="BY51" s="1">
        <v>130</v>
      </c>
      <c r="CA51" s="1">
        <v>118</v>
      </c>
      <c r="CB51" s="1">
        <v>104</v>
      </c>
      <c r="CC51" s="1">
        <v>63</v>
      </c>
    </row>
    <row r="52" spans="1:81" s="112" customFormat="1">
      <c r="A52" s="111" t="s">
        <v>187</v>
      </c>
      <c r="B52" s="116"/>
      <c r="C52" s="59">
        <f>SUM(C54:C62)</f>
        <v>5964</v>
      </c>
      <c r="D52" s="59"/>
      <c r="E52" s="59"/>
      <c r="F52" s="59">
        <f t="shared" ref="F52:L52" si="105">SUM(F54:F62)</f>
        <v>8907</v>
      </c>
      <c r="G52" s="59">
        <f t="shared" si="105"/>
        <v>9924</v>
      </c>
      <c r="H52" s="59">
        <f t="shared" si="105"/>
        <v>10172</v>
      </c>
      <c r="I52" s="174">
        <f t="shared" si="105"/>
        <v>10909</v>
      </c>
      <c r="J52" s="174">
        <f t="shared" si="105"/>
        <v>11593</v>
      </c>
      <c r="K52" s="174">
        <f t="shared" si="105"/>
        <v>12564</v>
      </c>
      <c r="L52" s="174">
        <f t="shared" si="105"/>
        <v>12529</v>
      </c>
      <c r="M52" s="174"/>
      <c r="N52" s="174">
        <f>SUM(N54:N62)</f>
        <v>12766</v>
      </c>
      <c r="O52" s="174"/>
      <c r="P52" s="174"/>
      <c r="Q52" s="174">
        <f t="shared" ref="Q52:Y52" si="106">SUM(Q54:Q62)</f>
        <v>14544</v>
      </c>
      <c r="R52" s="174">
        <f t="shared" si="106"/>
        <v>15054</v>
      </c>
      <c r="S52" s="174">
        <f t="shared" si="106"/>
        <v>15700</v>
      </c>
      <c r="T52" s="174">
        <f t="shared" si="106"/>
        <v>15832</v>
      </c>
      <c r="U52" s="174">
        <f t="shared" si="106"/>
        <v>16233</v>
      </c>
      <c r="V52" s="174">
        <f t="shared" si="106"/>
        <v>16122</v>
      </c>
      <c r="W52" s="174">
        <f t="shared" si="106"/>
        <v>16682</v>
      </c>
      <c r="X52" s="174">
        <f t="shared" si="106"/>
        <v>17487</v>
      </c>
      <c r="Y52" s="174">
        <f t="shared" si="106"/>
        <v>18692</v>
      </c>
      <c r="Z52" s="174">
        <f t="shared" ref="Z52:AA52" si="107">SUM(Z54:Z62)</f>
        <v>19807</v>
      </c>
      <c r="AA52" s="174">
        <f t="shared" si="107"/>
        <v>19632</v>
      </c>
      <c r="AB52" s="174">
        <f t="shared" ref="AB52:AC52" si="108">SUM(AB54:AB62)</f>
        <v>0</v>
      </c>
      <c r="AC52" s="174">
        <f t="shared" si="108"/>
        <v>20809</v>
      </c>
      <c r="AD52" s="174">
        <f t="shared" ref="AD52:AE52" si="109">SUM(AD54:AD62)</f>
        <v>20553</v>
      </c>
      <c r="AE52" s="174">
        <f t="shared" si="109"/>
        <v>19678</v>
      </c>
      <c r="AF52" s="173"/>
      <c r="AG52" s="174">
        <f>SUM(AG54:AG62)</f>
        <v>652</v>
      </c>
      <c r="AH52" s="174"/>
      <c r="AI52" s="174"/>
      <c r="AJ52" s="174">
        <f>SUM(AJ54:AJ62)</f>
        <v>1796</v>
      </c>
      <c r="AK52" s="174">
        <f>SUM(AK54:AK62)</f>
        <v>2196</v>
      </c>
      <c r="AL52" s="174"/>
      <c r="AM52" s="174">
        <f>SUM(AM54:AM62)</f>
        <v>733</v>
      </c>
      <c r="AN52" s="174"/>
      <c r="AO52" s="174">
        <f t="shared" ref="AO52:AS52" si="110">SUM(AO54:AO62)</f>
        <v>902</v>
      </c>
      <c r="AP52" s="174">
        <f t="shared" si="110"/>
        <v>1122</v>
      </c>
      <c r="AQ52" s="174">
        <f t="shared" si="110"/>
        <v>1883</v>
      </c>
      <c r="AR52" s="173"/>
      <c r="AS52" s="174">
        <f t="shared" si="110"/>
        <v>0</v>
      </c>
      <c r="AT52" s="174"/>
      <c r="AU52" s="174"/>
      <c r="AV52" s="174">
        <f t="shared" ref="AV52:BC52" si="111">SUM(AV54:AV62)</f>
        <v>0</v>
      </c>
      <c r="AW52" s="174">
        <f t="shared" si="111"/>
        <v>0</v>
      </c>
      <c r="AX52" s="174">
        <f t="shared" si="111"/>
        <v>0</v>
      </c>
      <c r="AY52" s="174">
        <f t="shared" si="111"/>
        <v>0</v>
      </c>
      <c r="AZ52" s="174">
        <f t="shared" si="111"/>
        <v>0</v>
      </c>
      <c r="BA52" s="174">
        <f t="shared" si="111"/>
        <v>0</v>
      </c>
      <c r="BB52" s="174">
        <f t="shared" si="111"/>
        <v>0</v>
      </c>
      <c r="BC52" s="174">
        <f t="shared" si="111"/>
        <v>0</v>
      </c>
      <c r="BD52" s="173">
        <f>SUM(BD54:BD62)</f>
        <v>229</v>
      </c>
      <c r="BE52" s="174">
        <f>SUM(BE54:BE62)</f>
        <v>48</v>
      </c>
      <c r="BF52" s="174">
        <f>SUM(BF54:BF62)</f>
        <v>153</v>
      </c>
      <c r="BG52" s="174"/>
      <c r="BH52" s="174">
        <f>SUM(BH54:BH62)</f>
        <v>127</v>
      </c>
      <c r="BI52" s="174"/>
      <c r="BJ52" s="174">
        <f>SUM(BJ54:BJ62)</f>
        <v>260</v>
      </c>
      <c r="BK52" s="174">
        <f>SUM(BK54:BK62)</f>
        <v>326</v>
      </c>
      <c r="BL52" s="174"/>
      <c r="BM52" s="174">
        <f>SUM(BM54:BM62)</f>
        <v>888</v>
      </c>
      <c r="BN52" s="174"/>
      <c r="BO52" s="174"/>
      <c r="BP52" s="174">
        <f t="shared" ref="BP52:BW52" si="112">SUM(BP54:BP62)</f>
        <v>2127</v>
      </c>
      <c r="BQ52" s="174">
        <f t="shared" si="112"/>
        <v>1609</v>
      </c>
      <c r="BR52" s="174">
        <f t="shared" si="112"/>
        <v>2274</v>
      </c>
      <c r="BS52" s="174">
        <f t="shared" si="112"/>
        <v>2370</v>
      </c>
      <c r="BT52" s="174">
        <f t="shared" si="112"/>
        <v>2828</v>
      </c>
      <c r="BU52" s="174">
        <f t="shared" si="112"/>
        <v>3123</v>
      </c>
      <c r="BV52" s="174">
        <f t="shared" si="112"/>
        <v>2700</v>
      </c>
      <c r="BW52" s="174">
        <f t="shared" si="112"/>
        <v>2840</v>
      </c>
      <c r="BX52" s="174">
        <f t="shared" ref="BX52:BY52" si="113">SUM(BX54:BX62)</f>
        <v>2707</v>
      </c>
      <c r="BY52" s="174">
        <f t="shared" si="113"/>
        <v>2791</v>
      </c>
      <c r="BZ52" s="174">
        <f t="shared" ref="BZ52:CA52" si="114">SUM(BZ54:BZ62)</f>
        <v>0</v>
      </c>
      <c r="CA52" s="174">
        <f t="shared" si="114"/>
        <v>898</v>
      </c>
      <c r="CB52" s="174">
        <f t="shared" ref="CB52:CC52" si="115">SUM(CB54:CB62)</f>
        <v>2519</v>
      </c>
      <c r="CC52" s="174">
        <f t="shared" si="115"/>
        <v>1486</v>
      </c>
    </row>
    <row r="53" spans="1:81" s="112" customFormat="1">
      <c r="A53" s="58" t="s">
        <v>189</v>
      </c>
      <c r="B53" s="117"/>
      <c r="C53" s="58">
        <f>(C52/C$4)*100</f>
        <v>18.320329299010872</v>
      </c>
      <c r="D53" s="58"/>
      <c r="E53" s="58"/>
      <c r="F53" s="58">
        <f t="shared" ref="F53:BU53" si="116">(F52/F$4)*100</f>
        <v>23.031572414863081</v>
      </c>
      <c r="G53" s="58">
        <f t="shared" si="116"/>
        <v>24.077443773200379</v>
      </c>
      <c r="H53" s="58">
        <f t="shared" si="116"/>
        <v>23.233292220547259</v>
      </c>
      <c r="I53" s="176">
        <f t="shared" si="116"/>
        <v>24.324384587941491</v>
      </c>
      <c r="J53" s="176">
        <f t="shared" si="116"/>
        <v>23.619175682008027</v>
      </c>
      <c r="K53" s="176">
        <f t="shared" si="116"/>
        <v>23.622757868612041</v>
      </c>
      <c r="L53" s="176">
        <f t="shared" si="116"/>
        <v>23.201851851851853</v>
      </c>
      <c r="M53" s="176"/>
      <c r="N53" s="176">
        <f t="shared" si="116"/>
        <v>21.879445387080739</v>
      </c>
      <c r="O53" s="176"/>
      <c r="P53" s="176"/>
      <c r="Q53" s="176">
        <f t="shared" si="116"/>
        <v>20.292726486305479</v>
      </c>
      <c r="R53" s="176">
        <f t="shared" si="116"/>
        <v>19.599776062077677</v>
      </c>
      <c r="S53" s="176">
        <f t="shared" si="116"/>
        <v>19.469246031746032</v>
      </c>
      <c r="T53" s="176">
        <f t="shared" ref="T53" si="117">(T52/T$4)*100</f>
        <v>19.012621440837744</v>
      </c>
      <c r="U53" s="176">
        <f t="shared" si="116"/>
        <v>18.901516033627537</v>
      </c>
      <c r="V53" s="176">
        <f t="shared" si="116"/>
        <v>18.112164651957038</v>
      </c>
      <c r="W53" s="176">
        <f t="shared" ref="W53:X53" si="118">(W52/W$4)*100</f>
        <v>17.67591680176314</v>
      </c>
      <c r="X53" s="176">
        <f t="shared" si="118"/>
        <v>16.712381134419648</v>
      </c>
      <c r="Y53" s="176">
        <f t="shared" ref="Y53:Z53" si="119">(Y52/Y$4)*100</f>
        <v>17.089828571428573</v>
      </c>
      <c r="Z53" s="176">
        <f t="shared" si="119"/>
        <v>15.495767551751655</v>
      </c>
      <c r="AA53" s="176">
        <f t="shared" ref="AA53:AC53" si="120">(AA52/AA$4)*100</f>
        <v>15.656875802502611</v>
      </c>
      <c r="AB53" s="176" t="e">
        <f t="shared" si="120"/>
        <v>#DIV/0!</v>
      </c>
      <c r="AC53" s="176">
        <f t="shared" si="120"/>
        <v>16.23445521072259</v>
      </c>
      <c r="AD53" s="176">
        <f t="shared" ref="AD53:AE53" si="121">(AD52/AD$4)*100</f>
        <v>16.324212700051628</v>
      </c>
      <c r="AE53" s="176">
        <f t="shared" si="121"/>
        <v>16.020907455201218</v>
      </c>
      <c r="AF53" s="175">
        <f t="shared" si="116"/>
        <v>0</v>
      </c>
      <c r="AG53" s="176">
        <f t="shared" si="116"/>
        <v>11.785972523499638</v>
      </c>
      <c r="AH53" s="176">
        <f t="shared" si="116"/>
        <v>0</v>
      </c>
      <c r="AI53" s="176">
        <f t="shared" si="116"/>
        <v>0</v>
      </c>
      <c r="AJ53" s="176">
        <f t="shared" si="116"/>
        <v>26.890253031891003</v>
      </c>
      <c r="AK53" s="176">
        <f t="shared" si="116"/>
        <v>31.411815190959807</v>
      </c>
      <c r="AL53" s="176">
        <f t="shared" si="116"/>
        <v>0</v>
      </c>
      <c r="AM53" s="176">
        <f t="shared" si="116"/>
        <v>13.538973032877724</v>
      </c>
      <c r="AN53" s="176">
        <f t="shared" si="116"/>
        <v>0</v>
      </c>
      <c r="AO53" s="176">
        <f t="shared" si="116"/>
        <v>13.470728793309439</v>
      </c>
      <c r="AP53" s="176">
        <f t="shared" si="116"/>
        <v>16.884875846501128</v>
      </c>
      <c r="AQ53" s="176">
        <f t="shared" si="116"/>
        <v>25.678439929087688</v>
      </c>
      <c r="AR53" s="175"/>
      <c r="AS53" s="176">
        <f t="shared" si="116"/>
        <v>0</v>
      </c>
      <c r="AT53" s="176">
        <f t="shared" si="116"/>
        <v>0</v>
      </c>
      <c r="AU53" s="176">
        <f t="shared" si="116"/>
        <v>0</v>
      </c>
      <c r="AV53" s="176">
        <f t="shared" si="116"/>
        <v>0</v>
      </c>
      <c r="AW53" s="176">
        <f t="shared" si="116"/>
        <v>0</v>
      </c>
      <c r="AX53" s="176">
        <f t="shared" si="116"/>
        <v>0</v>
      </c>
      <c r="AY53" s="176">
        <f t="shared" si="116"/>
        <v>0</v>
      </c>
      <c r="AZ53" s="176">
        <f t="shared" si="116"/>
        <v>0</v>
      </c>
      <c r="BA53" s="176">
        <f t="shared" si="116"/>
        <v>0</v>
      </c>
      <c r="BB53" s="176">
        <f t="shared" si="116"/>
        <v>0</v>
      </c>
      <c r="BC53" s="176">
        <f t="shared" si="116"/>
        <v>0</v>
      </c>
      <c r="BD53" s="175">
        <f t="shared" si="116"/>
        <v>5.9869281045751634</v>
      </c>
      <c r="BE53" s="176">
        <f t="shared" si="116"/>
        <v>1.228878648233487</v>
      </c>
      <c r="BF53" s="176">
        <f t="shared" si="116"/>
        <v>3.9823008849557522</v>
      </c>
      <c r="BG53" s="176">
        <f t="shared" si="116"/>
        <v>0</v>
      </c>
      <c r="BH53" s="176">
        <f t="shared" si="116"/>
        <v>3.4039131600107209</v>
      </c>
      <c r="BI53" s="176">
        <f t="shared" si="116"/>
        <v>0</v>
      </c>
      <c r="BJ53" s="176">
        <f t="shared" si="116"/>
        <v>5.5508112724167376</v>
      </c>
      <c r="BK53" s="176">
        <f t="shared" si="116"/>
        <v>6.7452927788123311</v>
      </c>
      <c r="BL53" s="176"/>
      <c r="BM53" s="176">
        <f t="shared" si="116"/>
        <v>16.536312849162009</v>
      </c>
      <c r="BN53" s="176"/>
      <c r="BO53" s="176"/>
      <c r="BP53" s="176">
        <f t="shared" si="116"/>
        <v>18.531102979613173</v>
      </c>
      <c r="BQ53" s="176">
        <f t="shared" si="116"/>
        <v>13.509655751469355</v>
      </c>
      <c r="BR53" s="176">
        <f t="shared" si="116"/>
        <v>16.082036775106083</v>
      </c>
      <c r="BS53" s="176">
        <f t="shared" ref="BS53" si="122">(BS52/BS$4)*100</f>
        <v>15.531817288157809</v>
      </c>
      <c r="BT53" s="176">
        <f t="shared" si="116"/>
        <v>17.233394271785496</v>
      </c>
      <c r="BU53" s="176">
        <f t="shared" si="116"/>
        <v>18.179172245183072</v>
      </c>
      <c r="BV53" s="176">
        <f t="shared" ref="BV53:BW53" si="123">(BV52/BV$4)*100</f>
        <v>14.608018178867066</v>
      </c>
      <c r="BW53" s="176">
        <f t="shared" si="123"/>
        <v>13.09178075877011</v>
      </c>
      <c r="BX53" s="176">
        <f t="shared" ref="BX53:BY53" si="124">(BX52/BX$4)*100</f>
        <v>11.189186954904311</v>
      </c>
      <c r="BY53" s="176">
        <f t="shared" si="124"/>
        <v>11.474264101299129</v>
      </c>
      <c r="BZ53" s="176" t="e">
        <f t="shared" ref="BZ53:CA53" si="125">(BZ52/BZ$4)*100</f>
        <v>#DIV/0!</v>
      </c>
      <c r="CA53" s="176">
        <f t="shared" si="125"/>
        <v>8.1911885432819478</v>
      </c>
      <c r="CB53" s="176">
        <f t="shared" ref="CB53:CC53" si="126">(CB52/CB$4)*100</f>
        <v>11.567249850759977</v>
      </c>
      <c r="CC53" s="176">
        <f t="shared" si="126"/>
        <v>8.6763589653763056</v>
      </c>
    </row>
    <row r="54" spans="1:81">
      <c r="A54" s="46" t="s">
        <v>116</v>
      </c>
      <c r="B54" s="118"/>
      <c r="C54" s="109">
        <v>263</v>
      </c>
      <c r="D54" s="109"/>
      <c r="E54" s="109"/>
      <c r="F54" s="109">
        <v>343</v>
      </c>
      <c r="G54" s="109">
        <v>346</v>
      </c>
      <c r="H54" s="109">
        <v>356</v>
      </c>
      <c r="I54" s="178">
        <v>399</v>
      </c>
      <c r="J54" s="178">
        <v>404</v>
      </c>
      <c r="K54" s="178">
        <v>434</v>
      </c>
      <c r="L54" s="178">
        <v>397</v>
      </c>
      <c r="M54" s="178"/>
      <c r="N54" s="178">
        <v>426</v>
      </c>
      <c r="O54" s="178"/>
      <c r="P54" s="178"/>
      <c r="Q54" s="178">
        <v>596</v>
      </c>
      <c r="R54" s="178">
        <v>651</v>
      </c>
      <c r="S54" s="178">
        <v>681</v>
      </c>
      <c r="T54" s="178">
        <v>761</v>
      </c>
      <c r="U54" s="178">
        <v>716</v>
      </c>
      <c r="V54" s="178">
        <v>694</v>
      </c>
      <c r="W54" s="178">
        <v>758</v>
      </c>
      <c r="X54" s="178">
        <v>644</v>
      </c>
      <c r="Y54" s="178">
        <v>675</v>
      </c>
      <c r="Z54" s="178">
        <v>890</v>
      </c>
      <c r="AA54" s="178">
        <v>807</v>
      </c>
      <c r="AB54" s="178"/>
      <c r="AC54" s="178">
        <v>913</v>
      </c>
      <c r="AD54" s="178">
        <v>980</v>
      </c>
      <c r="AE54" s="178">
        <v>892</v>
      </c>
      <c r="AF54" s="177" t="s">
        <v>52</v>
      </c>
      <c r="AG54" s="178" t="s">
        <v>52</v>
      </c>
      <c r="AH54" s="178" t="s">
        <v>52</v>
      </c>
      <c r="AI54" s="178" t="s">
        <v>52</v>
      </c>
      <c r="AJ54" s="178" t="s">
        <v>52</v>
      </c>
      <c r="AK54" s="178" t="s">
        <v>52</v>
      </c>
      <c r="AL54" s="178" t="s">
        <v>52</v>
      </c>
      <c r="AM54" s="178" t="s">
        <v>52</v>
      </c>
      <c r="AN54" s="178" t="s">
        <v>52</v>
      </c>
      <c r="AO54" s="178" t="s">
        <v>52</v>
      </c>
      <c r="AP54" s="178" t="s">
        <v>52</v>
      </c>
      <c r="AQ54" s="178" t="s">
        <v>52</v>
      </c>
      <c r="AR54" s="177" t="s">
        <v>52</v>
      </c>
      <c r="AS54" s="178" t="s">
        <v>52</v>
      </c>
      <c r="AT54" s="178" t="s">
        <v>52</v>
      </c>
      <c r="AU54" s="178" t="s">
        <v>52</v>
      </c>
      <c r="AV54" s="178" t="s">
        <v>52</v>
      </c>
      <c r="AW54" s="178" t="s">
        <v>52</v>
      </c>
      <c r="AX54" s="178" t="s">
        <v>52</v>
      </c>
      <c r="AY54" s="178" t="s">
        <v>52</v>
      </c>
      <c r="AZ54" s="178" t="s">
        <v>52</v>
      </c>
      <c r="BA54" s="178" t="s">
        <v>52</v>
      </c>
      <c r="BB54" s="178" t="s">
        <v>52</v>
      </c>
      <c r="BC54" s="178" t="s">
        <v>52</v>
      </c>
      <c r="BD54" s="177" t="str">
        <f t="shared" ref="BD54:BD63" si="127">IF(AG54&gt;AS54,(AG54),(AS54))</f>
        <v>NA</v>
      </c>
      <c r="BE54" s="178" t="str">
        <f t="shared" ref="BE54:BE63" si="128">IF(AJ54&gt;AV54,(AJ54),(AV54))</f>
        <v>NA</v>
      </c>
      <c r="BF54" s="178" t="str">
        <f t="shared" ref="BF54:BF63" si="129">IF(AK54&gt;AW54,(AK54),(AW54))</f>
        <v>NA</v>
      </c>
      <c r="BG54" s="178" t="str">
        <f t="shared" ref="BG54:BG63" si="130">IF(AL54&gt;AX54,(AL54),(AX54))</f>
        <v>NA</v>
      </c>
      <c r="BH54" s="178" t="str">
        <f t="shared" ref="BH54:BH63" si="131">IF(AM54&gt;AY54,(AM54),(AY54))</f>
        <v>NA</v>
      </c>
      <c r="BI54" s="178" t="str">
        <f t="shared" ref="BI54:BI63" si="132">IF(AN54&gt;AZ54,(AN54),(AZ54))</f>
        <v>NA</v>
      </c>
      <c r="BJ54" s="178" t="str">
        <f t="shared" ref="BJ54:BJ63" si="133">IF(AO54&gt;BA54,(AO54),(BA54))</f>
        <v>NA</v>
      </c>
      <c r="BK54" s="178" t="str">
        <f t="shared" ref="BK54:BK63" si="134">IF(AP54&gt;BB54,(AP54),(BB54))</f>
        <v>NA</v>
      </c>
      <c r="BL54" s="178"/>
      <c r="BM54" s="178" t="str">
        <f t="shared" ref="BM54:BM63" si="135">IF(AQ54&gt;BC54,(AQ54),(BC54))</f>
        <v>NA</v>
      </c>
      <c r="BN54" s="178"/>
      <c r="BO54" s="178"/>
      <c r="BP54" s="178" t="s">
        <v>52</v>
      </c>
      <c r="BQ54" s="178" t="s">
        <v>52</v>
      </c>
      <c r="BR54" s="178" t="s">
        <v>52</v>
      </c>
      <c r="BS54" s="178" t="s">
        <v>52</v>
      </c>
      <c r="BT54" s="178" t="s">
        <v>52</v>
      </c>
      <c r="BU54" s="178" t="s">
        <v>52</v>
      </c>
      <c r="BV54" s="178" t="s">
        <v>52</v>
      </c>
      <c r="BW54" s="3" t="s">
        <v>52</v>
      </c>
      <c r="BX54" s="3" t="s">
        <v>52</v>
      </c>
      <c r="BY54" s="3" t="s">
        <v>52</v>
      </c>
      <c r="BZ54" s="3" t="s">
        <v>52</v>
      </c>
      <c r="CA54" s="3" t="s">
        <v>52</v>
      </c>
      <c r="CB54" s="3" t="s">
        <v>52</v>
      </c>
      <c r="CC54" s="3" t="s">
        <v>52</v>
      </c>
    </row>
    <row r="55" spans="1:81">
      <c r="A55" s="46" t="s">
        <v>124</v>
      </c>
      <c r="B55" s="118"/>
      <c r="C55" s="109">
        <v>2</v>
      </c>
      <c r="D55" s="109"/>
      <c r="E55" s="109"/>
      <c r="F55" s="109">
        <v>16</v>
      </c>
      <c r="G55" s="109">
        <v>5</v>
      </c>
      <c r="H55" s="109">
        <v>0</v>
      </c>
      <c r="I55" s="178">
        <v>7</v>
      </c>
      <c r="J55" s="178">
        <v>8</v>
      </c>
      <c r="K55" s="178">
        <v>10</v>
      </c>
      <c r="L55" s="178">
        <v>15</v>
      </c>
      <c r="M55" s="178"/>
      <c r="N55" s="178">
        <v>17</v>
      </c>
      <c r="O55" s="178"/>
      <c r="P55" s="178"/>
      <c r="Q55" s="178">
        <v>20</v>
      </c>
      <c r="R55" s="178">
        <v>17</v>
      </c>
      <c r="S55" s="178">
        <v>17</v>
      </c>
      <c r="T55" s="178">
        <v>27</v>
      </c>
      <c r="U55" s="178">
        <v>36</v>
      </c>
      <c r="V55" s="178">
        <v>60</v>
      </c>
      <c r="W55" s="178">
        <v>36</v>
      </c>
      <c r="X55" s="178">
        <v>41</v>
      </c>
      <c r="Y55" s="178">
        <v>47</v>
      </c>
      <c r="Z55" s="178">
        <v>50</v>
      </c>
      <c r="AA55" s="178">
        <v>58</v>
      </c>
      <c r="AB55" s="178"/>
      <c r="AC55" s="178">
        <v>68</v>
      </c>
      <c r="AD55" s="178">
        <v>61</v>
      </c>
      <c r="AE55" s="178">
        <v>83</v>
      </c>
      <c r="AF55" s="177" t="s">
        <v>52</v>
      </c>
      <c r="AG55" s="178" t="s">
        <v>52</v>
      </c>
      <c r="AH55" s="178" t="s">
        <v>52</v>
      </c>
      <c r="AI55" s="178" t="s">
        <v>52</v>
      </c>
      <c r="AJ55" s="178" t="s">
        <v>52</v>
      </c>
      <c r="AK55" s="178" t="s">
        <v>52</v>
      </c>
      <c r="AL55" s="178" t="s">
        <v>52</v>
      </c>
      <c r="AM55" s="178" t="s">
        <v>52</v>
      </c>
      <c r="AN55" s="178" t="s">
        <v>52</v>
      </c>
      <c r="AO55" s="178" t="s">
        <v>52</v>
      </c>
      <c r="AP55" s="178" t="s">
        <v>52</v>
      </c>
      <c r="AQ55" s="178" t="s">
        <v>52</v>
      </c>
      <c r="AR55" s="177" t="s">
        <v>52</v>
      </c>
      <c r="AS55" s="178" t="s">
        <v>52</v>
      </c>
      <c r="AT55" s="178" t="s">
        <v>52</v>
      </c>
      <c r="AU55" s="178" t="s">
        <v>52</v>
      </c>
      <c r="AV55" s="178" t="s">
        <v>52</v>
      </c>
      <c r="AW55" s="178" t="s">
        <v>52</v>
      </c>
      <c r="AX55" s="178" t="s">
        <v>52</v>
      </c>
      <c r="AY55" s="178" t="s">
        <v>52</v>
      </c>
      <c r="AZ55" s="178" t="s">
        <v>52</v>
      </c>
      <c r="BA55" s="178" t="s">
        <v>52</v>
      </c>
      <c r="BB55" s="178" t="s">
        <v>52</v>
      </c>
      <c r="BC55" s="178" t="s">
        <v>52</v>
      </c>
      <c r="BD55" s="177" t="str">
        <f t="shared" si="127"/>
        <v>NA</v>
      </c>
      <c r="BE55" s="178" t="str">
        <f t="shared" si="128"/>
        <v>NA</v>
      </c>
      <c r="BF55" s="178" t="str">
        <f t="shared" si="129"/>
        <v>NA</v>
      </c>
      <c r="BG55" s="178" t="str">
        <f t="shared" si="130"/>
        <v>NA</v>
      </c>
      <c r="BH55" s="178" t="str">
        <f t="shared" si="131"/>
        <v>NA</v>
      </c>
      <c r="BI55" s="178" t="str">
        <f t="shared" si="132"/>
        <v>NA</v>
      </c>
      <c r="BJ55" s="178" t="str">
        <f t="shared" si="133"/>
        <v>NA</v>
      </c>
      <c r="BK55" s="178" t="str">
        <f t="shared" si="134"/>
        <v>NA</v>
      </c>
      <c r="BL55" s="178"/>
      <c r="BM55" s="178" t="str">
        <f t="shared" si="135"/>
        <v>NA</v>
      </c>
      <c r="BN55" s="178"/>
      <c r="BO55" s="178"/>
      <c r="BP55" s="178" t="s">
        <v>52</v>
      </c>
      <c r="BQ55" s="178" t="s">
        <v>52</v>
      </c>
      <c r="BR55" s="178" t="s">
        <v>52</v>
      </c>
      <c r="BS55" s="178" t="s">
        <v>52</v>
      </c>
      <c r="BT55" s="178" t="s">
        <v>52</v>
      </c>
      <c r="BU55" s="178" t="s">
        <v>52</v>
      </c>
      <c r="BV55" s="178" t="s">
        <v>52</v>
      </c>
      <c r="BW55" s="3" t="s">
        <v>52</v>
      </c>
      <c r="BX55" s="3" t="s">
        <v>52</v>
      </c>
      <c r="BY55" s="3" t="s">
        <v>52</v>
      </c>
      <c r="BZ55" s="3" t="s">
        <v>52</v>
      </c>
      <c r="CA55" s="3" t="s">
        <v>52</v>
      </c>
      <c r="CB55" s="3" t="s">
        <v>52</v>
      </c>
      <c r="CC55" s="3" t="s">
        <v>52</v>
      </c>
    </row>
    <row r="56" spans="1:81">
      <c r="A56" s="46" t="s">
        <v>123</v>
      </c>
      <c r="B56" s="118"/>
      <c r="C56" s="109">
        <v>559</v>
      </c>
      <c r="D56" s="109"/>
      <c r="E56" s="109"/>
      <c r="F56" s="109">
        <v>681</v>
      </c>
      <c r="G56" s="109">
        <v>718</v>
      </c>
      <c r="H56" s="109">
        <v>587</v>
      </c>
      <c r="I56" s="178">
        <v>716</v>
      </c>
      <c r="J56" s="178">
        <v>744</v>
      </c>
      <c r="K56" s="178">
        <v>755</v>
      </c>
      <c r="L56" s="178">
        <v>904</v>
      </c>
      <c r="M56" s="178"/>
      <c r="N56" s="178">
        <v>813</v>
      </c>
      <c r="O56" s="178"/>
      <c r="P56" s="178"/>
      <c r="Q56" s="178">
        <v>957</v>
      </c>
      <c r="R56" s="178">
        <v>994</v>
      </c>
      <c r="S56" s="178">
        <v>942</v>
      </c>
      <c r="T56" s="178">
        <v>945</v>
      </c>
      <c r="U56" s="178">
        <v>970</v>
      </c>
      <c r="V56" s="178">
        <v>979</v>
      </c>
      <c r="W56" s="178">
        <v>1064</v>
      </c>
      <c r="X56" s="178">
        <v>1143</v>
      </c>
      <c r="Y56" s="178">
        <v>1280</v>
      </c>
      <c r="Z56" s="178">
        <v>1377</v>
      </c>
      <c r="AA56" s="178">
        <v>1482</v>
      </c>
      <c r="AB56" s="178"/>
      <c r="AC56" s="178">
        <v>1672</v>
      </c>
      <c r="AD56" s="178">
        <v>1630</v>
      </c>
      <c r="AE56" s="178">
        <v>1718</v>
      </c>
      <c r="AF56" s="177" t="s">
        <v>52</v>
      </c>
      <c r="AG56" s="178">
        <v>72</v>
      </c>
      <c r="AH56" s="178" t="s">
        <v>52</v>
      </c>
      <c r="AI56" s="178" t="s">
        <v>52</v>
      </c>
      <c r="AJ56" s="178">
        <v>140</v>
      </c>
      <c r="AK56" s="178">
        <v>123</v>
      </c>
      <c r="AL56" s="178"/>
      <c r="AM56" s="178">
        <v>71</v>
      </c>
      <c r="AN56" s="178"/>
      <c r="AO56" s="178">
        <v>100</v>
      </c>
      <c r="AP56" s="178">
        <v>87</v>
      </c>
      <c r="AQ56" s="178">
        <v>81</v>
      </c>
      <c r="AR56" s="177" t="s">
        <v>52</v>
      </c>
      <c r="AS56" s="178" t="s">
        <v>52</v>
      </c>
      <c r="AT56" s="178" t="s">
        <v>52</v>
      </c>
      <c r="AU56" s="178" t="s">
        <v>52</v>
      </c>
      <c r="AV56" s="178" t="s">
        <v>52</v>
      </c>
      <c r="AW56" s="178" t="s">
        <v>52</v>
      </c>
      <c r="AX56" s="178" t="s">
        <v>52</v>
      </c>
      <c r="AY56" s="178" t="s">
        <v>52</v>
      </c>
      <c r="AZ56" s="178" t="s">
        <v>52</v>
      </c>
      <c r="BA56" s="178" t="s">
        <v>52</v>
      </c>
      <c r="BB56" s="178" t="s">
        <v>52</v>
      </c>
      <c r="BC56" s="178" t="s">
        <v>52</v>
      </c>
      <c r="BD56" s="177" t="str">
        <f t="shared" si="127"/>
        <v>NA</v>
      </c>
      <c r="BE56" s="178" t="str">
        <f t="shared" si="128"/>
        <v>NA</v>
      </c>
      <c r="BF56" s="178" t="str">
        <f t="shared" si="129"/>
        <v>NA</v>
      </c>
      <c r="BG56" s="178" t="str">
        <f t="shared" si="130"/>
        <v>NA</v>
      </c>
      <c r="BH56" s="178" t="str">
        <f t="shared" si="131"/>
        <v>NA</v>
      </c>
      <c r="BI56" s="178" t="str">
        <f t="shared" si="132"/>
        <v>NA</v>
      </c>
      <c r="BJ56" s="178" t="str">
        <f t="shared" si="133"/>
        <v>NA</v>
      </c>
      <c r="BK56" s="178" t="str">
        <f t="shared" si="134"/>
        <v>NA</v>
      </c>
      <c r="BL56" s="178"/>
      <c r="BM56" s="178" t="str">
        <f t="shared" si="135"/>
        <v>NA</v>
      </c>
      <c r="BN56" s="178"/>
      <c r="BO56" s="178"/>
      <c r="BP56" s="178">
        <v>114</v>
      </c>
      <c r="BQ56" s="178"/>
      <c r="BR56" s="178">
        <v>102</v>
      </c>
      <c r="BS56" s="178">
        <v>90</v>
      </c>
      <c r="BT56" s="178">
        <v>104</v>
      </c>
      <c r="BU56" s="178">
        <v>112</v>
      </c>
      <c r="BV56" s="178">
        <v>113</v>
      </c>
      <c r="BW56" s="3">
        <v>172</v>
      </c>
      <c r="BX56" s="1">
        <v>168</v>
      </c>
      <c r="BY56" s="1">
        <v>199</v>
      </c>
      <c r="CA56" s="1">
        <v>0</v>
      </c>
      <c r="CB56" s="1">
        <v>194</v>
      </c>
      <c r="CC56" s="1">
        <v>210</v>
      </c>
    </row>
    <row r="57" spans="1:81">
      <c r="A57" s="46" t="s">
        <v>132</v>
      </c>
      <c r="B57" s="118"/>
      <c r="C57" s="109">
        <v>4</v>
      </c>
      <c r="D57" s="109"/>
      <c r="E57" s="109"/>
      <c r="F57" s="109">
        <v>27</v>
      </c>
      <c r="G57" s="109">
        <v>19</v>
      </c>
      <c r="H57" s="109">
        <v>17</v>
      </c>
      <c r="I57" s="178">
        <v>25</v>
      </c>
      <c r="J57" s="178">
        <v>9</v>
      </c>
      <c r="K57" s="178">
        <v>20</v>
      </c>
      <c r="L57" s="178">
        <v>21</v>
      </c>
      <c r="M57" s="178"/>
      <c r="N57" s="178">
        <v>40</v>
      </c>
      <c r="O57" s="178"/>
      <c r="P57" s="178"/>
      <c r="Q57" s="178">
        <v>76</v>
      </c>
      <c r="R57" s="178">
        <v>80</v>
      </c>
      <c r="S57" s="178">
        <v>58</v>
      </c>
      <c r="T57" s="178">
        <v>62</v>
      </c>
      <c r="U57" s="178">
        <v>38</v>
      </c>
      <c r="V57" s="178">
        <v>55</v>
      </c>
      <c r="W57" s="178">
        <v>39</v>
      </c>
      <c r="X57" s="178">
        <v>37</v>
      </c>
      <c r="Y57" s="178">
        <v>41</v>
      </c>
      <c r="Z57" s="178">
        <v>40</v>
      </c>
      <c r="AA57" s="178">
        <v>43</v>
      </c>
      <c r="AB57" s="178"/>
      <c r="AC57" s="178">
        <v>81</v>
      </c>
      <c r="AD57" s="178">
        <v>126</v>
      </c>
      <c r="AE57" s="178">
        <v>294</v>
      </c>
      <c r="AF57" s="177" t="s">
        <v>52</v>
      </c>
      <c r="AG57" s="178" t="s">
        <v>52</v>
      </c>
      <c r="AH57" s="178" t="s">
        <v>52</v>
      </c>
      <c r="AI57" s="178" t="s">
        <v>52</v>
      </c>
      <c r="AJ57" s="178" t="s">
        <v>52</v>
      </c>
      <c r="AK57" s="178" t="s">
        <v>52</v>
      </c>
      <c r="AL57" s="178" t="s">
        <v>52</v>
      </c>
      <c r="AM57" s="178" t="s">
        <v>52</v>
      </c>
      <c r="AN57" s="178" t="s">
        <v>52</v>
      </c>
      <c r="AO57" s="178" t="s">
        <v>52</v>
      </c>
      <c r="AP57" s="178" t="s">
        <v>52</v>
      </c>
      <c r="AQ57" s="178" t="s">
        <v>52</v>
      </c>
      <c r="AR57" s="177" t="s">
        <v>52</v>
      </c>
      <c r="AS57" s="178" t="s">
        <v>52</v>
      </c>
      <c r="AT57" s="178" t="s">
        <v>52</v>
      </c>
      <c r="AU57" s="178" t="s">
        <v>52</v>
      </c>
      <c r="AV57" s="178" t="s">
        <v>52</v>
      </c>
      <c r="AW57" s="178" t="s">
        <v>52</v>
      </c>
      <c r="AX57" s="178" t="s">
        <v>52</v>
      </c>
      <c r="AY57" s="178" t="s">
        <v>52</v>
      </c>
      <c r="AZ57" s="178" t="s">
        <v>52</v>
      </c>
      <c r="BA57" s="178" t="s">
        <v>52</v>
      </c>
      <c r="BB57" s="178" t="s">
        <v>52</v>
      </c>
      <c r="BC57" s="178" t="s">
        <v>52</v>
      </c>
      <c r="BD57" s="177" t="str">
        <f t="shared" si="127"/>
        <v>NA</v>
      </c>
      <c r="BE57" s="178" t="str">
        <f t="shared" si="128"/>
        <v>NA</v>
      </c>
      <c r="BF57" s="178" t="str">
        <f t="shared" si="129"/>
        <v>NA</v>
      </c>
      <c r="BG57" s="178" t="str">
        <f t="shared" si="130"/>
        <v>NA</v>
      </c>
      <c r="BH57" s="178" t="str">
        <f t="shared" si="131"/>
        <v>NA</v>
      </c>
      <c r="BI57" s="178" t="str">
        <f t="shared" si="132"/>
        <v>NA</v>
      </c>
      <c r="BJ57" s="178" t="str">
        <f t="shared" si="133"/>
        <v>NA</v>
      </c>
      <c r="BK57" s="178" t="str">
        <f t="shared" si="134"/>
        <v>NA</v>
      </c>
      <c r="BL57" s="178"/>
      <c r="BM57" s="178" t="str">
        <f t="shared" si="135"/>
        <v>NA</v>
      </c>
      <c r="BN57" s="178"/>
      <c r="BO57" s="178"/>
      <c r="BP57" s="178" t="s">
        <v>52</v>
      </c>
      <c r="BQ57" s="178" t="s">
        <v>52</v>
      </c>
      <c r="BR57" s="178" t="s">
        <v>52</v>
      </c>
      <c r="BS57" s="178" t="s">
        <v>52</v>
      </c>
      <c r="BT57" s="178" t="s">
        <v>52</v>
      </c>
      <c r="BU57" s="178" t="s">
        <v>52</v>
      </c>
      <c r="BV57" s="178" t="s">
        <v>52</v>
      </c>
      <c r="BW57" s="3" t="s">
        <v>52</v>
      </c>
      <c r="BX57" s="3" t="s">
        <v>52</v>
      </c>
      <c r="BY57" s="3" t="s">
        <v>52</v>
      </c>
      <c r="BZ57" s="3" t="s">
        <v>52</v>
      </c>
      <c r="CA57" s="3" t="s">
        <v>52</v>
      </c>
      <c r="CB57" s="3" t="s">
        <v>52</v>
      </c>
      <c r="CC57" s="3" t="s">
        <v>52</v>
      </c>
    </row>
    <row r="58" spans="1:81">
      <c r="A58" s="46" t="s">
        <v>133</v>
      </c>
      <c r="B58" s="118"/>
      <c r="C58" s="109">
        <v>723</v>
      </c>
      <c r="D58" s="109"/>
      <c r="E58" s="109"/>
      <c r="F58" s="109">
        <v>912</v>
      </c>
      <c r="G58" s="109">
        <v>1026</v>
      </c>
      <c r="H58" s="109">
        <v>1082</v>
      </c>
      <c r="I58" s="178">
        <v>1227</v>
      </c>
      <c r="J58" s="178">
        <v>1208</v>
      </c>
      <c r="K58" s="178">
        <v>1277</v>
      </c>
      <c r="L58" s="178">
        <v>1395</v>
      </c>
      <c r="M58" s="178"/>
      <c r="N58" s="178">
        <v>1495</v>
      </c>
      <c r="O58" s="178"/>
      <c r="P58" s="178"/>
      <c r="Q58" s="178">
        <v>1690</v>
      </c>
      <c r="R58" s="178">
        <v>1809</v>
      </c>
      <c r="S58" s="178">
        <v>1914</v>
      </c>
      <c r="T58" s="178">
        <v>1867</v>
      </c>
      <c r="U58" s="178">
        <v>1901</v>
      </c>
      <c r="V58" s="178">
        <v>2057</v>
      </c>
      <c r="W58" s="178">
        <v>2074</v>
      </c>
      <c r="X58" s="178">
        <v>2098</v>
      </c>
      <c r="Y58" s="178">
        <v>2392</v>
      </c>
      <c r="Z58" s="178">
        <v>2616</v>
      </c>
      <c r="AA58" s="178">
        <v>2756</v>
      </c>
      <c r="AB58" s="178"/>
      <c r="AC58" s="178">
        <v>3154</v>
      </c>
      <c r="AD58" s="178">
        <v>3236</v>
      </c>
      <c r="AE58" s="178">
        <v>3008</v>
      </c>
      <c r="AF58" s="177" t="s">
        <v>52</v>
      </c>
      <c r="AG58" s="178">
        <v>157</v>
      </c>
      <c r="AH58" s="178" t="s">
        <v>52</v>
      </c>
      <c r="AI58" s="178" t="s">
        <v>52</v>
      </c>
      <c r="AJ58" s="178">
        <v>186</v>
      </c>
      <c r="AK58" s="178">
        <v>270</v>
      </c>
      <c r="AL58" s="178">
        <v>271</v>
      </c>
      <c r="AM58" s="178">
        <v>288</v>
      </c>
      <c r="AN58" s="178">
        <v>255</v>
      </c>
      <c r="AO58" s="178">
        <v>225</v>
      </c>
      <c r="AP58" s="178">
        <v>303</v>
      </c>
      <c r="AQ58" s="178">
        <v>395</v>
      </c>
      <c r="AR58" s="177" t="s">
        <v>52</v>
      </c>
      <c r="AS58" s="178" t="s">
        <v>52</v>
      </c>
      <c r="AT58" s="178" t="s">
        <v>52</v>
      </c>
      <c r="AU58" s="178" t="s">
        <v>52</v>
      </c>
      <c r="AV58" s="178" t="s">
        <v>52</v>
      </c>
      <c r="AW58" s="178" t="s">
        <v>52</v>
      </c>
      <c r="AX58" s="178" t="s">
        <v>52</v>
      </c>
      <c r="AY58" s="178" t="s">
        <v>52</v>
      </c>
      <c r="AZ58" s="178" t="s">
        <v>52</v>
      </c>
      <c r="BA58" s="178" t="s">
        <v>52</v>
      </c>
      <c r="BB58" s="178" t="s">
        <v>52</v>
      </c>
      <c r="BC58" s="178" t="s">
        <v>52</v>
      </c>
      <c r="BD58" s="177" t="str">
        <f t="shared" si="127"/>
        <v>NA</v>
      </c>
      <c r="BE58" s="178" t="str">
        <f t="shared" si="128"/>
        <v>NA</v>
      </c>
      <c r="BF58" s="178" t="str">
        <f t="shared" si="129"/>
        <v>NA</v>
      </c>
      <c r="BG58" s="178" t="str">
        <f t="shared" si="130"/>
        <v>NA</v>
      </c>
      <c r="BH58" s="178" t="str">
        <f t="shared" si="131"/>
        <v>NA</v>
      </c>
      <c r="BI58" s="178" t="str">
        <f t="shared" si="132"/>
        <v>NA</v>
      </c>
      <c r="BJ58" s="178" t="str">
        <f t="shared" si="133"/>
        <v>NA</v>
      </c>
      <c r="BK58" s="178" t="str">
        <f t="shared" si="134"/>
        <v>NA</v>
      </c>
      <c r="BL58" s="178"/>
      <c r="BM58" s="178" t="str">
        <f t="shared" si="135"/>
        <v>NA</v>
      </c>
      <c r="BN58" s="178"/>
      <c r="BO58" s="178"/>
      <c r="BP58" s="178">
        <v>424</v>
      </c>
      <c r="BQ58" s="178"/>
      <c r="BR58" s="178">
        <v>466</v>
      </c>
      <c r="BS58" s="178">
        <v>370</v>
      </c>
      <c r="BT58" s="178">
        <v>383</v>
      </c>
      <c r="BU58" s="178">
        <v>456</v>
      </c>
      <c r="BV58" s="178">
        <v>378</v>
      </c>
      <c r="BW58" s="3">
        <v>494</v>
      </c>
      <c r="BX58" s="1">
        <v>598</v>
      </c>
      <c r="BY58" s="1">
        <v>645</v>
      </c>
      <c r="CA58" s="1">
        <v>187</v>
      </c>
      <c r="CB58" s="1">
        <v>720</v>
      </c>
      <c r="CC58" s="1">
        <v>278</v>
      </c>
    </row>
    <row r="59" spans="1:81">
      <c r="A59" s="46" t="s">
        <v>136</v>
      </c>
      <c r="B59" s="118"/>
      <c r="C59" s="109">
        <v>2898</v>
      </c>
      <c r="D59" s="109"/>
      <c r="E59" s="109"/>
      <c r="F59" s="109">
        <v>5575</v>
      </c>
      <c r="G59" s="109">
        <v>6280</v>
      </c>
      <c r="H59" s="109">
        <v>6544</v>
      </c>
      <c r="I59" s="178">
        <v>6788</v>
      </c>
      <c r="J59" s="178">
        <v>6970</v>
      </c>
      <c r="K59" s="178">
        <v>7409</v>
      </c>
      <c r="L59" s="178">
        <v>7392</v>
      </c>
      <c r="M59" s="178"/>
      <c r="N59" s="178">
        <v>7247</v>
      </c>
      <c r="O59" s="178"/>
      <c r="P59" s="178"/>
      <c r="Q59" s="178">
        <v>8344</v>
      </c>
      <c r="R59" s="178">
        <v>8541</v>
      </c>
      <c r="S59" s="178">
        <v>9106</v>
      </c>
      <c r="T59" s="178">
        <v>8993</v>
      </c>
      <c r="U59" s="178">
        <v>9275</v>
      </c>
      <c r="V59" s="178">
        <v>8855</v>
      </c>
      <c r="W59" s="178">
        <v>9235</v>
      </c>
      <c r="X59" s="178">
        <v>9819</v>
      </c>
      <c r="Y59" s="178">
        <v>10619</v>
      </c>
      <c r="Z59" s="178">
        <v>11132</v>
      </c>
      <c r="AA59" s="178">
        <v>10906</v>
      </c>
      <c r="AB59" s="178"/>
      <c r="AC59" s="178">
        <v>11161</v>
      </c>
      <c r="AD59" s="178">
        <v>11108</v>
      </c>
      <c r="AE59" s="178">
        <v>10406</v>
      </c>
      <c r="AF59" s="177" t="s">
        <v>52</v>
      </c>
      <c r="AG59" s="178">
        <v>194</v>
      </c>
      <c r="AH59" s="178" t="s">
        <v>52</v>
      </c>
      <c r="AI59" s="178" t="s">
        <v>52</v>
      </c>
      <c r="AJ59" s="178">
        <v>1422</v>
      </c>
      <c r="AK59" s="178">
        <v>1650</v>
      </c>
      <c r="AL59" s="178">
        <v>1042</v>
      </c>
      <c r="AM59" s="178">
        <v>247</v>
      </c>
      <c r="AN59" s="178">
        <v>314</v>
      </c>
      <c r="AO59" s="178">
        <v>317</v>
      </c>
      <c r="AP59" s="178">
        <v>406</v>
      </c>
      <c r="AQ59" s="178">
        <v>519</v>
      </c>
      <c r="AR59" s="177" t="s">
        <v>52</v>
      </c>
      <c r="AS59" s="178" t="s">
        <v>52</v>
      </c>
      <c r="AT59" s="178" t="s">
        <v>52</v>
      </c>
      <c r="AU59" s="178" t="s">
        <v>52</v>
      </c>
      <c r="AV59" s="178" t="s">
        <v>52</v>
      </c>
      <c r="AW59" s="178" t="s">
        <v>52</v>
      </c>
      <c r="AX59" s="178" t="s">
        <v>52</v>
      </c>
      <c r="AY59" s="178" t="s">
        <v>52</v>
      </c>
      <c r="AZ59" s="178" t="s">
        <v>52</v>
      </c>
      <c r="BA59" s="178" t="s">
        <v>52</v>
      </c>
      <c r="BB59" s="178" t="s">
        <v>52</v>
      </c>
      <c r="BC59" s="178" t="s">
        <v>52</v>
      </c>
      <c r="BD59" s="177" t="str">
        <f t="shared" si="127"/>
        <v>NA</v>
      </c>
      <c r="BE59" s="178" t="str">
        <f t="shared" si="128"/>
        <v>NA</v>
      </c>
      <c r="BF59" s="178" t="str">
        <f t="shared" si="129"/>
        <v>NA</v>
      </c>
      <c r="BG59" s="178" t="str">
        <f t="shared" si="130"/>
        <v>NA</v>
      </c>
      <c r="BH59" s="178" t="str">
        <f t="shared" si="131"/>
        <v>NA</v>
      </c>
      <c r="BI59" s="178" t="str">
        <f t="shared" si="132"/>
        <v>NA</v>
      </c>
      <c r="BJ59" s="178" t="str">
        <f t="shared" si="133"/>
        <v>NA</v>
      </c>
      <c r="BK59" s="178" t="str">
        <f t="shared" si="134"/>
        <v>NA</v>
      </c>
      <c r="BL59" s="178"/>
      <c r="BM59" s="178" t="str">
        <f t="shared" si="135"/>
        <v>NA</v>
      </c>
      <c r="BN59" s="178"/>
      <c r="BO59" s="178"/>
      <c r="BP59" s="178">
        <v>564</v>
      </c>
      <c r="BQ59" s="178">
        <v>616</v>
      </c>
      <c r="BR59" s="178">
        <v>687</v>
      </c>
      <c r="BS59" s="178">
        <v>829</v>
      </c>
      <c r="BT59" s="178">
        <v>1041</v>
      </c>
      <c r="BU59" s="178">
        <v>1164</v>
      </c>
      <c r="BV59" s="178">
        <v>867</v>
      </c>
      <c r="BW59" s="3">
        <v>959</v>
      </c>
      <c r="BX59" s="1">
        <v>798</v>
      </c>
      <c r="BY59" s="1">
        <v>825</v>
      </c>
      <c r="CA59" s="1">
        <v>498</v>
      </c>
      <c r="CB59" s="1">
        <v>1238</v>
      </c>
      <c r="CC59" s="1">
        <v>826</v>
      </c>
    </row>
    <row r="60" spans="1:81">
      <c r="A60" s="46" t="s">
        <v>139</v>
      </c>
      <c r="B60" s="118"/>
      <c r="C60" s="109">
        <v>1418</v>
      </c>
      <c r="D60" s="109"/>
      <c r="E60" s="109"/>
      <c r="F60" s="109">
        <v>1171</v>
      </c>
      <c r="G60" s="109">
        <v>1330</v>
      </c>
      <c r="H60" s="109">
        <v>1375</v>
      </c>
      <c r="I60" s="178">
        <v>1514</v>
      </c>
      <c r="J60" s="178">
        <v>2055</v>
      </c>
      <c r="K60" s="178">
        <v>2417</v>
      </c>
      <c r="L60" s="178">
        <v>2180</v>
      </c>
      <c r="M60" s="178"/>
      <c r="N60" s="178">
        <v>2455</v>
      </c>
      <c r="O60" s="178"/>
      <c r="P60" s="178"/>
      <c r="Q60" s="178">
        <v>2532</v>
      </c>
      <c r="R60" s="178">
        <v>2683</v>
      </c>
      <c r="S60" s="178">
        <v>2736</v>
      </c>
      <c r="T60" s="178">
        <v>2889</v>
      </c>
      <c r="U60" s="178">
        <v>3020</v>
      </c>
      <c r="V60" s="178">
        <v>3186</v>
      </c>
      <c r="W60" s="178">
        <v>3212</v>
      </c>
      <c r="X60" s="178">
        <v>3448</v>
      </c>
      <c r="Y60" s="178">
        <v>3407</v>
      </c>
      <c r="Z60" s="178">
        <v>3491</v>
      </c>
      <c r="AA60" s="178">
        <v>3388</v>
      </c>
      <c r="AB60" s="178"/>
      <c r="AC60" s="178">
        <v>3511</v>
      </c>
      <c r="AD60" s="178">
        <v>3166</v>
      </c>
      <c r="AE60" s="178">
        <v>3022</v>
      </c>
      <c r="AF60" s="177" t="s">
        <v>52</v>
      </c>
      <c r="AG60" s="178">
        <v>229</v>
      </c>
      <c r="AH60" s="178" t="s">
        <v>52</v>
      </c>
      <c r="AI60" s="178" t="s">
        <v>52</v>
      </c>
      <c r="AJ60" s="178">
        <v>48</v>
      </c>
      <c r="AK60" s="178">
        <v>153</v>
      </c>
      <c r="AL60" s="178">
        <v>136</v>
      </c>
      <c r="AM60" s="178">
        <v>127</v>
      </c>
      <c r="AN60" s="178">
        <v>133</v>
      </c>
      <c r="AO60" s="178">
        <v>260</v>
      </c>
      <c r="AP60" s="178">
        <v>326</v>
      </c>
      <c r="AQ60" s="178">
        <v>888</v>
      </c>
      <c r="AR60" s="177">
        <v>0</v>
      </c>
      <c r="AS60" s="178">
        <v>0</v>
      </c>
      <c r="AT60" s="178">
        <v>0</v>
      </c>
      <c r="AU60" s="178">
        <v>0</v>
      </c>
      <c r="AV60" s="178">
        <v>0</v>
      </c>
      <c r="AW60" s="178">
        <v>0</v>
      </c>
      <c r="AX60" s="178">
        <v>0</v>
      </c>
      <c r="AY60" s="178">
        <v>0</v>
      </c>
      <c r="AZ60" s="178">
        <v>0</v>
      </c>
      <c r="BA60" s="178">
        <v>0</v>
      </c>
      <c r="BB60" s="178">
        <v>0</v>
      </c>
      <c r="BC60" s="178">
        <v>0</v>
      </c>
      <c r="BD60" s="177">
        <f t="shared" si="127"/>
        <v>229</v>
      </c>
      <c r="BE60" s="178">
        <f t="shared" si="128"/>
        <v>48</v>
      </c>
      <c r="BF60" s="178">
        <f t="shared" si="129"/>
        <v>153</v>
      </c>
      <c r="BG60" s="178">
        <f t="shared" si="130"/>
        <v>136</v>
      </c>
      <c r="BH60" s="178">
        <f t="shared" si="131"/>
        <v>127</v>
      </c>
      <c r="BI60" s="178">
        <f t="shared" si="132"/>
        <v>133</v>
      </c>
      <c r="BJ60" s="178">
        <f t="shared" si="133"/>
        <v>260</v>
      </c>
      <c r="BK60" s="178">
        <f t="shared" si="134"/>
        <v>326</v>
      </c>
      <c r="BL60" s="178"/>
      <c r="BM60" s="178">
        <f t="shared" si="135"/>
        <v>888</v>
      </c>
      <c r="BN60" s="178"/>
      <c r="BO60" s="178"/>
      <c r="BP60" s="178">
        <v>1025</v>
      </c>
      <c r="BQ60" s="178">
        <v>993</v>
      </c>
      <c r="BR60" s="178">
        <v>1019</v>
      </c>
      <c r="BS60" s="178">
        <v>1081</v>
      </c>
      <c r="BT60" s="178">
        <v>1300</v>
      </c>
      <c r="BU60" s="178">
        <v>1391</v>
      </c>
      <c r="BV60" s="178">
        <v>1342</v>
      </c>
      <c r="BW60" s="3">
        <v>1215</v>
      </c>
      <c r="BX60" s="1">
        <v>1143</v>
      </c>
      <c r="BY60" s="1">
        <v>1122</v>
      </c>
      <c r="CA60" s="1">
        <v>213</v>
      </c>
      <c r="CB60" s="1">
        <v>367</v>
      </c>
      <c r="CC60" s="1">
        <v>172</v>
      </c>
    </row>
    <row r="61" spans="1:81">
      <c r="A61" s="46" t="s">
        <v>140</v>
      </c>
      <c r="B61" s="118"/>
      <c r="C61" s="109">
        <v>94</v>
      </c>
      <c r="D61" s="109"/>
      <c r="E61" s="109"/>
      <c r="F61" s="109">
        <v>172</v>
      </c>
      <c r="G61" s="109">
        <v>194</v>
      </c>
      <c r="H61" s="109">
        <v>203</v>
      </c>
      <c r="I61" s="178">
        <v>226</v>
      </c>
      <c r="J61" s="178">
        <v>190</v>
      </c>
      <c r="K61" s="178">
        <v>232</v>
      </c>
      <c r="L61" s="178">
        <v>215</v>
      </c>
      <c r="M61" s="178"/>
      <c r="N61" s="178">
        <v>255</v>
      </c>
      <c r="O61" s="178"/>
      <c r="P61" s="178"/>
      <c r="Q61" s="178">
        <v>309</v>
      </c>
      <c r="R61" s="178">
        <v>261</v>
      </c>
      <c r="S61" s="178">
        <v>234</v>
      </c>
      <c r="T61" s="178">
        <v>274</v>
      </c>
      <c r="U61" s="178">
        <v>257</v>
      </c>
      <c r="V61" s="178">
        <v>218</v>
      </c>
      <c r="W61" s="178">
        <v>247</v>
      </c>
      <c r="X61" s="178">
        <v>231</v>
      </c>
      <c r="Y61" s="178">
        <v>212</v>
      </c>
      <c r="Z61" s="178">
        <v>198</v>
      </c>
      <c r="AA61" s="178">
        <v>174</v>
      </c>
      <c r="AB61" s="178"/>
      <c r="AC61" s="178">
        <v>228</v>
      </c>
      <c r="AD61" s="178">
        <v>226</v>
      </c>
      <c r="AE61" s="178">
        <v>235</v>
      </c>
      <c r="AF61" s="177" t="s">
        <v>52</v>
      </c>
      <c r="AG61" s="178" t="s">
        <v>52</v>
      </c>
      <c r="AH61" s="178" t="s">
        <v>52</v>
      </c>
      <c r="AI61" s="178" t="s">
        <v>52</v>
      </c>
      <c r="AJ61" s="178" t="s">
        <v>52</v>
      </c>
      <c r="AK61" s="178" t="s">
        <v>52</v>
      </c>
      <c r="AL61" s="178" t="s">
        <v>52</v>
      </c>
      <c r="AM61" s="178" t="s">
        <v>52</v>
      </c>
      <c r="AN61" s="178" t="s">
        <v>52</v>
      </c>
      <c r="AO61" s="178" t="s">
        <v>52</v>
      </c>
      <c r="AP61" s="178" t="s">
        <v>52</v>
      </c>
      <c r="AQ61" s="178" t="s">
        <v>52</v>
      </c>
      <c r="AR61" s="177" t="s">
        <v>52</v>
      </c>
      <c r="AS61" s="178" t="s">
        <v>52</v>
      </c>
      <c r="AT61" s="178" t="s">
        <v>52</v>
      </c>
      <c r="AU61" s="178" t="s">
        <v>52</v>
      </c>
      <c r="AV61" s="178" t="s">
        <v>52</v>
      </c>
      <c r="AW61" s="178" t="s">
        <v>52</v>
      </c>
      <c r="AX61" s="178" t="s">
        <v>52</v>
      </c>
      <c r="AY61" s="178" t="s">
        <v>52</v>
      </c>
      <c r="AZ61" s="178" t="s">
        <v>52</v>
      </c>
      <c r="BA61" s="178" t="s">
        <v>52</v>
      </c>
      <c r="BB61" s="178" t="s">
        <v>52</v>
      </c>
      <c r="BC61" s="178" t="s">
        <v>52</v>
      </c>
      <c r="BD61" s="177" t="str">
        <f t="shared" si="127"/>
        <v>NA</v>
      </c>
      <c r="BE61" s="178" t="str">
        <f t="shared" si="128"/>
        <v>NA</v>
      </c>
      <c r="BF61" s="178" t="str">
        <f t="shared" si="129"/>
        <v>NA</v>
      </c>
      <c r="BG61" s="178" t="str">
        <f t="shared" si="130"/>
        <v>NA</v>
      </c>
      <c r="BH61" s="178" t="str">
        <f t="shared" si="131"/>
        <v>NA</v>
      </c>
      <c r="BI61" s="178" t="str">
        <f t="shared" si="132"/>
        <v>NA</v>
      </c>
      <c r="BJ61" s="178" t="str">
        <f t="shared" si="133"/>
        <v>NA</v>
      </c>
      <c r="BK61" s="178" t="str">
        <f t="shared" si="134"/>
        <v>NA</v>
      </c>
      <c r="BL61" s="178"/>
      <c r="BM61" s="178" t="str">
        <f t="shared" si="135"/>
        <v>NA</v>
      </c>
      <c r="BN61" s="178"/>
      <c r="BO61" s="178"/>
      <c r="BP61" s="178" t="s">
        <v>52</v>
      </c>
      <c r="BQ61" s="178" t="s">
        <v>52</v>
      </c>
      <c r="BR61" s="178" t="s">
        <v>52</v>
      </c>
      <c r="BS61" s="178" t="s">
        <v>52</v>
      </c>
      <c r="BT61" s="178" t="s">
        <v>52</v>
      </c>
      <c r="BU61" s="178" t="s">
        <v>52</v>
      </c>
      <c r="BV61" s="178" t="s">
        <v>52</v>
      </c>
      <c r="BW61" s="3" t="s">
        <v>52</v>
      </c>
      <c r="BX61" s="3" t="s">
        <v>52</v>
      </c>
      <c r="BY61" s="3" t="s">
        <v>52</v>
      </c>
      <c r="BZ61" s="3" t="s">
        <v>52</v>
      </c>
      <c r="CA61" s="3" t="s">
        <v>52</v>
      </c>
      <c r="CB61" s="3" t="s">
        <v>52</v>
      </c>
      <c r="CC61" s="3" t="s">
        <v>52</v>
      </c>
    </row>
    <row r="62" spans="1:81">
      <c r="A62" s="48" t="s">
        <v>143</v>
      </c>
      <c r="B62" s="119"/>
      <c r="C62" s="110">
        <v>3</v>
      </c>
      <c r="D62" s="110"/>
      <c r="E62" s="110"/>
      <c r="F62" s="110">
        <v>10</v>
      </c>
      <c r="G62" s="110">
        <v>6</v>
      </c>
      <c r="H62" s="110">
        <v>8</v>
      </c>
      <c r="I62" s="180">
        <v>7</v>
      </c>
      <c r="J62" s="180">
        <v>5</v>
      </c>
      <c r="K62" s="180">
        <v>10</v>
      </c>
      <c r="L62" s="180">
        <v>10</v>
      </c>
      <c r="M62" s="180"/>
      <c r="N62" s="180">
        <v>18</v>
      </c>
      <c r="O62" s="180"/>
      <c r="P62" s="180"/>
      <c r="Q62" s="180">
        <v>20</v>
      </c>
      <c r="R62" s="180">
        <v>18</v>
      </c>
      <c r="S62" s="180">
        <v>12</v>
      </c>
      <c r="T62" s="180">
        <v>14</v>
      </c>
      <c r="U62" s="180">
        <v>20</v>
      </c>
      <c r="V62" s="180">
        <v>18</v>
      </c>
      <c r="W62" s="180">
        <v>17</v>
      </c>
      <c r="X62" s="180">
        <v>26</v>
      </c>
      <c r="Y62" s="180">
        <v>19</v>
      </c>
      <c r="Z62" s="180">
        <v>13</v>
      </c>
      <c r="AA62" s="180">
        <v>18</v>
      </c>
      <c r="AB62" s="180"/>
      <c r="AC62" s="180">
        <v>21</v>
      </c>
      <c r="AD62" s="180">
        <v>20</v>
      </c>
      <c r="AE62" s="180">
        <v>20</v>
      </c>
      <c r="AF62" s="179" t="s">
        <v>52</v>
      </c>
      <c r="AG62" s="180" t="s">
        <v>52</v>
      </c>
      <c r="AH62" s="180" t="s">
        <v>52</v>
      </c>
      <c r="AI62" s="180" t="s">
        <v>52</v>
      </c>
      <c r="AJ62" s="180" t="s">
        <v>52</v>
      </c>
      <c r="AK62" s="180" t="s">
        <v>52</v>
      </c>
      <c r="AL62" s="180" t="s">
        <v>52</v>
      </c>
      <c r="AM62" s="180" t="s">
        <v>52</v>
      </c>
      <c r="AN62" s="180" t="s">
        <v>52</v>
      </c>
      <c r="AO62" s="180" t="s">
        <v>52</v>
      </c>
      <c r="AP62" s="180" t="s">
        <v>52</v>
      </c>
      <c r="AQ62" s="180" t="s">
        <v>52</v>
      </c>
      <c r="AR62" s="179" t="s">
        <v>52</v>
      </c>
      <c r="AS62" s="180" t="s">
        <v>52</v>
      </c>
      <c r="AT62" s="180" t="s">
        <v>52</v>
      </c>
      <c r="AU62" s="180" t="s">
        <v>52</v>
      </c>
      <c r="AV62" s="180" t="s">
        <v>52</v>
      </c>
      <c r="AW62" s="180" t="s">
        <v>52</v>
      </c>
      <c r="AX62" s="180" t="s">
        <v>52</v>
      </c>
      <c r="AY62" s="180" t="s">
        <v>52</v>
      </c>
      <c r="AZ62" s="180" t="s">
        <v>52</v>
      </c>
      <c r="BA62" s="180" t="s">
        <v>52</v>
      </c>
      <c r="BB62" s="180" t="s">
        <v>52</v>
      </c>
      <c r="BC62" s="180" t="s">
        <v>52</v>
      </c>
      <c r="BD62" s="179" t="str">
        <f t="shared" si="127"/>
        <v>NA</v>
      </c>
      <c r="BE62" s="180" t="str">
        <f t="shared" si="128"/>
        <v>NA</v>
      </c>
      <c r="BF62" s="180" t="str">
        <f t="shared" si="129"/>
        <v>NA</v>
      </c>
      <c r="BG62" s="180" t="str">
        <f t="shared" si="130"/>
        <v>NA</v>
      </c>
      <c r="BH62" s="180" t="str">
        <f t="shared" si="131"/>
        <v>NA</v>
      </c>
      <c r="BI62" s="180" t="str">
        <f t="shared" si="132"/>
        <v>NA</v>
      </c>
      <c r="BJ62" s="180" t="str">
        <f t="shared" si="133"/>
        <v>NA</v>
      </c>
      <c r="BK62" s="180" t="str">
        <f t="shared" si="134"/>
        <v>NA</v>
      </c>
      <c r="BL62" s="180"/>
      <c r="BM62" s="180" t="str">
        <f t="shared" si="135"/>
        <v>NA</v>
      </c>
      <c r="BN62" s="180"/>
      <c r="BO62" s="180"/>
      <c r="BP62" s="180" t="s">
        <v>52</v>
      </c>
      <c r="BQ62" s="180" t="s">
        <v>52</v>
      </c>
      <c r="BR62" s="180" t="s">
        <v>52</v>
      </c>
      <c r="BS62" s="180" t="s">
        <v>52</v>
      </c>
      <c r="BT62" s="180" t="s">
        <v>52</v>
      </c>
      <c r="BU62" s="180" t="s">
        <v>52</v>
      </c>
      <c r="BV62" s="180" t="s">
        <v>52</v>
      </c>
      <c r="BW62" s="3" t="s">
        <v>52</v>
      </c>
      <c r="BX62" s="3" t="s">
        <v>52</v>
      </c>
      <c r="BY62" s="3" t="s">
        <v>52</v>
      </c>
      <c r="BZ62" s="3" t="s">
        <v>52</v>
      </c>
      <c r="CA62" s="3" t="s">
        <v>52</v>
      </c>
      <c r="CB62" s="3" t="s">
        <v>52</v>
      </c>
      <c r="CC62" s="3" t="s">
        <v>52</v>
      </c>
    </row>
    <row r="63" spans="1:81">
      <c r="A63" s="49" t="s">
        <v>129</v>
      </c>
      <c r="B63" s="120"/>
      <c r="C63" s="65">
        <v>232</v>
      </c>
      <c r="D63" s="65"/>
      <c r="E63" s="65"/>
      <c r="F63" s="65">
        <v>281</v>
      </c>
      <c r="G63" s="65">
        <v>283</v>
      </c>
      <c r="H63" s="65">
        <v>231</v>
      </c>
      <c r="I63" s="181">
        <v>125</v>
      </c>
      <c r="J63" s="181">
        <v>270</v>
      </c>
      <c r="K63" s="181">
        <v>271</v>
      </c>
      <c r="L63" s="181">
        <v>268</v>
      </c>
      <c r="M63" s="181"/>
      <c r="N63" s="181">
        <v>268</v>
      </c>
      <c r="O63" s="181"/>
      <c r="P63" s="181"/>
      <c r="Q63" s="181">
        <v>368</v>
      </c>
      <c r="R63" s="181">
        <v>464</v>
      </c>
      <c r="S63" s="181">
        <v>248</v>
      </c>
      <c r="T63" s="181">
        <v>508</v>
      </c>
      <c r="U63" s="181">
        <v>547</v>
      </c>
      <c r="V63" s="181">
        <v>545</v>
      </c>
      <c r="W63" s="181">
        <v>589</v>
      </c>
      <c r="X63" s="181">
        <v>186</v>
      </c>
      <c r="Y63" s="181">
        <v>254</v>
      </c>
      <c r="Z63" s="181">
        <v>211</v>
      </c>
      <c r="AA63" s="181">
        <v>278</v>
      </c>
      <c r="AB63" s="181"/>
      <c r="AC63" s="181">
        <v>354</v>
      </c>
      <c r="AD63" s="181">
        <v>288</v>
      </c>
      <c r="AE63" s="181">
        <v>321</v>
      </c>
      <c r="AF63" s="183" t="s">
        <v>52</v>
      </c>
      <c r="AG63" s="181">
        <v>206</v>
      </c>
      <c r="AH63" s="181" t="s">
        <v>52</v>
      </c>
      <c r="AI63" s="181" t="s">
        <v>52</v>
      </c>
      <c r="AJ63" s="181">
        <v>274</v>
      </c>
      <c r="AK63" s="181">
        <v>192</v>
      </c>
      <c r="AL63" s="181">
        <v>0</v>
      </c>
      <c r="AM63" s="181">
        <v>110</v>
      </c>
      <c r="AN63" s="181">
        <v>268</v>
      </c>
      <c r="AO63" s="181">
        <v>270</v>
      </c>
      <c r="AP63" s="181">
        <v>224</v>
      </c>
      <c r="AQ63" s="181">
        <v>229</v>
      </c>
      <c r="AR63" s="181">
        <v>0</v>
      </c>
      <c r="AS63" s="181">
        <v>0</v>
      </c>
      <c r="AT63" s="181">
        <v>0</v>
      </c>
      <c r="AU63" s="181">
        <v>0</v>
      </c>
      <c r="AV63" s="181">
        <v>0</v>
      </c>
      <c r="AW63" s="181">
        <v>192</v>
      </c>
      <c r="AX63" s="181">
        <v>174</v>
      </c>
      <c r="AY63" s="181">
        <v>52</v>
      </c>
      <c r="AZ63" s="181">
        <v>200</v>
      </c>
      <c r="BA63" s="181">
        <v>169</v>
      </c>
      <c r="BB63" s="181">
        <v>123</v>
      </c>
      <c r="BC63" s="181">
        <v>114</v>
      </c>
      <c r="BD63" s="183">
        <f t="shared" si="127"/>
        <v>206</v>
      </c>
      <c r="BE63" s="181">
        <f t="shared" si="128"/>
        <v>274</v>
      </c>
      <c r="BF63" s="181">
        <f t="shared" si="129"/>
        <v>192</v>
      </c>
      <c r="BG63" s="181">
        <f t="shared" si="130"/>
        <v>174</v>
      </c>
      <c r="BH63" s="181">
        <f t="shared" si="131"/>
        <v>110</v>
      </c>
      <c r="BI63" s="181">
        <f t="shared" si="132"/>
        <v>268</v>
      </c>
      <c r="BJ63" s="181">
        <f t="shared" si="133"/>
        <v>270</v>
      </c>
      <c r="BK63" s="181">
        <f t="shared" si="134"/>
        <v>224</v>
      </c>
      <c r="BL63" s="181"/>
      <c r="BM63" s="181">
        <f t="shared" si="135"/>
        <v>229</v>
      </c>
      <c r="BN63" s="181"/>
      <c r="BO63" s="181"/>
      <c r="BP63" s="181">
        <v>335</v>
      </c>
      <c r="BQ63" s="181">
        <v>142</v>
      </c>
      <c r="BR63" s="181">
        <v>213</v>
      </c>
      <c r="BS63" s="181">
        <v>441</v>
      </c>
      <c r="BT63" s="181">
        <v>505</v>
      </c>
      <c r="BU63" s="181">
        <v>550</v>
      </c>
      <c r="BV63" s="181">
        <v>168</v>
      </c>
      <c r="BW63" s="181">
        <v>205</v>
      </c>
      <c r="BX63" s="5">
        <v>188</v>
      </c>
      <c r="BY63" s="8">
        <v>217</v>
      </c>
      <c r="BZ63" s="8"/>
      <c r="CA63" s="8">
        <v>197</v>
      </c>
      <c r="CB63" s="8">
        <v>227</v>
      </c>
      <c r="CC63" s="8">
        <v>235</v>
      </c>
    </row>
    <row r="64" spans="1:81">
      <c r="C64" s="3"/>
      <c r="F64" s="3"/>
      <c r="G64" s="3"/>
      <c r="H64" s="3"/>
    </row>
    <row r="65" spans="2:29">
      <c r="B65" s="2" t="s">
        <v>29</v>
      </c>
      <c r="C65" s="2" t="s">
        <v>29</v>
      </c>
      <c r="D65" s="2" t="s">
        <v>29</v>
      </c>
      <c r="E65" s="2" t="s">
        <v>29</v>
      </c>
      <c r="F65" s="2" t="s">
        <v>29</v>
      </c>
      <c r="G65" s="2" t="s">
        <v>29</v>
      </c>
      <c r="H65" s="2" t="s">
        <v>29</v>
      </c>
      <c r="I65" s="3" t="s">
        <v>29</v>
      </c>
      <c r="J65" s="3" t="s">
        <v>29</v>
      </c>
      <c r="K65" s="3" t="s">
        <v>29</v>
      </c>
      <c r="L65" s="3" t="s">
        <v>29</v>
      </c>
      <c r="N65" s="3" t="s">
        <v>29</v>
      </c>
      <c r="Q65" s="3" t="s">
        <v>71</v>
      </c>
      <c r="W65" s="3" t="s">
        <v>71</v>
      </c>
      <c r="X65" s="3" t="s">
        <v>71</v>
      </c>
      <c r="Y65" s="3" t="s">
        <v>71</v>
      </c>
      <c r="Z65" s="3" t="s">
        <v>71</v>
      </c>
      <c r="AA65" s="3" t="s">
        <v>71</v>
      </c>
      <c r="AC65" s="3" t="s">
        <v>71</v>
      </c>
    </row>
    <row r="66" spans="2:29">
      <c r="B66" s="2" t="s">
        <v>74</v>
      </c>
      <c r="C66" s="2" t="s">
        <v>13</v>
      </c>
      <c r="D66" s="2" t="s">
        <v>74</v>
      </c>
      <c r="E66" s="2" t="s">
        <v>74</v>
      </c>
      <c r="F66" s="2" t="s">
        <v>13</v>
      </c>
      <c r="G66" s="2" t="s">
        <v>13</v>
      </c>
      <c r="H66" s="2" t="s">
        <v>13</v>
      </c>
      <c r="I66" s="3" t="s">
        <v>13</v>
      </c>
      <c r="J66" s="3" t="s">
        <v>13</v>
      </c>
      <c r="K66" s="3" t="s">
        <v>13</v>
      </c>
      <c r="L66" s="3" t="s">
        <v>13</v>
      </c>
      <c r="N66" s="3" t="s">
        <v>13</v>
      </c>
      <c r="Q66" s="3" t="s">
        <v>157</v>
      </c>
      <c r="W66" s="3" t="s">
        <v>157</v>
      </c>
      <c r="X66" s="3" t="s">
        <v>157</v>
      </c>
      <c r="Y66" s="3" t="s">
        <v>157</v>
      </c>
      <c r="Z66" s="3" t="s">
        <v>157</v>
      </c>
      <c r="AA66" s="3" t="s">
        <v>157</v>
      </c>
      <c r="AC66" s="3" t="s">
        <v>157</v>
      </c>
    </row>
    <row r="67" spans="2:29">
      <c r="B67" s="2" t="s">
        <v>31</v>
      </c>
      <c r="C67" s="2" t="s">
        <v>30</v>
      </c>
      <c r="D67" s="2" t="s">
        <v>32</v>
      </c>
      <c r="E67" s="2" t="s">
        <v>32</v>
      </c>
      <c r="F67" s="2" t="s">
        <v>30</v>
      </c>
      <c r="G67" s="2" t="s">
        <v>30</v>
      </c>
      <c r="H67" s="2" t="s">
        <v>30</v>
      </c>
      <c r="I67" s="3" t="s">
        <v>30</v>
      </c>
      <c r="J67" s="3" t="s">
        <v>30</v>
      </c>
      <c r="K67" s="3" t="s">
        <v>30</v>
      </c>
      <c r="L67" s="3" t="s">
        <v>30</v>
      </c>
      <c r="N67" s="3" t="s">
        <v>30</v>
      </c>
      <c r="Q67" s="3" t="s">
        <v>158</v>
      </c>
      <c r="W67" s="3" t="s">
        <v>158</v>
      </c>
      <c r="X67" s="3" t="s">
        <v>158</v>
      </c>
      <c r="Y67" s="3" t="s">
        <v>158</v>
      </c>
      <c r="Z67" s="3" t="s">
        <v>158</v>
      </c>
      <c r="AA67" s="3" t="s">
        <v>158</v>
      </c>
      <c r="AC67" s="3" t="s">
        <v>158</v>
      </c>
    </row>
    <row r="68" spans="2:29" ht="12.75" customHeight="1">
      <c r="B68" s="2" t="s">
        <v>35</v>
      </c>
      <c r="C68" s="2" t="s">
        <v>72</v>
      </c>
      <c r="D68" s="2" t="s">
        <v>33</v>
      </c>
      <c r="E68" s="2" t="s">
        <v>33</v>
      </c>
      <c r="F68" s="2" t="s">
        <v>72</v>
      </c>
      <c r="G68" s="2" t="s">
        <v>72</v>
      </c>
      <c r="H68" s="2" t="s">
        <v>72</v>
      </c>
      <c r="I68" s="3" t="s">
        <v>72</v>
      </c>
      <c r="J68" s="3" t="s">
        <v>72</v>
      </c>
      <c r="K68" s="3" t="s">
        <v>72</v>
      </c>
      <c r="L68" s="3" t="s">
        <v>72</v>
      </c>
      <c r="N68" s="3" t="s">
        <v>72</v>
      </c>
      <c r="Q68" s="3" t="s">
        <v>159</v>
      </c>
      <c r="W68" s="3" t="s">
        <v>159</v>
      </c>
      <c r="X68" s="3" t="s">
        <v>159</v>
      </c>
      <c r="Y68" s="3" t="s">
        <v>159</v>
      </c>
      <c r="Z68" s="3" t="s">
        <v>159</v>
      </c>
      <c r="AA68" s="3" t="s">
        <v>159</v>
      </c>
      <c r="AC68" s="3" t="s">
        <v>159</v>
      </c>
    </row>
    <row r="69" spans="2:29" ht="12.75" customHeight="1">
      <c r="B69" s="2" t="s">
        <v>36</v>
      </c>
      <c r="C69" s="2" t="s">
        <v>73</v>
      </c>
      <c r="D69" s="2" t="s">
        <v>36</v>
      </c>
      <c r="E69" s="2" t="s">
        <v>36</v>
      </c>
      <c r="F69" s="2" t="s">
        <v>73</v>
      </c>
      <c r="G69" s="2" t="s">
        <v>73</v>
      </c>
      <c r="H69" s="2" t="s">
        <v>73</v>
      </c>
      <c r="I69" s="3" t="s">
        <v>73</v>
      </c>
      <c r="J69" s="3" t="s">
        <v>73</v>
      </c>
      <c r="K69" s="3" t="s">
        <v>73</v>
      </c>
      <c r="L69" s="3" t="s">
        <v>73</v>
      </c>
      <c r="N69" s="3" t="s">
        <v>73</v>
      </c>
      <c r="Q69" s="3" t="s">
        <v>84</v>
      </c>
      <c r="W69" s="3" t="s">
        <v>84</v>
      </c>
      <c r="X69" s="3" t="s">
        <v>84</v>
      </c>
      <c r="Y69" s="3" t="s">
        <v>84</v>
      </c>
      <c r="Z69" s="3" t="s">
        <v>84</v>
      </c>
      <c r="AA69" s="3" t="s">
        <v>84</v>
      </c>
      <c r="AC69" s="3" t="s">
        <v>84</v>
      </c>
    </row>
    <row r="70" spans="2:29" ht="12.75" customHeight="1">
      <c r="B70" s="2" t="s">
        <v>72</v>
      </c>
      <c r="C70" s="2" t="s">
        <v>38</v>
      </c>
      <c r="D70" s="2" t="s">
        <v>72</v>
      </c>
      <c r="E70" s="2" t="s">
        <v>72</v>
      </c>
      <c r="F70" s="2" t="s">
        <v>38</v>
      </c>
      <c r="G70" s="2" t="s">
        <v>38</v>
      </c>
      <c r="H70" s="2" t="s">
        <v>38</v>
      </c>
      <c r="I70" s="3" t="s">
        <v>38</v>
      </c>
      <c r="J70" s="3" t="s">
        <v>38</v>
      </c>
      <c r="K70" s="3" t="s">
        <v>38</v>
      </c>
      <c r="L70" s="3" t="s">
        <v>38</v>
      </c>
      <c r="N70" s="3" t="s">
        <v>38</v>
      </c>
      <c r="Q70" s="3" t="s">
        <v>160</v>
      </c>
      <c r="W70" s="3" t="s">
        <v>160</v>
      </c>
      <c r="X70" s="3" t="s">
        <v>160</v>
      </c>
      <c r="Y70" s="3" t="s">
        <v>160</v>
      </c>
      <c r="Z70" s="3" t="s">
        <v>160</v>
      </c>
      <c r="AA70" s="3" t="s">
        <v>160</v>
      </c>
      <c r="AC70" s="3" t="s">
        <v>160</v>
      </c>
    </row>
    <row r="71" spans="2:29" ht="12.75" customHeight="1">
      <c r="B71" s="2" t="s">
        <v>73</v>
      </c>
      <c r="C71" s="2" t="s">
        <v>41</v>
      </c>
      <c r="D71" s="2" t="s">
        <v>73</v>
      </c>
      <c r="E71" s="2" t="s">
        <v>73</v>
      </c>
      <c r="F71" s="2" t="s">
        <v>41</v>
      </c>
      <c r="G71" s="2" t="s">
        <v>41</v>
      </c>
      <c r="H71" s="2" t="s">
        <v>41</v>
      </c>
      <c r="I71" s="3" t="s">
        <v>41</v>
      </c>
      <c r="J71" s="3" t="s">
        <v>41</v>
      </c>
      <c r="K71" s="3" t="s">
        <v>41</v>
      </c>
      <c r="L71" s="3" t="s">
        <v>41</v>
      </c>
      <c r="N71" s="3" t="s">
        <v>41</v>
      </c>
      <c r="Q71" s="3" t="s">
        <v>161</v>
      </c>
      <c r="W71" s="3" t="s">
        <v>191</v>
      </c>
      <c r="X71" s="3" t="s">
        <v>191</v>
      </c>
      <c r="Y71" s="3" t="s">
        <v>191</v>
      </c>
      <c r="Z71" s="3" t="s">
        <v>191</v>
      </c>
      <c r="AA71" s="3" t="s">
        <v>191</v>
      </c>
      <c r="AC71" s="3" t="s">
        <v>191</v>
      </c>
    </row>
    <row r="72" spans="2:29">
      <c r="B72" s="2" t="s">
        <v>37</v>
      </c>
      <c r="C72" s="2" t="s">
        <v>8</v>
      </c>
      <c r="D72" s="2" t="s">
        <v>37</v>
      </c>
      <c r="E72" s="2" t="s">
        <v>37</v>
      </c>
      <c r="F72" s="2" t="s">
        <v>11</v>
      </c>
      <c r="G72" s="2" t="s">
        <v>64</v>
      </c>
      <c r="H72" s="2" t="s">
        <v>12</v>
      </c>
      <c r="I72" s="3" t="s">
        <v>65</v>
      </c>
      <c r="J72" s="3" t="s">
        <v>51</v>
      </c>
      <c r="K72" s="3" t="s">
        <v>79</v>
      </c>
      <c r="L72" s="3" t="s">
        <v>108</v>
      </c>
      <c r="N72" s="3" t="s">
        <v>147</v>
      </c>
      <c r="Q72" s="3" t="s">
        <v>162</v>
      </c>
      <c r="W72" s="3" t="s">
        <v>192</v>
      </c>
      <c r="X72" s="3" t="s">
        <v>192</v>
      </c>
      <c r="Y72" s="3" t="s">
        <v>192</v>
      </c>
      <c r="Z72" s="3" t="s">
        <v>192</v>
      </c>
      <c r="AA72" s="3" t="s">
        <v>192</v>
      </c>
      <c r="AC72" s="3" t="s">
        <v>192</v>
      </c>
    </row>
    <row r="73" spans="2:29">
      <c r="B73" s="2" t="s">
        <v>43</v>
      </c>
      <c r="D73" s="2" t="s">
        <v>44</v>
      </c>
      <c r="E73" s="2" t="s">
        <v>45</v>
      </c>
      <c r="Q73" s="3" t="s">
        <v>163</v>
      </c>
      <c r="W73" s="3" t="s">
        <v>194</v>
      </c>
      <c r="X73" s="3" t="s">
        <v>194</v>
      </c>
      <c r="Y73" s="3" t="s">
        <v>194</v>
      </c>
      <c r="Z73" s="3" t="s">
        <v>194</v>
      </c>
      <c r="AA73" s="3" t="s">
        <v>194</v>
      </c>
      <c r="AC73" s="3" t="s">
        <v>194</v>
      </c>
    </row>
    <row r="74" spans="2:29">
      <c r="D74" s="2"/>
      <c r="E74" s="2"/>
      <c r="Q74" s="3" t="s">
        <v>164</v>
      </c>
      <c r="W74" s="3" t="s">
        <v>193</v>
      </c>
      <c r="X74" s="3" t="s">
        <v>206</v>
      </c>
      <c r="Y74" s="3" t="s">
        <v>207</v>
      </c>
      <c r="Z74" s="3" t="s">
        <v>209</v>
      </c>
      <c r="AA74" s="3" t="s">
        <v>211</v>
      </c>
      <c r="AC74" s="3" t="s">
        <v>223</v>
      </c>
    </row>
    <row r="75" spans="2:29">
      <c r="Q75" s="3" t="s">
        <v>165</v>
      </c>
      <c r="W75" s="3" t="s">
        <v>165</v>
      </c>
      <c r="X75" s="3" t="s">
        <v>165</v>
      </c>
      <c r="Y75" s="3" t="s">
        <v>165</v>
      </c>
      <c r="Z75" s="3" t="s">
        <v>165</v>
      </c>
      <c r="AA75" s="3" t="s">
        <v>165</v>
      </c>
      <c r="AC75" s="3" t="s">
        <v>165</v>
      </c>
    </row>
    <row r="84" spans="2:8">
      <c r="B84" s="9"/>
      <c r="C84" s="9"/>
      <c r="D84" s="9"/>
      <c r="E84" s="9"/>
      <c r="F84" s="9"/>
      <c r="G84" s="9"/>
      <c r="H84" s="9"/>
    </row>
    <row r="85" spans="2:8">
      <c r="B85" s="9"/>
      <c r="C85" s="9"/>
      <c r="D85" s="9"/>
      <c r="E85" s="9"/>
      <c r="F85" s="9"/>
      <c r="G85" s="9"/>
      <c r="H85" s="9"/>
    </row>
    <row r="86" spans="2:8">
      <c r="B86" s="9"/>
      <c r="C86" s="9"/>
      <c r="D86" s="9"/>
      <c r="E86" s="9"/>
      <c r="F86" s="9"/>
      <c r="G86" s="9"/>
      <c r="H86" s="9"/>
    </row>
    <row r="87" spans="2:8">
      <c r="B87" s="9"/>
      <c r="C87" s="9"/>
      <c r="D87" s="9"/>
      <c r="E87" s="9"/>
      <c r="F87" s="9"/>
      <c r="G87" s="9"/>
      <c r="H87" s="9"/>
    </row>
    <row r="88" spans="2:8">
      <c r="B88" s="9"/>
      <c r="C88" s="9"/>
      <c r="D88" s="9"/>
      <c r="E88" s="9"/>
      <c r="F88" s="9"/>
      <c r="G88" s="9"/>
      <c r="H88" s="9"/>
    </row>
    <row r="89" spans="2:8">
      <c r="B89" s="9"/>
      <c r="C89" s="9"/>
      <c r="D89" s="9"/>
      <c r="E89" s="9"/>
      <c r="F89" s="9"/>
      <c r="G89" s="9"/>
      <c r="H89" s="9"/>
    </row>
    <row r="90" spans="2:8">
      <c r="B90" s="9"/>
      <c r="C90" s="9"/>
      <c r="D90" s="9"/>
      <c r="E90" s="9"/>
      <c r="F90" s="9"/>
      <c r="G90" s="9"/>
      <c r="H90" s="9"/>
    </row>
    <row r="91" spans="2:8">
      <c r="B91" s="9"/>
      <c r="C91" s="9"/>
      <c r="D91" s="9"/>
      <c r="E91" s="9"/>
      <c r="F91" s="9"/>
      <c r="G91" s="9"/>
      <c r="H91" s="9"/>
    </row>
    <row r="92" spans="2:8">
      <c r="B92" s="9"/>
      <c r="C92" s="9"/>
      <c r="D92" s="9"/>
      <c r="E92" s="9"/>
      <c r="F92" s="9"/>
      <c r="G92" s="9"/>
      <c r="H92" s="9"/>
    </row>
    <row r="93" spans="2:8">
      <c r="B93" s="9"/>
      <c r="C93" s="9"/>
      <c r="D93" s="9"/>
      <c r="E93" s="9"/>
      <c r="F93" s="9"/>
      <c r="G93" s="9"/>
      <c r="H93" s="9"/>
    </row>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12" ht="9.9499999999999993" customHeight="1"/>
    <row r="113" ht="9.9499999999999993" customHeight="1"/>
    <row r="114" ht="9.9499999999999993" customHeight="1"/>
    <row r="115" ht="9.9499999999999993" customHeight="1"/>
    <row r="116" ht="12" customHeight="1"/>
    <row r="117" ht="9.9499999999999993" customHeight="1"/>
    <row r="143" ht="9.9499999999999993" customHeight="1"/>
    <row r="144" ht="9.9499999999999993" customHeight="1"/>
    <row r="145" ht="9.9499999999999993" customHeight="1"/>
    <row r="146" ht="9.9499999999999993" customHeight="1"/>
    <row r="147" ht="9.9499999999999993" customHeight="1"/>
    <row r="148" ht="12" customHeight="1"/>
    <row r="149" ht="9.9499999999999993" customHeight="1"/>
    <row r="150" ht="9.9499999999999993" customHeight="1"/>
    <row r="151" ht="9.9499999999999993" customHeight="1"/>
    <row r="152" ht="9.9499999999999993" customHeight="1"/>
    <row r="153" ht="12" customHeight="1"/>
    <row r="154" ht="9.9499999999999993" customHeight="1"/>
    <row r="155" ht="9.9499999999999993" customHeight="1"/>
    <row r="156" ht="9.9499999999999993" customHeight="1"/>
    <row r="157" ht="9.9499999999999993" customHeight="1"/>
    <row r="178" ht="12" customHeight="1"/>
    <row r="179" ht="9.9499999999999993" customHeight="1"/>
    <row r="205" ht="9.9499999999999993" customHeight="1"/>
    <row r="206" ht="9.9499999999999993" customHeight="1"/>
    <row r="207" ht="9.9499999999999993" customHeight="1"/>
    <row r="208" ht="12" customHeight="1"/>
    <row r="209" ht="9.9499999999999993" customHeight="1"/>
    <row r="210" ht="9.9499999999999993" customHeight="1"/>
    <row r="211" ht="9.9499999999999993" customHeight="1"/>
    <row r="212" ht="9.9499999999999993" customHeight="1"/>
    <row r="213" ht="9.9499999999999993" customHeight="1"/>
    <row r="214" ht="9.9499999999999993" customHeight="1"/>
  </sheetData>
  <mergeCells count="3">
    <mergeCell ref="BD2:BF2"/>
    <mergeCell ref="AR2:AT2"/>
    <mergeCell ref="AF2:AH2"/>
  </mergeCells>
  <phoneticPr fontId="11" type="noConversion"/>
  <hyperlinks>
    <hyperlink ref="Q75" r:id="rId1" display="www.nces.ed.gov" xr:uid="{00000000-0004-0000-0500-000000000000}"/>
    <hyperlink ref="W75" r:id="rId2" display="www.nces.ed.gov" xr:uid="{00000000-0004-0000-0500-000001000000}"/>
    <hyperlink ref="Y75" r:id="rId3" display="www.nces.ed.gov" xr:uid="{00000000-0004-0000-0500-000002000000}"/>
    <hyperlink ref="X75" r:id="rId4" display="www.nces.ed.gov" xr:uid="{00000000-0004-0000-0500-000003000000}"/>
    <hyperlink ref="Z75" r:id="rId5" display="www.nces.ed.gov" xr:uid="{00000000-0004-0000-0500-000004000000}"/>
    <hyperlink ref="AA75" r:id="rId6" display="www.nces.ed.gov" xr:uid="{00000000-0004-0000-0500-000005000000}"/>
    <hyperlink ref="AC75" r:id="rId7" display="www.nces.ed.gov" xr:uid="{00000000-0004-0000-0500-000006000000}"/>
  </hyperlinks>
  <pageMargins left="0.75" right="0.75" top="1" bottom="1" header="0.5" footer="0.5"/>
  <pageSetup orientation="portrait" r:id="rId8"/>
  <headerFooter alignWithMargins="0"/>
  <drawing r:id="rId9"/>
  <legacyDrawing r:id="rId1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BG215"/>
  <sheetViews>
    <sheetView zoomScale="80" zoomScaleNormal="80" workbookViewId="0">
      <pane xSplit="1" ySplit="3" topLeftCell="B4" activePane="bottomRight" state="frozen"/>
      <selection pane="topRight" activeCell="B1" sqref="B1"/>
      <selection pane="bottomLeft" activeCell="A4" sqref="A4"/>
      <selection pane="bottomRight" activeCell="BG11" sqref="BG11"/>
    </sheetView>
  </sheetViews>
  <sheetFormatPr defaultColWidth="9.7109375" defaultRowHeight="12.75"/>
  <cols>
    <col min="1" max="1" width="20.140625" style="1" customWidth="1"/>
    <col min="2" max="23" width="8.28515625" style="1" customWidth="1"/>
    <col min="24" max="30" width="8.42578125" style="1" customWidth="1"/>
    <col min="31" max="53" width="8.28515625" style="1" customWidth="1"/>
    <col min="54" max="16384" width="9.7109375" style="1"/>
  </cols>
  <sheetData>
    <row r="1" spans="1:59">
      <c r="A1" s="4" t="s">
        <v>220</v>
      </c>
    </row>
    <row r="2" spans="1:59">
      <c r="B2" s="161" t="s">
        <v>75</v>
      </c>
      <c r="C2" s="160" t="s">
        <v>200</v>
      </c>
      <c r="D2" s="160" t="s">
        <v>200</v>
      </c>
      <c r="E2" s="160" t="s">
        <v>200</v>
      </c>
      <c r="F2" s="160" t="s">
        <v>200</v>
      </c>
      <c r="G2" s="160" t="s">
        <v>200</v>
      </c>
      <c r="H2" s="160" t="s">
        <v>200</v>
      </c>
      <c r="I2" s="160" t="s">
        <v>200</v>
      </c>
      <c r="J2" s="160" t="s">
        <v>200</v>
      </c>
      <c r="K2" s="160" t="s">
        <v>200</v>
      </c>
      <c r="L2" s="160" t="s">
        <v>200</v>
      </c>
      <c r="M2" s="160" t="s">
        <v>200</v>
      </c>
      <c r="N2" s="160" t="s">
        <v>200</v>
      </c>
      <c r="O2" s="160" t="s">
        <v>200</v>
      </c>
      <c r="P2" s="160" t="s">
        <v>200</v>
      </c>
      <c r="Q2" s="160" t="s">
        <v>200</v>
      </c>
      <c r="R2" s="160" t="s">
        <v>200</v>
      </c>
      <c r="S2" s="160" t="s">
        <v>200</v>
      </c>
      <c r="T2" s="160" t="s">
        <v>200</v>
      </c>
      <c r="U2" s="160" t="s">
        <v>200</v>
      </c>
      <c r="V2" s="160" t="s">
        <v>200</v>
      </c>
      <c r="W2" s="160" t="s">
        <v>200</v>
      </c>
      <c r="X2" s="160" t="s">
        <v>200</v>
      </c>
      <c r="Y2" s="160" t="s">
        <v>200</v>
      </c>
      <c r="Z2" s="160" t="s">
        <v>200</v>
      </c>
      <c r="AA2" s="160" t="s">
        <v>200</v>
      </c>
      <c r="AB2" s="160" t="s">
        <v>200</v>
      </c>
      <c r="AC2" s="160" t="s">
        <v>200</v>
      </c>
      <c r="AD2" s="160" t="s">
        <v>200</v>
      </c>
      <c r="AE2" s="162" t="s">
        <v>78</v>
      </c>
      <c r="AF2" s="160" t="s">
        <v>201</v>
      </c>
      <c r="AG2" s="160" t="s">
        <v>201</v>
      </c>
      <c r="AH2" s="160" t="s">
        <v>201</v>
      </c>
      <c r="AI2" s="160" t="s">
        <v>201</v>
      </c>
      <c r="AJ2" s="160" t="s">
        <v>201</v>
      </c>
      <c r="AK2" s="160" t="s">
        <v>201</v>
      </c>
      <c r="AL2" s="160" t="s">
        <v>201</v>
      </c>
      <c r="AM2" s="160" t="s">
        <v>201</v>
      </c>
      <c r="AN2" s="160" t="s">
        <v>201</v>
      </c>
      <c r="AO2" s="160" t="s">
        <v>201</v>
      </c>
      <c r="AP2" s="160" t="s">
        <v>201</v>
      </c>
      <c r="AQ2" s="160" t="s">
        <v>201</v>
      </c>
      <c r="AR2" s="160" t="s">
        <v>201</v>
      </c>
      <c r="AS2" s="160" t="s">
        <v>201</v>
      </c>
      <c r="AT2" s="160" t="s">
        <v>201</v>
      </c>
      <c r="AU2" s="160" t="s">
        <v>201</v>
      </c>
      <c r="AV2" s="160" t="s">
        <v>201</v>
      </c>
      <c r="AW2" s="160" t="s">
        <v>201</v>
      </c>
      <c r="AX2" s="160" t="s">
        <v>201</v>
      </c>
      <c r="AY2" s="160" t="s">
        <v>201</v>
      </c>
      <c r="AZ2" s="160" t="s">
        <v>201</v>
      </c>
      <c r="BA2" s="160" t="s">
        <v>201</v>
      </c>
      <c r="BB2" s="160" t="s">
        <v>201</v>
      </c>
      <c r="BC2" s="160" t="s">
        <v>201</v>
      </c>
      <c r="BD2" s="160" t="s">
        <v>201</v>
      </c>
      <c r="BE2" s="160" t="s">
        <v>201</v>
      </c>
      <c r="BF2" s="160" t="s">
        <v>201</v>
      </c>
      <c r="BG2" s="160" t="s">
        <v>201</v>
      </c>
    </row>
    <row r="3" spans="1:59" s="4" customFormat="1">
      <c r="A3" s="75"/>
      <c r="B3" s="107" t="s">
        <v>8</v>
      </c>
      <c r="C3" s="107" t="s">
        <v>9</v>
      </c>
      <c r="D3" s="107" t="s">
        <v>10</v>
      </c>
      <c r="E3" s="107" t="s">
        <v>11</v>
      </c>
      <c r="F3" s="107" t="s">
        <v>64</v>
      </c>
      <c r="G3" s="107" t="s">
        <v>12</v>
      </c>
      <c r="H3" s="107" t="s">
        <v>65</v>
      </c>
      <c r="I3" s="107" t="s">
        <v>51</v>
      </c>
      <c r="J3" s="107" t="s">
        <v>79</v>
      </c>
      <c r="K3" s="107" t="s">
        <v>108</v>
      </c>
      <c r="L3" s="107" t="s">
        <v>146</v>
      </c>
      <c r="M3" s="107" t="s">
        <v>147</v>
      </c>
      <c r="N3" s="107" t="s">
        <v>170</v>
      </c>
      <c r="O3" s="107" t="s">
        <v>171</v>
      </c>
      <c r="P3" s="107" t="s">
        <v>156</v>
      </c>
      <c r="Q3" s="107" t="s">
        <v>168</v>
      </c>
      <c r="R3" s="107" t="s">
        <v>169</v>
      </c>
      <c r="S3" s="107" t="s">
        <v>180</v>
      </c>
      <c r="T3" s="107" t="s">
        <v>182</v>
      </c>
      <c r="U3" s="107" t="s">
        <v>184</v>
      </c>
      <c r="V3" s="55" t="s">
        <v>190</v>
      </c>
      <c r="W3" s="55" t="s">
        <v>204</v>
      </c>
      <c r="X3" s="55" t="s">
        <v>205</v>
      </c>
      <c r="Y3" s="202" t="s">
        <v>208</v>
      </c>
      <c r="Z3" s="202" t="s">
        <v>210</v>
      </c>
      <c r="AA3" s="202" t="s">
        <v>221</v>
      </c>
      <c r="AB3" s="202" t="s">
        <v>222</v>
      </c>
      <c r="AC3" s="189" t="s">
        <v>225</v>
      </c>
      <c r="AD3" s="189" t="s">
        <v>226</v>
      </c>
      <c r="AE3" s="106" t="s">
        <v>8</v>
      </c>
      <c r="AF3" s="107" t="s">
        <v>9</v>
      </c>
      <c r="AG3" s="107" t="s">
        <v>10</v>
      </c>
      <c r="AH3" s="107" t="s">
        <v>11</v>
      </c>
      <c r="AI3" s="107" t="s">
        <v>64</v>
      </c>
      <c r="AJ3" s="107" t="s">
        <v>12</v>
      </c>
      <c r="AK3" s="107" t="s">
        <v>65</v>
      </c>
      <c r="AL3" s="107" t="s">
        <v>51</v>
      </c>
      <c r="AM3" s="107" t="s">
        <v>79</v>
      </c>
      <c r="AN3" s="107" t="s">
        <v>108</v>
      </c>
      <c r="AO3" s="107" t="s">
        <v>146</v>
      </c>
      <c r="AP3" s="107" t="s">
        <v>147</v>
      </c>
      <c r="AQ3" s="107" t="s">
        <v>170</v>
      </c>
      <c r="AR3" s="107" t="s">
        <v>171</v>
      </c>
      <c r="AS3" s="107" t="s">
        <v>156</v>
      </c>
      <c r="AT3" s="107" t="s">
        <v>168</v>
      </c>
      <c r="AU3" s="107" t="s">
        <v>169</v>
      </c>
      <c r="AV3" s="107" t="s">
        <v>180</v>
      </c>
      <c r="AW3" s="107" t="s">
        <v>182</v>
      </c>
      <c r="AX3" s="107" t="s">
        <v>184</v>
      </c>
      <c r="AY3" s="55" t="s">
        <v>190</v>
      </c>
      <c r="AZ3" s="55" t="s">
        <v>204</v>
      </c>
      <c r="BA3" s="107" t="s">
        <v>205</v>
      </c>
      <c r="BB3" s="4" t="s">
        <v>208</v>
      </c>
      <c r="BC3" s="4" t="s">
        <v>210</v>
      </c>
      <c r="BD3" s="4" t="s">
        <v>221</v>
      </c>
      <c r="BE3" s="4" t="s">
        <v>222</v>
      </c>
      <c r="BF3" s="188" t="s">
        <v>225</v>
      </c>
      <c r="BG3" s="188" t="s">
        <v>226</v>
      </c>
    </row>
    <row r="4" spans="1:59" s="6" customFormat="1">
      <c r="A4" s="56" t="s">
        <v>188</v>
      </c>
      <c r="B4" s="56">
        <f>B5+B23+B38+B52+B63</f>
        <v>18467</v>
      </c>
      <c r="C4" s="56">
        <f>17858+5617</f>
        <v>23475</v>
      </c>
      <c r="D4" s="56">
        <f>18528+6041</f>
        <v>24569</v>
      </c>
      <c r="E4" s="56">
        <f t="shared" ref="E4:K4" si="0">E5+E23+E38+E52+E63</f>
        <v>26118</v>
      </c>
      <c r="F4" s="56">
        <f t="shared" si="0"/>
        <v>29019</v>
      </c>
      <c r="G4" s="56">
        <f t="shared" si="0"/>
        <v>31800</v>
      </c>
      <c r="H4" s="56">
        <f t="shared" si="0"/>
        <v>34165</v>
      </c>
      <c r="I4" s="56">
        <f t="shared" si="0"/>
        <v>37430</v>
      </c>
      <c r="J4" s="56">
        <f t="shared" si="0"/>
        <v>42568</v>
      </c>
      <c r="K4" s="56">
        <f t="shared" si="0"/>
        <v>44758</v>
      </c>
      <c r="L4" s="56">
        <f>SUM(L7:L56)</f>
        <v>0</v>
      </c>
      <c r="M4" s="56">
        <f>M5+M23+M38+M52+M63</f>
        <v>49945</v>
      </c>
      <c r="N4" s="56">
        <f>SUM(N7:N56)</f>
        <v>0</v>
      </c>
      <c r="O4" s="56">
        <f>SUM(O7:O56)</f>
        <v>0</v>
      </c>
      <c r="P4" s="56">
        <f t="shared" ref="P4:AE4" si="1">P5+P23+P38+P52+P63</f>
        <v>62862</v>
      </c>
      <c r="Q4" s="56">
        <f t="shared" si="1"/>
        <v>68281</v>
      </c>
      <c r="R4" s="56">
        <f t="shared" si="1"/>
        <v>73792</v>
      </c>
      <c r="S4" s="56">
        <f t="shared" si="1"/>
        <v>75629</v>
      </c>
      <c r="T4" s="56">
        <f t="shared" si="1"/>
        <v>80191</v>
      </c>
      <c r="U4" s="56">
        <f t="shared" si="1"/>
        <v>85122</v>
      </c>
      <c r="V4" s="56">
        <f t="shared" si="1"/>
        <v>91131</v>
      </c>
      <c r="W4" s="56">
        <f t="shared" si="1"/>
        <v>103754</v>
      </c>
      <c r="X4" s="56">
        <f t="shared" si="1"/>
        <v>113129</v>
      </c>
      <c r="Y4" s="56">
        <f t="shared" ref="Y4:Z4" si="2">Y5+Y23+Y38+Y52+Y63</f>
        <v>139656</v>
      </c>
      <c r="Z4" s="56">
        <f t="shared" si="2"/>
        <v>148010</v>
      </c>
      <c r="AA4" s="56">
        <f t="shared" ref="AA4:AB4" si="3">AA5+AA23+AA38+AA52+AA63</f>
        <v>0</v>
      </c>
      <c r="AB4" s="56">
        <f t="shared" si="3"/>
        <v>170979</v>
      </c>
      <c r="AC4" s="56">
        <f t="shared" ref="AC4:AD4" si="4">AC5+AC23+AC38+AC52+AC63</f>
        <v>187121</v>
      </c>
      <c r="AD4" s="56">
        <f t="shared" si="4"/>
        <v>200843</v>
      </c>
      <c r="AE4" s="80">
        <f t="shared" si="1"/>
        <v>4472</v>
      </c>
      <c r="AF4" s="56">
        <f>4602+1367</f>
        <v>5969</v>
      </c>
      <c r="AG4" s="56">
        <f>4552+1385</f>
        <v>5937</v>
      </c>
      <c r="AH4" s="56">
        <f t="shared" ref="AH4:AN4" si="5">AH5+AH23+AH38+AH52+AH63</f>
        <v>7989</v>
      </c>
      <c r="AI4" s="56">
        <f t="shared" si="5"/>
        <v>8981</v>
      </c>
      <c r="AJ4" s="56">
        <f t="shared" si="5"/>
        <v>10140</v>
      </c>
      <c r="AK4" s="56">
        <f t="shared" si="5"/>
        <v>9683</v>
      </c>
      <c r="AL4" s="56">
        <f t="shared" si="5"/>
        <v>10131</v>
      </c>
      <c r="AM4" s="56">
        <f t="shared" si="5"/>
        <v>10764</v>
      </c>
      <c r="AN4" s="56">
        <f t="shared" si="5"/>
        <v>12362</v>
      </c>
      <c r="AO4" s="56">
        <f>SUM(AO7:AO56)</f>
        <v>0</v>
      </c>
      <c r="AP4" s="56">
        <f>AP5+AP23+AP38+AP52+AP63</f>
        <v>10088</v>
      </c>
      <c r="AQ4" s="56">
        <f>SUM(AQ7:AQ56)</f>
        <v>0</v>
      </c>
      <c r="AR4" s="56">
        <f>SUM(AR7:AR56)</f>
        <v>0</v>
      </c>
      <c r="AS4" s="56">
        <f t="shared" ref="AS4:BA4" si="6">AS5+AS23+AS38+AS52+AS63</f>
        <v>13432</v>
      </c>
      <c r="AT4" s="56">
        <f t="shared" si="6"/>
        <v>14527</v>
      </c>
      <c r="AU4" s="56">
        <f t="shared" si="6"/>
        <v>14080</v>
      </c>
      <c r="AV4" s="56">
        <f t="shared" si="6"/>
        <v>13288</v>
      </c>
      <c r="AW4" s="56">
        <f t="shared" si="6"/>
        <v>13754</v>
      </c>
      <c r="AX4" s="56">
        <f t="shared" si="6"/>
        <v>14417</v>
      </c>
      <c r="AY4" s="56">
        <f t="shared" si="6"/>
        <v>15184</v>
      </c>
      <c r="AZ4" s="56">
        <f t="shared" si="6"/>
        <v>16091</v>
      </c>
      <c r="BA4" s="56">
        <f t="shared" si="6"/>
        <v>16121</v>
      </c>
      <c r="BB4" s="56">
        <f t="shared" ref="BB4:BC4" si="7">BB5+BB23+BB38+BB52+BB63</f>
        <v>17021</v>
      </c>
      <c r="BC4" s="56">
        <f t="shared" si="7"/>
        <v>16799</v>
      </c>
      <c r="BD4" s="56">
        <f t="shared" ref="BD4:BE4" si="8">BD5+BD23+BD38+BD52+BD63</f>
        <v>0</v>
      </c>
      <c r="BE4" s="56">
        <f t="shared" si="8"/>
        <v>17909</v>
      </c>
      <c r="BF4" s="56">
        <f t="shared" ref="BF4:BG4" si="9">BF5+BF23+BF38+BF52+BF63</f>
        <v>19349</v>
      </c>
      <c r="BG4" s="56">
        <f t="shared" si="9"/>
        <v>20890</v>
      </c>
    </row>
    <row r="5" spans="1:59" s="6" customFormat="1">
      <c r="A5" s="122" t="s">
        <v>70</v>
      </c>
      <c r="B5" s="122">
        <f>SUM(B7:B22)</f>
        <v>7127</v>
      </c>
      <c r="C5" s="122">
        <f>SUM(C7:C22)</f>
        <v>7443</v>
      </c>
      <c r="D5" s="122">
        <f>SUM(D7:D22)</f>
        <v>7964</v>
      </c>
      <c r="E5" s="122">
        <f t="shared" ref="E5:K5" si="10">SUM(E7:E22)</f>
        <v>8781</v>
      </c>
      <c r="F5" s="122">
        <f t="shared" si="10"/>
        <v>9521</v>
      </c>
      <c r="G5" s="122">
        <f t="shared" si="10"/>
        <v>10043</v>
      </c>
      <c r="H5" s="122">
        <f t="shared" si="10"/>
        <v>10368</v>
      </c>
      <c r="I5" s="122">
        <f t="shared" si="10"/>
        <v>11358</v>
      </c>
      <c r="J5" s="122">
        <f t="shared" si="10"/>
        <v>12797</v>
      </c>
      <c r="K5" s="122">
        <f t="shared" si="10"/>
        <v>13580</v>
      </c>
      <c r="L5" s="122">
        <f t="shared" ref="L5:AG5" si="11">SUM(L7:L22)</f>
        <v>0</v>
      </c>
      <c r="M5" s="122">
        <f t="shared" si="11"/>
        <v>14673</v>
      </c>
      <c r="N5" s="122">
        <f t="shared" si="11"/>
        <v>0</v>
      </c>
      <c r="O5" s="122">
        <f t="shared" si="11"/>
        <v>0</v>
      </c>
      <c r="P5" s="122">
        <f t="shared" si="11"/>
        <v>19628</v>
      </c>
      <c r="Q5" s="122">
        <f t="shared" si="11"/>
        <v>22951</v>
      </c>
      <c r="R5" s="122">
        <f t="shared" si="11"/>
        <v>25543</v>
      </c>
      <c r="S5" s="122">
        <f t="shared" ref="S5" si="12">SUM(S7:S22)</f>
        <v>26855</v>
      </c>
      <c r="T5" s="122">
        <f t="shared" si="11"/>
        <v>28141</v>
      </c>
      <c r="U5" s="122">
        <f t="shared" si="11"/>
        <v>30552</v>
      </c>
      <c r="V5" s="122">
        <f t="shared" si="11"/>
        <v>33392</v>
      </c>
      <c r="W5" s="122">
        <f t="shared" ref="W5:X5" si="13">SUM(W7:W22)</f>
        <v>39977</v>
      </c>
      <c r="X5" s="122">
        <f t="shared" si="13"/>
        <v>43592</v>
      </c>
      <c r="Y5" s="122">
        <f t="shared" ref="Y5:Z5" si="14">SUM(Y7:Y22)</f>
        <v>55024</v>
      </c>
      <c r="Z5" s="122">
        <f t="shared" si="14"/>
        <v>55827</v>
      </c>
      <c r="AA5" s="122">
        <f t="shared" ref="AA5:AB5" si="15">SUM(AA7:AA22)</f>
        <v>0</v>
      </c>
      <c r="AB5" s="122">
        <f t="shared" si="15"/>
        <v>62476</v>
      </c>
      <c r="AC5" s="122">
        <f t="shared" ref="AC5:AD5" si="16">SUM(AC7:AC22)</f>
        <v>68229</v>
      </c>
      <c r="AD5" s="122">
        <f t="shared" si="16"/>
        <v>73542</v>
      </c>
      <c r="AE5" s="163">
        <f t="shared" si="11"/>
        <v>1636</v>
      </c>
      <c r="AF5" s="122">
        <f t="shared" si="11"/>
        <v>1858</v>
      </c>
      <c r="AG5" s="122">
        <f t="shared" si="11"/>
        <v>1816</v>
      </c>
      <c r="AH5" s="122">
        <f t="shared" ref="AH5:AN5" si="17">SUM(AH7:AH22)</f>
        <v>1656</v>
      </c>
      <c r="AI5" s="122">
        <f t="shared" si="17"/>
        <v>1737</v>
      </c>
      <c r="AJ5" s="122">
        <f t="shared" si="17"/>
        <v>2407</v>
      </c>
      <c r="AK5" s="122">
        <f t="shared" si="17"/>
        <v>1641</v>
      </c>
      <c r="AL5" s="122">
        <f t="shared" si="17"/>
        <v>1773</v>
      </c>
      <c r="AM5" s="122">
        <f t="shared" si="17"/>
        <v>2053</v>
      </c>
      <c r="AN5" s="122">
        <f t="shared" si="17"/>
        <v>2608</v>
      </c>
      <c r="AO5" s="122">
        <f t="shared" ref="AO5:AY5" si="18">SUM(AO7:AO22)</f>
        <v>0</v>
      </c>
      <c r="AP5" s="122">
        <f t="shared" si="18"/>
        <v>2296</v>
      </c>
      <c r="AQ5" s="122">
        <f t="shared" si="18"/>
        <v>0</v>
      </c>
      <c r="AR5" s="122">
        <f t="shared" si="18"/>
        <v>0</v>
      </c>
      <c r="AS5" s="122">
        <f t="shared" si="18"/>
        <v>3407</v>
      </c>
      <c r="AT5" s="122">
        <f t="shared" si="18"/>
        <v>3852</v>
      </c>
      <c r="AU5" s="122">
        <f t="shared" si="18"/>
        <v>3837</v>
      </c>
      <c r="AV5" s="122">
        <f t="shared" ref="AV5" si="19">SUM(AV7:AV22)</f>
        <v>3824</v>
      </c>
      <c r="AW5" s="122">
        <f t="shared" si="18"/>
        <v>3671</v>
      </c>
      <c r="AX5" s="122">
        <f t="shared" si="18"/>
        <v>4254</v>
      </c>
      <c r="AY5" s="122">
        <f t="shared" si="18"/>
        <v>4443</v>
      </c>
      <c r="AZ5" s="122">
        <f t="shared" ref="AZ5:BA5" si="20">SUM(AZ7:AZ22)</f>
        <v>4736</v>
      </c>
      <c r="BA5" s="122">
        <f t="shared" si="20"/>
        <v>5267</v>
      </c>
      <c r="BB5" s="122">
        <f t="shared" ref="BB5:BC5" si="21">SUM(BB7:BB22)</f>
        <v>5254</v>
      </c>
      <c r="BC5" s="122">
        <f t="shared" si="21"/>
        <v>4838</v>
      </c>
      <c r="BD5" s="122">
        <f t="shared" ref="BD5:BE5" si="22">SUM(BD7:BD22)</f>
        <v>0</v>
      </c>
      <c r="BE5" s="122">
        <f t="shared" si="22"/>
        <v>5336</v>
      </c>
      <c r="BF5" s="122">
        <f t="shared" ref="BF5:BG5" si="23">SUM(BF7:BF22)</f>
        <v>6077</v>
      </c>
      <c r="BG5" s="122">
        <f t="shared" si="23"/>
        <v>7163</v>
      </c>
    </row>
    <row r="6" spans="1:59">
      <c r="A6" s="58" t="s">
        <v>189</v>
      </c>
      <c r="B6" s="58">
        <f>(B5/B4)*100</f>
        <v>38.593166188335957</v>
      </c>
      <c r="C6" s="58">
        <f>C5/C4</f>
        <v>0.31706070287539934</v>
      </c>
      <c r="D6" s="58">
        <f>D5/D4</f>
        <v>0.32414831698481827</v>
      </c>
      <c r="E6" s="58">
        <f t="shared" ref="E6:K6" si="24">(E5/E4)*100</f>
        <v>33.620491614978178</v>
      </c>
      <c r="F6" s="58">
        <f t="shared" si="24"/>
        <v>32.809538578172919</v>
      </c>
      <c r="G6" s="58">
        <f t="shared" si="24"/>
        <v>31.581761006289312</v>
      </c>
      <c r="H6" s="58">
        <f t="shared" si="24"/>
        <v>30.346846187618908</v>
      </c>
      <c r="I6" s="58">
        <f t="shared" si="24"/>
        <v>30.344643334223885</v>
      </c>
      <c r="J6" s="58">
        <f t="shared" si="24"/>
        <v>30.062488254087576</v>
      </c>
      <c r="K6" s="58">
        <f t="shared" si="24"/>
        <v>30.340944635595875</v>
      </c>
      <c r="L6" s="58" t="e">
        <f>L5/L4</f>
        <v>#DIV/0!</v>
      </c>
      <c r="M6" s="58">
        <f>(M5/M4)*100</f>
        <v>29.37831614776254</v>
      </c>
      <c r="N6" s="58" t="e">
        <f>N5/N4</f>
        <v>#DIV/0!</v>
      </c>
      <c r="O6" s="58" t="e">
        <f>O5/O4</f>
        <v>#DIV/0!</v>
      </c>
      <c r="P6" s="58">
        <f t="shared" ref="P6:AE6" si="25">(P5/P4)*100</f>
        <v>31.223950876523176</v>
      </c>
      <c r="Q6" s="58">
        <f t="shared" si="25"/>
        <v>33.612571579209444</v>
      </c>
      <c r="R6" s="58">
        <f t="shared" si="25"/>
        <v>34.61486339982654</v>
      </c>
      <c r="S6" s="58">
        <f t="shared" si="25"/>
        <v>35.508865646775703</v>
      </c>
      <c r="T6" s="58">
        <f t="shared" si="25"/>
        <v>35.092466735668594</v>
      </c>
      <c r="U6" s="58">
        <f t="shared" si="25"/>
        <v>35.892013815464864</v>
      </c>
      <c r="V6" s="58">
        <f t="shared" si="25"/>
        <v>36.641757470015691</v>
      </c>
      <c r="W6" s="58">
        <f t="shared" si="25"/>
        <v>38.530562677101607</v>
      </c>
      <c r="X6" s="58">
        <f t="shared" si="25"/>
        <v>38.533002147990345</v>
      </c>
      <c r="Y6" s="58">
        <f t="shared" ref="Y6:Z6" si="26">(Y5/Y4)*100</f>
        <v>39.399667755055276</v>
      </c>
      <c r="Z6" s="58">
        <f t="shared" si="26"/>
        <v>37.718397405580703</v>
      </c>
      <c r="AA6" s="58" t="e">
        <f t="shared" ref="AA6:AB6" si="27">(AA5/AA4)*100</f>
        <v>#DIV/0!</v>
      </c>
      <c r="AB6" s="58">
        <f t="shared" si="27"/>
        <v>36.540159902678106</v>
      </c>
      <c r="AC6" s="58">
        <f t="shared" ref="AC6:AD6" si="28">(AC5/AC4)*100</f>
        <v>36.462502872472889</v>
      </c>
      <c r="AD6" s="58">
        <f t="shared" si="28"/>
        <v>36.616660774834074</v>
      </c>
      <c r="AE6" s="82">
        <f t="shared" si="25"/>
        <v>36.583184257602866</v>
      </c>
      <c r="AF6" s="58">
        <f>AF5/AF4</f>
        <v>0.31127492042218124</v>
      </c>
      <c r="AG6" s="58">
        <f>AG5/AG4</f>
        <v>0.30587838975913761</v>
      </c>
      <c r="AH6" s="58">
        <f t="shared" ref="AH6:AN6" si="29">(AH5/AH4)*100</f>
        <v>20.72850168982351</v>
      </c>
      <c r="AI6" s="58">
        <f t="shared" si="29"/>
        <v>19.340830642467431</v>
      </c>
      <c r="AJ6" s="58">
        <f t="shared" si="29"/>
        <v>23.737672583826431</v>
      </c>
      <c r="AK6" s="58">
        <f t="shared" si="29"/>
        <v>16.947227099039555</v>
      </c>
      <c r="AL6" s="58">
        <f t="shared" si="29"/>
        <v>17.500740302043233</v>
      </c>
      <c r="AM6" s="58">
        <f t="shared" si="29"/>
        <v>19.072835377183203</v>
      </c>
      <c r="AN6" s="58">
        <f t="shared" si="29"/>
        <v>21.096909885131858</v>
      </c>
      <c r="AO6" s="58" t="e">
        <f>AO5/AO4</f>
        <v>#DIV/0!</v>
      </c>
      <c r="AP6" s="58">
        <f>(AP5/AP4)*100</f>
        <v>22.759714512291833</v>
      </c>
      <c r="AQ6" s="58" t="e">
        <f>AQ5/AQ4</f>
        <v>#DIV/0!</v>
      </c>
      <c r="AR6" s="58" t="e">
        <f>AR5/AR4</f>
        <v>#DIV/0!</v>
      </c>
      <c r="AS6" s="58">
        <f t="shared" ref="AS6:BA6" si="30">(AS5/AS4)*100</f>
        <v>25.364800476474091</v>
      </c>
      <c r="AT6" s="58">
        <f t="shared" si="30"/>
        <v>26.516142355613688</v>
      </c>
      <c r="AU6" s="58">
        <f t="shared" si="30"/>
        <v>27.251420454545457</v>
      </c>
      <c r="AV6" s="58">
        <f t="shared" si="30"/>
        <v>28.777844671884406</v>
      </c>
      <c r="AW6" s="58">
        <f t="shared" si="30"/>
        <v>26.69041733313945</v>
      </c>
      <c r="AX6" s="58">
        <f t="shared" si="30"/>
        <v>29.506832211971979</v>
      </c>
      <c r="AY6" s="58">
        <f t="shared" si="30"/>
        <v>29.261064278187565</v>
      </c>
      <c r="AZ6" s="58">
        <f t="shared" si="30"/>
        <v>29.432602075694486</v>
      </c>
      <c r="BA6" s="58">
        <f t="shared" si="30"/>
        <v>32.671670491904969</v>
      </c>
      <c r="BB6" s="58">
        <f t="shared" ref="BB6:BC6" si="31">(BB5/BB4)*100</f>
        <v>30.867751600963516</v>
      </c>
      <c r="BC6" s="58">
        <f t="shared" si="31"/>
        <v>28.799333293648431</v>
      </c>
      <c r="BD6" s="58" t="e">
        <f t="shared" ref="BD6:BE6" si="32">(BD5/BD4)*100</f>
        <v>#DIV/0!</v>
      </c>
      <c r="BE6" s="58">
        <f t="shared" si="32"/>
        <v>29.795075101904072</v>
      </c>
      <c r="BF6" s="58">
        <f t="shared" ref="BF6:BG6" si="33">(BF5/BF4)*100</f>
        <v>31.407307871207813</v>
      </c>
      <c r="BG6" s="58">
        <f t="shared" si="33"/>
        <v>34.289133556725702</v>
      </c>
    </row>
    <row r="7" spans="1:59" s="6" customFormat="1">
      <c r="A7" s="39" t="s">
        <v>14</v>
      </c>
      <c r="B7" s="39">
        <v>18</v>
      </c>
      <c r="C7" s="39">
        <f>25+3</f>
        <v>28</v>
      </c>
      <c r="D7" s="39">
        <f>20+0</f>
        <v>20</v>
      </c>
      <c r="E7" s="39">
        <v>33</v>
      </c>
      <c r="F7" s="39">
        <v>32</v>
      </c>
      <c r="G7" s="39">
        <v>49</v>
      </c>
      <c r="H7" s="39">
        <v>69</v>
      </c>
      <c r="I7" s="39">
        <v>67</v>
      </c>
      <c r="J7" s="39">
        <v>79</v>
      </c>
      <c r="K7" s="39">
        <v>62</v>
      </c>
      <c r="L7" s="39"/>
      <c r="M7" s="39">
        <v>85</v>
      </c>
      <c r="N7" s="39"/>
      <c r="O7" s="39"/>
      <c r="P7" s="39">
        <v>80</v>
      </c>
      <c r="Q7" s="39">
        <v>81</v>
      </c>
      <c r="R7" s="39">
        <v>98</v>
      </c>
      <c r="S7" s="39">
        <v>117</v>
      </c>
      <c r="T7" s="39">
        <v>129</v>
      </c>
      <c r="U7" s="39">
        <v>132</v>
      </c>
      <c r="V7" s="39">
        <v>173</v>
      </c>
      <c r="W7" s="39">
        <v>218</v>
      </c>
      <c r="X7" s="39">
        <v>221</v>
      </c>
      <c r="Y7" s="39">
        <v>255</v>
      </c>
      <c r="Z7" s="39">
        <v>370</v>
      </c>
      <c r="AA7" s="39"/>
      <c r="AB7" s="39">
        <v>291</v>
      </c>
      <c r="AC7" s="39">
        <v>318</v>
      </c>
      <c r="AD7" s="39">
        <v>353</v>
      </c>
      <c r="AE7" s="164">
        <v>60</v>
      </c>
      <c r="AF7" s="39">
        <f>65+5</f>
        <v>70</v>
      </c>
      <c r="AG7" s="39">
        <f>56+5</f>
        <v>61</v>
      </c>
      <c r="AH7" s="39">
        <v>24</v>
      </c>
      <c r="AI7" s="39">
        <v>16</v>
      </c>
      <c r="AJ7" s="39">
        <v>22</v>
      </c>
      <c r="AK7" s="39">
        <v>31</v>
      </c>
      <c r="AL7" s="39">
        <v>46</v>
      </c>
      <c r="AM7" s="39">
        <v>40</v>
      </c>
      <c r="AN7" s="39">
        <v>21</v>
      </c>
      <c r="AO7" s="39"/>
      <c r="AP7" s="39">
        <v>19</v>
      </c>
      <c r="AQ7" s="39"/>
      <c r="AR7" s="39"/>
      <c r="AS7" s="39">
        <v>63</v>
      </c>
      <c r="AT7" s="39">
        <v>66</v>
      </c>
      <c r="AU7" s="39">
        <v>52</v>
      </c>
      <c r="AV7" s="39">
        <v>36</v>
      </c>
      <c r="AW7" s="39">
        <v>54</v>
      </c>
      <c r="AX7" s="39">
        <v>50</v>
      </c>
      <c r="AY7" s="39">
        <v>33</v>
      </c>
      <c r="AZ7" s="39">
        <v>63</v>
      </c>
      <c r="BA7" s="39">
        <v>87</v>
      </c>
      <c r="BB7" s="6">
        <v>77</v>
      </c>
      <c r="BC7" s="6">
        <v>64</v>
      </c>
      <c r="BE7" s="6">
        <v>41</v>
      </c>
      <c r="BF7" s="6">
        <v>50</v>
      </c>
      <c r="BG7" s="6">
        <v>72</v>
      </c>
    </row>
    <row r="8" spans="1:59" s="6" customFormat="1">
      <c r="A8" s="39" t="s">
        <v>15</v>
      </c>
      <c r="B8" s="39">
        <v>12</v>
      </c>
      <c r="C8" s="39">
        <f>11+3</f>
        <v>14</v>
      </c>
      <c r="D8" s="39">
        <f>10+4</f>
        <v>14</v>
      </c>
      <c r="E8" s="39">
        <v>14</v>
      </c>
      <c r="F8" s="39">
        <v>13</v>
      </c>
      <c r="G8" s="39">
        <v>18</v>
      </c>
      <c r="H8" s="39">
        <v>13</v>
      </c>
      <c r="I8" s="39">
        <v>20</v>
      </c>
      <c r="J8" s="39">
        <v>57</v>
      </c>
      <c r="K8" s="39">
        <v>21</v>
      </c>
      <c r="L8" s="39"/>
      <c r="M8" s="39">
        <v>43</v>
      </c>
      <c r="N8" s="39"/>
      <c r="O8" s="39"/>
      <c r="P8" s="39">
        <v>68</v>
      </c>
      <c r="Q8" s="39">
        <v>65</v>
      </c>
      <c r="R8" s="39">
        <v>57</v>
      </c>
      <c r="S8" s="39">
        <v>101</v>
      </c>
      <c r="T8" s="39">
        <v>108</v>
      </c>
      <c r="U8" s="39">
        <v>134</v>
      </c>
      <c r="V8" s="39">
        <v>161</v>
      </c>
      <c r="W8" s="39">
        <v>222</v>
      </c>
      <c r="X8" s="39">
        <v>291</v>
      </c>
      <c r="Y8" s="39">
        <v>294</v>
      </c>
      <c r="Z8" s="39">
        <v>333</v>
      </c>
      <c r="AA8" s="39"/>
      <c r="AB8" s="39">
        <v>458</v>
      </c>
      <c r="AC8" s="39">
        <v>491</v>
      </c>
      <c r="AD8" s="39">
        <v>465</v>
      </c>
      <c r="AE8" s="164">
        <v>25</v>
      </c>
      <c r="AF8" s="39">
        <f>10+2</f>
        <v>12</v>
      </c>
      <c r="AG8" s="39">
        <f>12+5</f>
        <v>17</v>
      </c>
      <c r="AH8" s="39">
        <v>8</v>
      </c>
      <c r="AI8" s="39">
        <v>5</v>
      </c>
      <c r="AJ8" s="39">
        <v>15</v>
      </c>
      <c r="AK8" s="39">
        <v>14</v>
      </c>
      <c r="AL8" s="39">
        <v>21</v>
      </c>
      <c r="AM8" s="39">
        <v>24</v>
      </c>
      <c r="AN8" s="39">
        <v>9</v>
      </c>
      <c r="AO8" s="39"/>
      <c r="AP8" s="39">
        <v>16</v>
      </c>
      <c r="AQ8" s="39"/>
      <c r="AR8" s="39"/>
      <c r="AS8" s="39">
        <v>11</v>
      </c>
      <c r="AT8" s="39">
        <v>17</v>
      </c>
      <c r="AU8" s="39">
        <v>14</v>
      </c>
      <c r="AV8" s="39">
        <v>11</v>
      </c>
      <c r="AW8" s="39">
        <v>13</v>
      </c>
      <c r="AX8" s="39">
        <v>17</v>
      </c>
      <c r="AY8" s="39">
        <v>9</v>
      </c>
      <c r="AZ8" s="39">
        <v>22</v>
      </c>
      <c r="BA8" s="39">
        <v>88</v>
      </c>
      <c r="BB8" s="6">
        <v>60</v>
      </c>
      <c r="BC8" s="6">
        <v>40</v>
      </c>
      <c r="BE8" s="6">
        <v>40</v>
      </c>
      <c r="BF8" s="6">
        <v>74</v>
      </c>
      <c r="BG8" s="6">
        <v>64</v>
      </c>
    </row>
    <row r="9" spans="1:59" s="6" customFormat="1">
      <c r="A9" s="39" t="s">
        <v>50</v>
      </c>
      <c r="B9" s="39">
        <v>11</v>
      </c>
      <c r="C9" s="39">
        <v>11</v>
      </c>
      <c r="D9" s="39">
        <v>22</v>
      </c>
      <c r="E9" s="39">
        <v>11</v>
      </c>
      <c r="F9" s="39">
        <v>13</v>
      </c>
      <c r="G9" s="39">
        <v>10</v>
      </c>
      <c r="H9" s="39">
        <v>28</v>
      </c>
      <c r="I9" s="39">
        <v>14</v>
      </c>
      <c r="J9" s="39">
        <v>19</v>
      </c>
      <c r="K9" s="39">
        <v>30</v>
      </c>
      <c r="L9" s="39"/>
      <c r="M9" s="39">
        <v>28</v>
      </c>
      <c r="N9" s="39"/>
      <c r="O9" s="39"/>
      <c r="P9" s="39">
        <v>35</v>
      </c>
      <c r="Q9" s="39">
        <v>27</v>
      </c>
      <c r="R9" s="39">
        <v>37</v>
      </c>
      <c r="S9" s="39">
        <v>52</v>
      </c>
      <c r="T9" s="39">
        <v>51</v>
      </c>
      <c r="U9" s="39">
        <v>58</v>
      </c>
      <c r="V9" s="39">
        <v>60</v>
      </c>
      <c r="W9" s="39">
        <v>71</v>
      </c>
      <c r="X9" s="39">
        <v>81</v>
      </c>
      <c r="Y9" s="39">
        <v>95</v>
      </c>
      <c r="Z9" s="39">
        <v>107</v>
      </c>
      <c r="AA9" s="39"/>
      <c r="AB9" s="39">
        <v>131</v>
      </c>
      <c r="AC9" s="39">
        <v>151</v>
      </c>
      <c r="AD9" s="39">
        <v>193</v>
      </c>
      <c r="AE9" s="164">
        <v>16</v>
      </c>
      <c r="AF9" s="39">
        <v>9</v>
      </c>
      <c r="AG9" s="39">
        <v>9</v>
      </c>
      <c r="AH9" s="39">
        <v>12</v>
      </c>
      <c r="AI9" s="39">
        <v>4</v>
      </c>
      <c r="AJ9" s="39">
        <v>12</v>
      </c>
      <c r="AK9" s="39">
        <v>7</v>
      </c>
      <c r="AL9" s="39">
        <v>8</v>
      </c>
      <c r="AM9" s="39">
        <v>4</v>
      </c>
      <c r="AN9" s="39">
        <v>8</v>
      </c>
      <c r="AO9" s="39"/>
      <c r="AP9" s="39">
        <v>14</v>
      </c>
      <c r="AQ9" s="39"/>
      <c r="AR9" s="39"/>
      <c r="AS9" s="39">
        <v>21</v>
      </c>
      <c r="AT9" s="39">
        <v>29</v>
      </c>
      <c r="AU9" s="39">
        <v>28</v>
      </c>
      <c r="AV9" s="39">
        <v>31</v>
      </c>
      <c r="AW9" s="39">
        <v>50</v>
      </c>
      <c r="AX9" s="39">
        <v>43</v>
      </c>
      <c r="AY9" s="39">
        <v>50</v>
      </c>
      <c r="AZ9" s="39">
        <v>61</v>
      </c>
      <c r="BA9" s="39">
        <v>50</v>
      </c>
      <c r="BB9" s="6">
        <v>41</v>
      </c>
      <c r="BC9" s="6">
        <v>42</v>
      </c>
      <c r="BE9" s="6">
        <v>39</v>
      </c>
      <c r="BF9" s="6">
        <v>41</v>
      </c>
      <c r="BG9" s="6">
        <v>32</v>
      </c>
    </row>
    <row r="10" spans="1:59" s="6" customFormat="1">
      <c r="A10" s="39" t="s">
        <v>16</v>
      </c>
      <c r="B10" s="39">
        <v>2799</v>
      </c>
      <c r="C10" s="39">
        <f>2910+230</f>
        <v>3140</v>
      </c>
      <c r="D10" s="39">
        <f>3159+344</f>
        <v>3503</v>
      </c>
      <c r="E10" s="39">
        <v>4110</v>
      </c>
      <c r="F10" s="39">
        <v>4309</v>
      </c>
      <c r="G10" s="39">
        <v>4317</v>
      </c>
      <c r="H10" s="39">
        <v>4379</v>
      </c>
      <c r="I10" s="39">
        <v>5067</v>
      </c>
      <c r="J10" s="39">
        <v>5654</v>
      </c>
      <c r="K10" s="39">
        <v>6228</v>
      </c>
      <c r="L10" s="39"/>
      <c r="M10" s="39">
        <v>5789</v>
      </c>
      <c r="N10" s="39"/>
      <c r="O10" s="39"/>
      <c r="P10" s="39">
        <v>7907</v>
      </c>
      <c r="Q10" s="39">
        <v>8954</v>
      </c>
      <c r="R10" s="39">
        <v>10175</v>
      </c>
      <c r="S10" s="39">
        <v>10764</v>
      </c>
      <c r="T10" s="39">
        <v>11160</v>
      </c>
      <c r="U10" s="39">
        <v>12505</v>
      </c>
      <c r="V10" s="39">
        <v>14301</v>
      </c>
      <c r="W10" s="39">
        <v>17055</v>
      </c>
      <c r="X10" s="39">
        <v>19073</v>
      </c>
      <c r="Y10" s="39">
        <v>24145</v>
      </c>
      <c r="Z10" s="39">
        <v>23369</v>
      </c>
      <c r="AA10" s="39"/>
      <c r="AB10" s="39">
        <v>22313</v>
      </c>
      <c r="AC10" s="39">
        <v>23065</v>
      </c>
      <c r="AD10" s="39">
        <v>23478</v>
      </c>
      <c r="AE10" s="164">
        <v>759</v>
      </c>
      <c r="AF10" s="39">
        <f>606+180</f>
        <v>786</v>
      </c>
      <c r="AG10" s="39">
        <f>622+128</f>
        <v>750</v>
      </c>
      <c r="AH10" s="39">
        <v>786</v>
      </c>
      <c r="AI10" s="39">
        <v>986</v>
      </c>
      <c r="AJ10" s="39">
        <v>740</v>
      </c>
      <c r="AK10" s="39">
        <v>785</v>
      </c>
      <c r="AL10" s="39">
        <v>934</v>
      </c>
      <c r="AM10" s="39">
        <v>1021</v>
      </c>
      <c r="AN10" s="39">
        <v>1500</v>
      </c>
      <c r="AO10" s="39"/>
      <c r="AP10" s="39">
        <v>1268</v>
      </c>
      <c r="AQ10" s="39"/>
      <c r="AR10" s="39"/>
      <c r="AS10" s="39">
        <v>1942</v>
      </c>
      <c r="AT10" s="39">
        <v>1905</v>
      </c>
      <c r="AU10" s="39">
        <v>1921</v>
      </c>
      <c r="AV10" s="39">
        <v>1900</v>
      </c>
      <c r="AW10" s="39">
        <v>1772</v>
      </c>
      <c r="AX10" s="39">
        <v>1725</v>
      </c>
      <c r="AY10" s="39">
        <v>1718</v>
      </c>
      <c r="AZ10" s="39">
        <v>1697</v>
      </c>
      <c r="BA10" s="39">
        <v>1555</v>
      </c>
      <c r="BB10" s="6">
        <v>1552</v>
      </c>
      <c r="BC10" s="6">
        <v>1343</v>
      </c>
      <c r="BE10" s="6">
        <v>1600</v>
      </c>
      <c r="BF10" s="6">
        <v>1869</v>
      </c>
      <c r="BG10" s="6">
        <v>2355</v>
      </c>
    </row>
    <row r="11" spans="1:59" s="6" customFormat="1">
      <c r="A11" s="39" t="s">
        <v>17</v>
      </c>
      <c r="B11" s="39">
        <v>89</v>
      </c>
      <c r="C11" s="39">
        <f>25+48</f>
        <v>73</v>
      </c>
      <c r="D11" s="39">
        <f>41+35</f>
        <v>76</v>
      </c>
      <c r="E11" s="39">
        <v>112</v>
      </c>
      <c r="F11" s="39">
        <v>82</v>
      </c>
      <c r="G11" s="39">
        <v>122</v>
      </c>
      <c r="H11" s="39">
        <v>128</v>
      </c>
      <c r="I11" s="39">
        <v>156</v>
      </c>
      <c r="J11" s="39">
        <v>125</v>
      </c>
      <c r="K11" s="39">
        <v>123</v>
      </c>
      <c r="L11" s="39"/>
      <c r="M11" s="39">
        <v>142</v>
      </c>
      <c r="N11" s="39"/>
      <c r="O11" s="39"/>
      <c r="P11" s="39">
        <v>220</v>
      </c>
      <c r="Q11" s="39">
        <v>294</v>
      </c>
      <c r="R11" s="39">
        <v>257</v>
      </c>
      <c r="S11" s="39">
        <v>320</v>
      </c>
      <c r="T11" s="39">
        <v>370</v>
      </c>
      <c r="U11" s="39">
        <v>423</v>
      </c>
      <c r="V11" s="39">
        <v>447</v>
      </c>
      <c r="W11" s="39">
        <v>523</v>
      </c>
      <c r="X11" s="39">
        <v>692</v>
      </c>
      <c r="Y11" s="39">
        <v>846</v>
      </c>
      <c r="Z11" s="39">
        <v>910</v>
      </c>
      <c r="AA11" s="39"/>
      <c r="AB11" s="39">
        <v>990</v>
      </c>
      <c r="AC11" s="39">
        <v>1139</v>
      </c>
      <c r="AD11" s="39">
        <v>1237</v>
      </c>
      <c r="AE11" s="164">
        <v>142</v>
      </c>
      <c r="AF11" s="39">
        <f>85+36</f>
        <v>121</v>
      </c>
      <c r="AG11" s="39">
        <f>56+30</f>
        <v>86</v>
      </c>
      <c r="AH11" s="39">
        <v>101</v>
      </c>
      <c r="AI11" s="39">
        <v>97</v>
      </c>
      <c r="AJ11" s="39">
        <v>132</v>
      </c>
      <c r="AK11" s="39">
        <v>147</v>
      </c>
      <c r="AL11" s="39">
        <v>118</v>
      </c>
      <c r="AM11" s="39">
        <v>157</v>
      </c>
      <c r="AN11" s="39">
        <v>145</v>
      </c>
      <c r="AO11" s="39"/>
      <c r="AP11" s="39">
        <v>125</v>
      </c>
      <c r="AQ11" s="39"/>
      <c r="AR11" s="39"/>
      <c r="AS11" s="39">
        <v>185</v>
      </c>
      <c r="AT11" s="39">
        <v>226</v>
      </c>
      <c r="AU11" s="39">
        <v>226</v>
      </c>
      <c r="AV11" s="39">
        <v>193</v>
      </c>
      <c r="AW11" s="39">
        <v>200</v>
      </c>
      <c r="AX11" s="39">
        <v>213</v>
      </c>
      <c r="AY11" s="39">
        <v>250</v>
      </c>
      <c r="AZ11" s="39">
        <v>199</v>
      </c>
      <c r="BA11" s="39">
        <v>209</v>
      </c>
      <c r="BB11" s="6">
        <v>291</v>
      </c>
      <c r="BC11" s="6">
        <v>217</v>
      </c>
      <c r="BE11" s="6">
        <v>275</v>
      </c>
      <c r="BF11" s="6">
        <v>280</v>
      </c>
      <c r="BG11" s="6">
        <v>330</v>
      </c>
    </row>
    <row r="12" spans="1:59" s="6" customFormat="1">
      <c r="A12" s="39" t="s">
        <v>18</v>
      </c>
      <c r="B12" s="39">
        <v>20</v>
      </c>
      <c r="C12" s="39">
        <f>10+2</f>
        <v>12</v>
      </c>
      <c r="D12" s="39">
        <f>9+8</f>
        <v>17</v>
      </c>
      <c r="E12" s="39">
        <v>24</v>
      </c>
      <c r="F12" s="39">
        <v>23</v>
      </c>
      <c r="G12" s="39">
        <v>26</v>
      </c>
      <c r="H12" s="39">
        <v>29</v>
      </c>
      <c r="I12" s="39">
        <v>25</v>
      </c>
      <c r="J12" s="39">
        <v>43</v>
      </c>
      <c r="K12" s="39">
        <v>45</v>
      </c>
      <c r="L12" s="39"/>
      <c r="M12" s="39">
        <v>47</v>
      </c>
      <c r="N12" s="39"/>
      <c r="O12" s="39"/>
      <c r="P12" s="39">
        <v>72</v>
      </c>
      <c r="Q12" s="39">
        <v>87</v>
      </c>
      <c r="R12" s="39">
        <v>74</v>
      </c>
      <c r="S12" s="39">
        <v>78</v>
      </c>
      <c r="T12" s="39">
        <v>82</v>
      </c>
      <c r="U12" s="39">
        <v>93</v>
      </c>
      <c r="V12" s="39">
        <v>146</v>
      </c>
      <c r="W12" s="39">
        <v>134</v>
      </c>
      <c r="X12" s="39">
        <v>128</v>
      </c>
      <c r="Y12" s="39">
        <v>294</v>
      </c>
      <c r="Z12" s="39">
        <v>292</v>
      </c>
      <c r="AA12" s="39"/>
      <c r="AB12" s="39">
        <v>312</v>
      </c>
      <c r="AC12" s="39">
        <v>318</v>
      </c>
      <c r="AD12" s="39">
        <v>347</v>
      </c>
      <c r="AE12" s="164">
        <v>21</v>
      </c>
      <c r="AF12" s="39">
        <f>13+24</f>
        <v>37</v>
      </c>
      <c r="AG12" s="39">
        <f>7+9</f>
        <v>16</v>
      </c>
      <c r="AH12" s="39">
        <v>15</v>
      </c>
      <c r="AI12" s="39">
        <v>29</v>
      </c>
      <c r="AJ12" s="39">
        <v>50</v>
      </c>
      <c r="AK12" s="39">
        <v>29</v>
      </c>
      <c r="AL12" s="39">
        <v>26</v>
      </c>
      <c r="AM12" s="39">
        <v>25</v>
      </c>
      <c r="AN12" s="39">
        <v>33</v>
      </c>
      <c r="AO12" s="39"/>
      <c r="AP12" s="39">
        <v>18</v>
      </c>
      <c r="AQ12" s="39"/>
      <c r="AR12" s="39"/>
      <c r="AS12" s="39">
        <v>31</v>
      </c>
      <c r="AT12" s="39">
        <v>19</v>
      </c>
      <c r="AU12" s="39">
        <v>24</v>
      </c>
      <c r="AV12" s="39">
        <v>27</v>
      </c>
      <c r="AW12" s="39">
        <v>19</v>
      </c>
      <c r="AX12" s="39">
        <v>17</v>
      </c>
      <c r="AY12" s="39">
        <v>30</v>
      </c>
      <c r="AZ12" s="39">
        <v>38</v>
      </c>
      <c r="BA12" s="39">
        <v>51</v>
      </c>
      <c r="BB12" s="6">
        <v>40</v>
      </c>
      <c r="BC12" s="6">
        <v>17</v>
      </c>
      <c r="BE12" s="6">
        <v>23</v>
      </c>
      <c r="BF12" s="6">
        <v>37</v>
      </c>
      <c r="BG12" s="6">
        <v>39</v>
      </c>
    </row>
    <row r="13" spans="1:59" s="6" customFormat="1">
      <c r="A13" s="39" t="s">
        <v>19</v>
      </c>
      <c r="B13" s="39">
        <v>92</v>
      </c>
      <c r="C13" s="39">
        <f>37+28</f>
        <v>65</v>
      </c>
      <c r="D13" s="39">
        <f>51+59</f>
        <v>110</v>
      </c>
      <c r="E13" s="39">
        <v>64</v>
      </c>
      <c r="F13" s="39">
        <v>77</v>
      </c>
      <c r="G13" s="39">
        <v>114</v>
      </c>
      <c r="H13" s="39">
        <v>85</v>
      </c>
      <c r="I13" s="39">
        <v>145</v>
      </c>
      <c r="J13" s="39">
        <v>208</v>
      </c>
      <c r="K13" s="39">
        <v>98</v>
      </c>
      <c r="L13" s="39"/>
      <c r="M13" s="39">
        <v>149</v>
      </c>
      <c r="N13" s="39"/>
      <c r="O13" s="39"/>
      <c r="P13" s="39">
        <v>158</v>
      </c>
      <c r="Q13" s="39">
        <v>140</v>
      </c>
      <c r="R13" s="39">
        <v>115</v>
      </c>
      <c r="S13" s="39">
        <v>81</v>
      </c>
      <c r="T13" s="39">
        <v>113</v>
      </c>
      <c r="U13" s="39">
        <v>117</v>
      </c>
      <c r="V13" s="39">
        <v>113</v>
      </c>
      <c r="W13" s="39">
        <v>148</v>
      </c>
      <c r="X13" s="39">
        <v>202</v>
      </c>
      <c r="Y13" s="39">
        <v>198</v>
      </c>
      <c r="Z13" s="39">
        <v>330</v>
      </c>
      <c r="AA13" s="39"/>
      <c r="AB13" s="39">
        <v>345</v>
      </c>
      <c r="AC13" s="39">
        <v>321</v>
      </c>
      <c r="AD13" s="39">
        <v>303</v>
      </c>
      <c r="AE13" s="164">
        <v>20</v>
      </c>
      <c r="AF13" s="39">
        <f>30+0</f>
        <v>30</v>
      </c>
      <c r="AG13" s="39">
        <f>26+2</f>
        <v>28</v>
      </c>
      <c r="AH13" s="39">
        <v>8</v>
      </c>
      <c r="AI13" s="39">
        <v>1</v>
      </c>
      <c r="AJ13" s="39">
        <v>8</v>
      </c>
      <c r="AK13" s="39">
        <v>2</v>
      </c>
      <c r="AL13" s="39">
        <v>22</v>
      </c>
      <c r="AM13" s="39">
        <v>23</v>
      </c>
      <c r="AN13" s="39">
        <v>3</v>
      </c>
      <c r="AO13" s="39"/>
      <c r="AP13" s="39">
        <v>12</v>
      </c>
      <c r="AQ13" s="39"/>
      <c r="AR13" s="39"/>
      <c r="AS13" s="39">
        <v>13</v>
      </c>
      <c r="AT13" s="39">
        <v>9</v>
      </c>
      <c r="AU13" s="39">
        <v>10</v>
      </c>
      <c r="AV13" s="39">
        <v>12</v>
      </c>
      <c r="AW13" s="39">
        <v>10</v>
      </c>
      <c r="AX13" s="39">
        <v>9</v>
      </c>
      <c r="AY13" s="39">
        <v>20</v>
      </c>
      <c r="AZ13" s="39">
        <v>14</v>
      </c>
      <c r="BA13" s="39">
        <v>29</v>
      </c>
      <c r="BB13" s="6">
        <v>28</v>
      </c>
      <c r="BC13" s="6">
        <v>11</v>
      </c>
      <c r="BE13" s="6">
        <v>44</v>
      </c>
      <c r="BF13" s="6">
        <v>54</v>
      </c>
      <c r="BG13" s="6">
        <v>49</v>
      </c>
    </row>
    <row r="14" spans="1:59" s="6" customFormat="1">
      <c r="A14" s="39" t="s">
        <v>20</v>
      </c>
      <c r="B14" s="39">
        <v>85</v>
      </c>
      <c r="C14" s="39">
        <f>101+10</f>
        <v>111</v>
      </c>
      <c r="D14" s="39">
        <f>87+7</f>
        <v>94</v>
      </c>
      <c r="E14" s="39">
        <v>106</v>
      </c>
      <c r="F14" s="39">
        <v>145</v>
      </c>
      <c r="G14" s="39">
        <v>121</v>
      </c>
      <c r="H14" s="39">
        <v>135</v>
      </c>
      <c r="I14" s="39">
        <v>156</v>
      </c>
      <c r="J14" s="39">
        <v>138</v>
      </c>
      <c r="K14" s="39">
        <v>169</v>
      </c>
      <c r="L14" s="39"/>
      <c r="M14" s="39">
        <v>193</v>
      </c>
      <c r="N14" s="39"/>
      <c r="O14" s="39"/>
      <c r="P14" s="39">
        <v>317</v>
      </c>
      <c r="Q14" s="39">
        <v>320</v>
      </c>
      <c r="R14" s="39">
        <v>366</v>
      </c>
      <c r="S14" s="39">
        <v>338</v>
      </c>
      <c r="T14" s="39">
        <v>418</v>
      </c>
      <c r="U14" s="39">
        <v>468</v>
      </c>
      <c r="V14" s="39">
        <v>492</v>
      </c>
      <c r="W14" s="39">
        <v>557</v>
      </c>
      <c r="X14" s="39">
        <v>644</v>
      </c>
      <c r="Y14" s="39">
        <v>882</v>
      </c>
      <c r="Z14" s="39">
        <v>947</v>
      </c>
      <c r="AA14" s="39"/>
      <c r="AB14" s="39">
        <v>1270</v>
      </c>
      <c r="AC14" s="39">
        <v>1404</v>
      </c>
      <c r="AD14" s="39">
        <v>1540</v>
      </c>
      <c r="AE14" s="164">
        <v>77</v>
      </c>
      <c r="AF14" s="39">
        <f>43+5</f>
        <v>48</v>
      </c>
      <c r="AG14" s="39">
        <f>93+4</f>
        <v>97</v>
      </c>
      <c r="AH14" s="39">
        <v>87</v>
      </c>
      <c r="AI14" s="39">
        <v>107</v>
      </c>
      <c r="AJ14" s="39">
        <v>163</v>
      </c>
      <c r="AK14" s="39">
        <v>168</v>
      </c>
      <c r="AL14" s="39">
        <v>163</v>
      </c>
      <c r="AM14" s="39">
        <v>134</v>
      </c>
      <c r="AN14" s="39">
        <v>160</v>
      </c>
      <c r="AO14" s="39"/>
      <c r="AP14" s="39">
        <v>123</v>
      </c>
      <c r="AQ14" s="39"/>
      <c r="AR14" s="39"/>
      <c r="AS14" s="39">
        <v>123</v>
      </c>
      <c r="AT14" s="39">
        <v>199</v>
      </c>
      <c r="AU14" s="39">
        <v>190</v>
      </c>
      <c r="AV14" s="39">
        <v>195</v>
      </c>
      <c r="AW14" s="39">
        <v>261</v>
      </c>
      <c r="AX14" s="39">
        <v>351</v>
      </c>
      <c r="AY14" s="39">
        <v>380</v>
      </c>
      <c r="AZ14" s="39">
        <v>360</v>
      </c>
      <c r="BA14" s="39">
        <v>697</v>
      </c>
      <c r="BB14" s="6">
        <v>727</v>
      </c>
      <c r="BC14" s="6">
        <v>641</v>
      </c>
      <c r="BE14" s="6">
        <v>599</v>
      </c>
      <c r="BF14" s="6">
        <v>621</v>
      </c>
      <c r="BG14" s="6">
        <v>637</v>
      </c>
    </row>
    <row r="15" spans="1:59" s="6" customFormat="1">
      <c r="A15" s="39" t="s">
        <v>21</v>
      </c>
      <c r="B15" s="39">
        <v>57</v>
      </c>
      <c r="C15" s="39">
        <f>10+1</f>
        <v>11</v>
      </c>
      <c r="D15" s="39">
        <f>13+1</f>
        <v>14</v>
      </c>
      <c r="E15" s="39">
        <v>19</v>
      </c>
      <c r="F15" s="39">
        <v>17</v>
      </c>
      <c r="G15" s="39">
        <v>30</v>
      </c>
      <c r="H15" s="39">
        <v>16</v>
      </c>
      <c r="I15" s="39">
        <v>26</v>
      </c>
      <c r="J15" s="39">
        <v>20</v>
      </c>
      <c r="K15" s="39">
        <v>28</v>
      </c>
      <c r="L15" s="39"/>
      <c r="M15" s="39">
        <v>42</v>
      </c>
      <c r="N15" s="39"/>
      <c r="O15" s="39"/>
      <c r="P15" s="39">
        <v>37</v>
      </c>
      <c r="Q15" s="39">
        <v>53</v>
      </c>
      <c r="R15" s="39">
        <v>41</v>
      </c>
      <c r="S15" s="39">
        <v>47</v>
      </c>
      <c r="T15" s="39">
        <v>48</v>
      </c>
      <c r="U15" s="39">
        <v>82</v>
      </c>
      <c r="V15" s="39">
        <v>82</v>
      </c>
      <c r="W15" s="39">
        <v>90</v>
      </c>
      <c r="X15" s="39">
        <v>113</v>
      </c>
      <c r="Y15" s="39">
        <v>128</v>
      </c>
      <c r="Z15" s="39">
        <v>146</v>
      </c>
      <c r="AA15" s="39"/>
      <c r="AB15" s="39">
        <v>179</v>
      </c>
      <c r="AC15" s="39">
        <v>218</v>
      </c>
      <c r="AD15" s="39">
        <v>241</v>
      </c>
      <c r="AE15" s="164">
        <v>5</v>
      </c>
      <c r="AF15" s="39">
        <f>4+1</f>
        <v>5</v>
      </c>
      <c r="AG15" s="39">
        <f>1+0</f>
        <v>1</v>
      </c>
      <c r="AH15" s="39">
        <v>12</v>
      </c>
      <c r="AI15" s="39">
        <v>17</v>
      </c>
      <c r="AJ15" s="39">
        <v>6</v>
      </c>
      <c r="AK15" s="39">
        <v>4</v>
      </c>
      <c r="AL15" s="39">
        <v>9</v>
      </c>
      <c r="AM15" s="39">
        <v>5</v>
      </c>
      <c r="AN15" s="39">
        <v>8</v>
      </c>
      <c r="AO15" s="39"/>
      <c r="AP15" s="39">
        <v>5</v>
      </c>
      <c r="AQ15" s="39"/>
      <c r="AR15" s="39"/>
      <c r="AS15" s="39">
        <v>3</v>
      </c>
      <c r="AT15" s="39">
        <v>4</v>
      </c>
      <c r="AU15" s="39">
        <v>0</v>
      </c>
      <c r="AV15" s="39">
        <v>2</v>
      </c>
      <c r="AW15" s="39">
        <v>1</v>
      </c>
      <c r="AX15" s="39">
        <v>5</v>
      </c>
      <c r="AY15" s="39">
        <v>5</v>
      </c>
      <c r="AZ15" s="39">
        <v>4</v>
      </c>
      <c r="BA15" s="39">
        <v>3</v>
      </c>
      <c r="BB15" s="6">
        <v>3</v>
      </c>
      <c r="BC15" s="6">
        <v>0</v>
      </c>
      <c r="BE15" s="6">
        <v>7</v>
      </c>
      <c r="BF15" s="6">
        <v>6</v>
      </c>
      <c r="BG15" s="6">
        <v>2</v>
      </c>
    </row>
    <row r="16" spans="1:59" s="6" customFormat="1">
      <c r="A16" s="39" t="s">
        <v>22</v>
      </c>
      <c r="B16" s="39">
        <v>54</v>
      </c>
      <c r="C16" s="39">
        <f>54+11</f>
        <v>65</v>
      </c>
      <c r="D16" s="39">
        <f>41+11</f>
        <v>52</v>
      </c>
      <c r="E16" s="39">
        <v>75</v>
      </c>
      <c r="F16" s="39">
        <v>82</v>
      </c>
      <c r="G16" s="39">
        <v>110</v>
      </c>
      <c r="H16" s="39">
        <v>146</v>
      </c>
      <c r="I16" s="39">
        <v>151</v>
      </c>
      <c r="J16" s="39">
        <v>190</v>
      </c>
      <c r="K16" s="39">
        <v>186</v>
      </c>
      <c r="L16" s="39"/>
      <c r="M16" s="39">
        <v>210</v>
      </c>
      <c r="N16" s="39"/>
      <c r="O16" s="39"/>
      <c r="P16" s="39">
        <v>294</v>
      </c>
      <c r="Q16" s="39">
        <v>425</v>
      </c>
      <c r="R16" s="39">
        <v>409</v>
      </c>
      <c r="S16" s="39">
        <v>410</v>
      </c>
      <c r="T16" s="39">
        <v>492</v>
      </c>
      <c r="U16" s="39">
        <v>532</v>
      </c>
      <c r="V16" s="39">
        <v>593</v>
      </c>
      <c r="W16" s="39">
        <v>749</v>
      </c>
      <c r="X16" s="39">
        <v>875</v>
      </c>
      <c r="Y16" s="39">
        <v>1118</v>
      </c>
      <c r="Z16" s="39">
        <v>1305</v>
      </c>
      <c r="AA16" s="39"/>
      <c r="AB16" s="39">
        <v>2007</v>
      </c>
      <c r="AC16" s="39">
        <v>2256</v>
      </c>
      <c r="AD16" s="39">
        <v>2752</v>
      </c>
      <c r="AE16" s="164">
        <v>58</v>
      </c>
      <c r="AF16" s="39">
        <f>264+38</f>
        <v>302</v>
      </c>
      <c r="AG16" s="39">
        <f>219+39</f>
        <v>258</v>
      </c>
      <c r="AH16" s="39">
        <v>146</v>
      </c>
      <c r="AI16" s="39">
        <v>45</v>
      </c>
      <c r="AJ16" s="39">
        <v>813</v>
      </c>
      <c r="AK16" s="39">
        <v>22</v>
      </c>
      <c r="AL16" s="39">
        <v>7</v>
      </c>
      <c r="AM16" s="39">
        <v>88</v>
      </c>
      <c r="AN16" s="39">
        <v>93</v>
      </c>
      <c r="AO16" s="39"/>
      <c r="AP16" s="39">
        <v>13</v>
      </c>
      <c r="AQ16" s="39"/>
      <c r="AR16" s="39"/>
      <c r="AS16" s="39">
        <v>96</v>
      </c>
      <c r="AT16" s="39">
        <v>119</v>
      </c>
      <c r="AU16" s="39">
        <v>119</v>
      </c>
      <c r="AV16" s="39">
        <v>135</v>
      </c>
      <c r="AW16" s="39">
        <v>118</v>
      </c>
      <c r="AX16" s="39">
        <v>88</v>
      </c>
      <c r="AY16" s="39">
        <v>186</v>
      </c>
      <c r="AZ16" s="39">
        <v>212</v>
      </c>
      <c r="BA16" s="39">
        <v>158</v>
      </c>
      <c r="BB16" s="6">
        <v>196</v>
      </c>
      <c r="BC16" s="6">
        <v>278</v>
      </c>
      <c r="BE16" s="6">
        <v>387</v>
      </c>
      <c r="BF16" s="6">
        <v>441</v>
      </c>
      <c r="BG16" s="6">
        <v>677</v>
      </c>
    </row>
    <row r="17" spans="1:59" s="6" customFormat="1">
      <c r="A17" s="39" t="s">
        <v>23</v>
      </c>
      <c r="B17" s="39">
        <v>67</v>
      </c>
      <c r="C17" s="39">
        <f>69+22</f>
        <v>91</v>
      </c>
      <c r="D17" s="39">
        <f>86+16</f>
        <v>102</v>
      </c>
      <c r="E17" s="39">
        <v>90</v>
      </c>
      <c r="F17" s="39">
        <v>114</v>
      </c>
      <c r="G17" s="39">
        <v>108</v>
      </c>
      <c r="H17" s="39">
        <v>176</v>
      </c>
      <c r="I17" s="39">
        <v>114</v>
      </c>
      <c r="J17" s="39">
        <v>129</v>
      </c>
      <c r="K17" s="39">
        <v>149</v>
      </c>
      <c r="L17" s="39"/>
      <c r="M17" s="39">
        <v>161</v>
      </c>
      <c r="N17" s="39"/>
      <c r="O17" s="39"/>
      <c r="P17" s="39">
        <v>283</v>
      </c>
      <c r="Q17" s="39">
        <v>291</v>
      </c>
      <c r="R17" s="39">
        <v>278</v>
      </c>
      <c r="S17" s="39">
        <v>285</v>
      </c>
      <c r="T17" s="39">
        <v>330</v>
      </c>
      <c r="U17" s="39">
        <v>378</v>
      </c>
      <c r="V17" s="39">
        <v>380</v>
      </c>
      <c r="W17" s="39">
        <v>437</v>
      </c>
      <c r="X17" s="39">
        <v>475</v>
      </c>
      <c r="Y17" s="39">
        <v>516</v>
      </c>
      <c r="Z17" s="39">
        <v>633</v>
      </c>
      <c r="AA17" s="39"/>
      <c r="AB17" s="39">
        <v>846</v>
      </c>
      <c r="AC17" s="39">
        <v>801</v>
      </c>
      <c r="AD17" s="39">
        <v>923</v>
      </c>
      <c r="AE17" s="164">
        <v>90</v>
      </c>
      <c r="AF17" s="39">
        <f>43+23</f>
        <v>66</v>
      </c>
      <c r="AG17" s="39">
        <f>54+26</f>
        <v>80</v>
      </c>
      <c r="AH17" s="39">
        <v>52</v>
      </c>
      <c r="AI17" s="39">
        <v>33</v>
      </c>
      <c r="AJ17" s="39">
        <v>29</v>
      </c>
      <c r="AK17" s="39">
        <v>39</v>
      </c>
      <c r="AL17" s="39">
        <v>24</v>
      </c>
      <c r="AM17" s="39">
        <v>35</v>
      </c>
      <c r="AN17" s="39">
        <v>35</v>
      </c>
      <c r="AO17" s="39"/>
      <c r="AP17" s="39">
        <v>80</v>
      </c>
      <c r="AQ17" s="39"/>
      <c r="AR17" s="39"/>
      <c r="AS17" s="39">
        <v>126</v>
      </c>
      <c r="AT17" s="39">
        <v>188</v>
      </c>
      <c r="AU17" s="39">
        <v>157</v>
      </c>
      <c r="AV17" s="39">
        <v>185</v>
      </c>
      <c r="AW17" s="39">
        <v>148</v>
      </c>
      <c r="AX17" s="39">
        <v>161</v>
      </c>
      <c r="AY17" s="39">
        <v>187</v>
      </c>
      <c r="AZ17" s="39">
        <v>160</v>
      </c>
      <c r="BA17" s="39">
        <v>154</v>
      </c>
      <c r="BB17" s="6">
        <v>198</v>
      </c>
      <c r="BC17" s="6">
        <v>193</v>
      </c>
      <c r="BE17" s="6">
        <v>311</v>
      </c>
      <c r="BF17" s="6">
        <v>303</v>
      </c>
      <c r="BG17" s="6">
        <v>338</v>
      </c>
    </row>
    <row r="18" spans="1:59" s="6" customFormat="1">
      <c r="A18" s="39" t="s">
        <v>24</v>
      </c>
      <c r="B18" s="39">
        <v>135</v>
      </c>
      <c r="C18" s="39">
        <f>122+11</f>
        <v>133</v>
      </c>
      <c r="D18" s="39">
        <f>30+7</f>
        <v>37</v>
      </c>
      <c r="E18" s="39">
        <v>48</v>
      </c>
      <c r="F18" s="39">
        <v>37</v>
      </c>
      <c r="G18" s="39">
        <v>57</v>
      </c>
      <c r="H18" s="39">
        <v>55</v>
      </c>
      <c r="I18" s="39">
        <v>51</v>
      </c>
      <c r="J18" s="39">
        <v>60</v>
      </c>
      <c r="K18" s="39">
        <v>59</v>
      </c>
      <c r="L18" s="39"/>
      <c r="M18" s="39">
        <v>66</v>
      </c>
      <c r="N18" s="39"/>
      <c r="O18" s="39"/>
      <c r="P18" s="39">
        <v>90</v>
      </c>
      <c r="Q18" s="39">
        <v>102</v>
      </c>
      <c r="R18" s="39">
        <v>110</v>
      </c>
      <c r="S18" s="39">
        <v>113</v>
      </c>
      <c r="T18" s="39">
        <v>122</v>
      </c>
      <c r="U18" s="39">
        <v>134</v>
      </c>
      <c r="V18" s="39">
        <v>157</v>
      </c>
      <c r="W18" s="39">
        <v>143</v>
      </c>
      <c r="X18" s="39">
        <v>216</v>
      </c>
      <c r="Y18" s="39">
        <v>267</v>
      </c>
      <c r="Z18" s="39">
        <v>339</v>
      </c>
      <c r="AA18" s="39"/>
      <c r="AB18" s="39">
        <v>368</v>
      </c>
      <c r="AC18" s="39">
        <v>444</v>
      </c>
      <c r="AD18" s="39">
        <v>413</v>
      </c>
      <c r="AE18" s="164">
        <v>13</v>
      </c>
      <c r="AF18" s="39">
        <f>11+2</f>
        <v>13</v>
      </c>
      <c r="AG18" s="39">
        <f>66+7</f>
        <v>73</v>
      </c>
      <c r="AH18" s="39">
        <v>39</v>
      </c>
      <c r="AI18" s="39">
        <v>43</v>
      </c>
      <c r="AJ18" s="39">
        <v>54</v>
      </c>
      <c r="AK18" s="39">
        <v>43</v>
      </c>
      <c r="AL18" s="39">
        <v>44</v>
      </c>
      <c r="AM18" s="39">
        <v>47</v>
      </c>
      <c r="AN18" s="39">
        <v>45</v>
      </c>
      <c r="AO18" s="39"/>
      <c r="AP18" s="39">
        <v>64</v>
      </c>
      <c r="AQ18" s="39"/>
      <c r="AR18" s="39"/>
      <c r="AS18" s="39">
        <v>32</v>
      </c>
      <c r="AT18" s="39">
        <v>59</v>
      </c>
      <c r="AU18" s="39">
        <v>25</v>
      </c>
      <c r="AV18" s="39">
        <v>23</v>
      </c>
      <c r="AW18" s="39">
        <v>28</v>
      </c>
      <c r="AX18" s="39">
        <v>21</v>
      </c>
      <c r="AY18" s="39">
        <v>36</v>
      </c>
      <c r="AZ18" s="39">
        <v>18</v>
      </c>
      <c r="BA18" s="39">
        <v>17</v>
      </c>
      <c r="BB18" s="6">
        <v>17</v>
      </c>
      <c r="BC18" s="6">
        <v>9</v>
      </c>
      <c r="BE18" s="6">
        <v>9</v>
      </c>
      <c r="BF18" s="6">
        <v>13</v>
      </c>
      <c r="BG18" s="6">
        <v>16</v>
      </c>
    </row>
    <row r="19" spans="1:59" s="6" customFormat="1">
      <c r="A19" s="39" t="s">
        <v>25</v>
      </c>
      <c r="B19" s="39">
        <v>27</v>
      </c>
      <c r="C19" s="39">
        <f>15+13</f>
        <v>28</v>
      </c>
      <c r="D19" s="39">
        <f>26+11</f>
        <v>37</v>
      </c>
      <c r="E19" s="39">
        <v>66</v>
      </c>
      <c r="F19" s="39">
        <v>44</v>
      </c>
      <c r="G19" s="39">
        <v>47</v>
      </c>
      <c r="H19" s="39">
        <v>54</v>
      </c>
      <c r="I19" s="39">
        <v>63</v>
      </c>
      <c r="J19" s="39">
        <v>61</v>
      </c>
      <c r="K19" s="39">
        <v>57</v>
      </c>
      <c r="L19" s="39"/>
      <c r="M19" s="39">
        <v>93</v>
      </c>
      <c r="N19" s="39"/>
      <c r="O19" s="39"/>
      <c r="P19" s="39">
        <v>101</v>
      </c>
      <c r="Q19" s="39">
        <v>136</v>
      </c>
      <c r="R19" s="39">
        <v>194</v>
      </c>
      <c r="S19" s="39">
        <v>189</v>
      </c>
      <c r="T19" s="39">
        <v>193</v>
      </c>
      <c r="U19" s="39">
        <v>159</v>
      </c>
      <c r="V19" s="39">
        <v>186</v>
      </c>
      <c r="W19" s="39">
        <v>280</v>
      </c>
      <c r="X19" s="39">
        <v>338</v>
      </c>
      <c r="Y19" s="39">
        <v>385</v>
      </c>
      <c r="Z19" s="39">
        <v>396</v>
      </c>
      <c r="AA19" s="39"/>
      <c r="AB19" s="39">
        <v>426</v>
      </c>
      <c r="AC19" s="39">
        <v>451</v>
      </c>
      <c r="AD19" s="39">
        <v>563</v>
      </c>
      <c r="AE19" s="164">
        <v>14</v>
      </c>
      <c r="AF19" s="39">
        <f>9+16</f>
        <v>25</v>
      </c>
      <c r="AG19" s="39">
        <f>3+13</f>
        <v>16</v>
      </c>
      <c r="AH19" s="39">
        <v>24</v>
      </c>
      <c r="AI19" s="39">
        <v>41</v>
      </c>
      <c r="AJ19" s="39">
        <v>6</v>
      </c>
      <c r="AK19" s="39">
        <v>27</v>
      </c>
      <c r="AL19" s="39">
        <v>25</v>
      </c>
      <c r="AM19" s="39">
        <v>34</v>
      </c>
      <c r="AN19" s="39">
        <v>52</v>
      </c>
      <c r="AO19" s="39"/>
      <c r="AP19" s="39">
        <v>66</v>
      </c>
      <c r="AQ19" s="39"/>
      <c r="AR19" s="39"/>
      <c r="AS19" s="39">
        <v>64</v>
      </c>
      <c r="AT19" s="39">
        <v>67</v>
      </c>
      <c r="AU19" s="39">
        <v>78</v>
      </c>
      <c r="AV19" s="39">
        <v>48</v>
      </c>
      <c r="AW19" s="39">
        <v>65</v>
      </c>
      <c r="AX19" s="39">
        <v>48</v>
      </c>
      <c r="AY19" s="39">
        <v>106</v>
      </c>
      <c r="AZ19" s="39">
        <v>48</v>
      </c>
      <c r="BA19" s="39">
        <v>59</v>
      </c>
      <c r="BB19" s="6">
        <v>39</v>
      </c>
      <c r="BC19" s="6">
        <v>44</v>
      </c>
      <c r="BE19" s="6">
        <v>53</v>
      </c>
      <c r="BF19" s="6">
        <v>54</v>
      </c>
      <c r="BG19" s="6">
        <v>70</v>
      </c>
    </row>
    <row r="20" spans="1:59" s="6" customFormat="1">
      <c r="A20" s="39" t="s">
        <v>26</v>
      </c>
      <c r="B20" s="39">
        <v>3589</v>
      </c>
      <c r="C20" s="39">
        <f>3353+209</f>
        <v>3562</v>
      </c>
      <c r="D20" s="39">
        <f>3496+244</f>
        <v>3740</v>
      </c>
      <c r="E20" s="39">
        <v>3837</v>
      </c>
      <c r="F20" s="39">
        <v>4355</v>
      </c>
      <c r="G20" s="39">
        <v>4692</v>
      </c>
      <c r="H20" s="39">
        <v>4856</v>
      </c>
      <c r="I20" s="39">
        <v>5034</v>
      </c>
      <c r="J20" s="39">
        <v>5656</v>
      </c>
      <c r="K20" s="39">
        <v>6021</v>
      </c>
      <c r="L20" s="39"/>
      <c r="M20" s="39">
        <v>7315</v>
      </c>
      <c r="N20" s="39"/>
      <c r="O20" s="39"/>
      <c r="P20" s="39">
        <v>9481</v>
      </c>
      <c r="Q20" s="39">
        <v>11463</v>
      </c>
      <c r="R20" s="39">
        <v>12740</v>
      </c>
      <c r="S20" s="39">
        <v>13353</v>
      </c>
      <c r="T20" s="39">
        <v>13821</v>
      </c>
      <c r="U20" s="39">
        <v>14462</v>
      </c>
      <c r="V20" s="39">
        <v>15153</v>
      </c>
      <c r="W20" s="39">
        <v>18172</v>
      </c>
      <c r="X20" s="39">
        <v>18848</v>
      </c>
      <c r="Y20" s="39">
        <v>23871</v>
      </c>
      <c r="Z20" s="39">
        <v>24473</v>
      </c>
      <c r="AA20" s="39"/>
      <c r="AB20" s="39">
        <v>30314</v>
      </c>
      <c r="AC20" s="39">
        <v>34539</v>
      </c>
      <c r="AD20" s="39">
        <v>38286</v>
      </c>
      <c r="AE20" s="164">
        <v>267</v>
      </c>
      <c r="AF20" s="39">
        <f>208+42</f>
        <v>250</v>
      </c>
      <c r="AG20" s="39">
        <f>194+40</f>
        <v>234</v>
      </c>
      <c r="AH20" s="39">
        <v>237</v>
      </c>
      <c r="AI20" s="39">
        <v>241</v>
      </c>
      <c r="AJ20" s="39">
        <v>283</v>
      </c>
      <c r="AK20" s="39">
        <v>252</v>
      </c>
      <c r="AL20" s="39">
        <v>249</v>
      </c>
      <c r="AM20" s="39">
        <v>319</v>
      </c>
      <c r="AN20" s="39">
        <v>380</v>
      </c>
      <c r="AO20" s="39"/>
      <c r="AP20" s="39">
        <v>376</v>
      </c>
      <c r="AQ20" s="39"/>
      <c r="AR20" s="39"/>
      <c r="AS20" s="39">
        <v>520</v>
      </c>
      <c r="AT20" s="39">
        <v>745</v>
      </c>
      <c r="AU20" s="39">
        <v>813</v>
      </c>
      <c r="AV20" s="39">
        <v>876</v>
      </c>
      <c r="AW20" s="39">
        <v>806</v>
      </c>
      <c r="AX20" s="39">
        <v>1440</v>
      </c>
      <c r="AY20" s="39">
        <v>1390</v>
      </c>
      <c r="AZ20" s="39">
        <v>1623</v>
      </c>
      <c r="BA20" s="39">
        <v>1768</v>
      </c>
      <c r="BB20" s="6">
        <v>1637</v>
      </c>
      <c r="BC20" s="6">
        <v>1606</v>
      </c>
      <c r="BE20" s="6">
        <v>1610</v>
      </c>
      <c r="BF20" s="6">
        <v>1896</v>
      </c>
      <c r="BG20" s="6">
        <v>2167</v>
      </c>
    </row>
    <row r="21" spans="1:59" s="6" customFormat="1">
      <c r="A21" s="39" t="s">
        <v>27</v>
      </c>
      <c r="B21" s="39">
        <v>66</v>
      </c>
      <c r="C21" s="39">
        <f>81+14</f>
        <v>95</v>
      </c>
      <c r="D21" s="39">
        <f>112+12</f>
        <v>124</v>
      </c>
      <c r="E21" s="39">
        <v>165</v>
      </c>
      <c r="F21" s="39">
        <v>172</v>
      </c>
      <c r="G21" s="39">
        <v>203</v>
      </c>
      <c r="H21" s="39">
        <v>191</v>
      </c>
      <c r="I21" s="39">
        <v>260</v>
      </c>
      <c r="J21" s="39">
        <v>283</v>
      </c>
      <c r="K21" s="39">
        <v>296</v>
      </c>
      <c r="L21" s="39"/>
      <c r="M21" s="39">
        <v>298</v>
      </c>
      <c r="N21" s="39"/>
      <c r="O21" s="39"/>
      <c r="P21" s="39">
        <v>473</v>
      </c>
      <c r="Q21" s="39">
        <v>502</v>
      </c>
      <c r="R21" s="39">
        <v>579</v>
      </c>
      <c r="S21" s="39">
        <v>595</v>
      </c>
      <c r="T21" s="39">
        <v>690</v>
      </c>
      <c r="U21" s="39">
        <v>834</v>
      </c>
      <c r="V21" s="39">
        <v>911</v>
      </c>
      <c r="W21" s="39">
        <v>1090</v>
      </c>
      <c r="X21" s="39">
        <v>1363</v>
      </c>
      <c r="Y21" s="39">
        <v>1703</v>
      </c>
      <c r="Z21" s="39">
        <v>1848</v>
      </c>
      <c r="AA21" s="39"/>
      <c r="AB21" s="39">
        <v>2181</v>
      </c>
      <c r="AC21" s="39">
        <v>2248</v>
      </c>
      <c r="AD21" s="39">
        <v>2372</v>
      </c>
      <c r="AE21" s="164">
        <v>45</v>
      </c>
      <c r="AF21" s="39">
        <f>47+10</f>
        <v>57</v>
      </c>
      <c r="AG21" s="39">
        <f>50+15</f>
        <v>65</v>
      </c>
      <c r="AH21" s="39">
        <v>74</v>
      </c>
      <c r="AI21" s="39">
        <v>57</v>
      </c>
      <c r="AJ21" s="39">
        <v>57</v>
      </c>
      <c r="AK21" s="39">
        <v>49</v>
      </c>
      <c r="AL21" s="39">
        <v>65</v>
      </c>
      <c r="AM21" s="39">
        <v>71</v>
      </c>
      <c r="AN21" s="39">
        <v>90</v>
      </c>
      <c r="AO21" s="39"/>
      <c r="AP21" s="39">
        <v>78</v>
      </c>
      <c r="AQ21" s="39"/>
      <c r="AR21" s="39"/>
      <c r="AS21" s="39">
        <v>153</v>
      </c>
      <c r="AT21" s="39">
        <v>176</v>
      </c>
      <c r="AU21" s="39">
        <v>169</v>
      </c>
      <c r="AV21" s="39">
        <v>126</v>
      </c>
      <c r="AW21" s="39">
        <v>111</v>
      </c>
      <c r="AX21" s="39">
        <v>49</v>
      </c>
      <c r="AY21" s="39">
        <v>24</v>
      </c>
      <c r="AZ21" s="39">
        <v>202</v>
      </c>
      <c r="BA21" s="39">
        <v>321</v>
      </c>
      <c r="BB21" s="6">
        <v>344</v>
      </c>
      <c r="BC21" s="6">
        <v>321</v>
      </c>
      <c r="BE21" s="6">
        <v>276</v>
      </c>
      <c r="BF21" s="6">
        <v>313</v>
      </c>
      <c r="BG21" s="6">
        <v>300</v>
      </c>
    </row>
    <row r="22" spans="1:59" s="6" customFormat="1">
      <c r="A22" s="40" t="s">
        <v>28</v>
      </c>
      <c r="B22" s="40">
        <v>6</v>
      </c>
      <c r="C22" s="40">
        <f>3+1</f>
        <v>4</v>
      </c>
      <c r="D22" s="40">
        <f>2+0</f>
        <v>2</v>
      </c>
      <c r="E22" s="40">
        <v>7</v>
      </c>
      <c r="F22" s="40">
        <v>6</v>
      </c>
      <c r="G22" s="40">
        <v>19</v>
      </c>
      <c r="H22" s="40">
        <v>8</v>
      </c>
      <c r="I22" s="40">
        <v>9</v>
      </c>
      <c r="J22" s="40">
        <v>75</v>
      </c>
      <c r="K22" s="40">
        <v>8</v>
      </c>
      <c r="L22" s="40"/>
      <c r="M22" s="40">
        <v>12</v>
      </c>
      <c r="N22" s="40"/>
      <c r="O22" s="40"/>
      <c r="P22" s="40">
        <v>12</v>
      </c>
      <c r="Q22" s="40">
        <v>11</v>
      </c>
      <c r="R22" s="40">
        <v>13</v>
      </c>
      <c r="S22" s="40">
        <v>12</v>
      </c>
      <c r="T22" s="40">
        <v>14</v>
      </c>
      <c r="U22" s="40">
        <v>41</v>
      </c>
      <c r="V22" s="40">
        <v>37</v>
      </c>
      <c r="W22" s="40">
        <v>88</v>
      </c>
      <c r="X22" s="40">
        <v>32</v>
      </c>
      <c r="Y22" s="40">
        <v>27</v>
      </c>
      <c r="Z22" s="40">
        <v>29</v>
      </c>
      <c r="AA22" s="40"/>
      <c r="AB22" s="40">
        <v>45</v>
      </c>
      <c r="AC22" s="40">
        <v>65</v>
      </c>
      <c r="AD22" s="40">
        <v>76</v>
      </c>
      <c r="AE22" s="165">
        <v>24</v>
      </c>
      <c r="AF22" s="40">
        <f>27+0</f>
        <v>27</v>
      </c>
      <c r="AG22" s="40">
        <f>24+1</f>
        <v>25</v>
      </c>
      <c r="AH22" s="40">
        <v>31</v>
      </c>
      <c r="AI22" s="40">
        <v>15</v>
      </c>
      <c r="AJ22" s="40">
        <v>17</v>
      </c>
      <c r="AK22" s="40">
        <v>22</v>
      </c>
      <c r="AL22" s="40">
        <v>12</v>
      </c>
      <c r="AM22" s="40">
        <v>26</v>
      </c>
      <c r="AN22" s="40">
        <v>26</v>
      </c>
      <c r="AO22" s="40"/>
      <c r="AP22" s="40">
        <v>19</v>
      </c>
      <c r="AQ22" s="40"/>
      <c r="AR22" s="40"/>
      <c r="AS22" s="40">
        <v>24</v>
      </c>
      <c r="AT22" s="40">
        <v>24</v>
      </c>
      <c r="AU22" s="40">
        <v>11</v>
      </c>
      <c r="AV22" s="40">
        <v>24</v>
      </c>
      <c r="AW22" s="40">
        <v>15</v>
      </c>
      <c r="AX22" s="40">
        <v>17</v>
      </c>
      <c r="AY22" s="40">
        <v>19</v>
      </c>
      <c r="AZ22" s="40">
        <v>15</v>
      </c>
      <c r="BA22" s="40">
        <v>21</v>
      </c>
      <c r="BB22" s="7">
        <v>4</v>
      </c>
      <c r="BC22" s="7">
        <v>12</v>
      </c>
      <c r="BD22" s="7"/>
      <c r="BE22" s="7">
        <v>22</v>
      </c>
      <c r="BF22" s="7">
        <v>25</v>
      </c>
      <c r="BG22" s="7">
        <v>15</v>
      </c>
    </row>
    <row r="23" spans="1:59" s="6" customFormat="1">
      <c r="A23" s="122" t="s">
        <v>185</v>
      </c>
      <c r="B23" s="122">
        <f>SUM(B25:B37)</f>
        <v>7198</v>
      </c>
      <c r="C23" s="122"/>
      <c r="D23" s="122"/>
      <c r="E23" s="122">
        <f t="shared" ref="E23:K23" si="34">SUM(E25:E37)</f>
        <v>9921</v>
      </c>
      <c r="F23" s="122">
        <f t="shared" si="34"/>
        <v>11123</v>
      </c>
      <c r="G23" s="122">
        <f t="shared" si="34"/>
        <v>12511</v>
      </c>
      <c r="H23" s="122">
        <f t="shared" si="34"/>
        <v>13809</v>
      </c>
      <c r="I23" s="122">
        <f t="shared" si="34"/>
        <v>16036</v>
      </c>
      <c r="J23" s="122">
        <f t="shared" si="34"/>
        <v>18336</v>
      </c>
      <c r="K23" s="122">
        <f t="shared" si="34"/>
        <v>18999</v>
      </c>
      <c r="L23" s="122"/>
      <c r="M23" s="122">
        <f>SUM(M25:M37)</f>
        <v>23485</v>
      </c>
      <c r="N23" s="122"/>
      <c r="O23" s="122"/>
      <c r="P23" s="122">
        <f t="shared" ref="P23:AE23" si="35">SUM(P25:P37)</f>
        <v>28927</v>
      </c>
      <c r="Q23" s="122">
        <f t="shared" si="35"/>
        <v>30061</v>
      </c>
      <c r="R23" s="122">
        <f t="shared" si="35"/>
        <v>31955</v>
      </c>
      <c r="S23" s="122">
        <f t="shared" si="35"/>
        <v>32205</v>
      </c>
      <c r="T23" s="122">
        <f t="shared" si="35"/>
        <v>34181</v>
      </c>
      <c r="U23" s="122">
        <f t="shared" si="35"/>
        <v>36566</v>
      </c>
      <c r="V23" s="122">
        <f t="shared" si="35"/>
        <v>38276</v>
      </c>
      <c r="W23" s="122">
        <f t="shared" si="35"/>
        <v>42090</v>
      </c>
      <c r="X23" s="122">
        <f t="shared" si="35"/>
        <v>44964</v>
      </c>
      <c r="Y23" s="122">
        <f t="shared" ref="Y23:Z23" si="36">SUM(Y25:Y37)</f>
        <v>55598</v>
      </c>
      <c r="Z23" s="122">
        <f t="shared" si="36"/>
        <v>61092</v>
      </c>
      <c r="AA23" s="122">
        <f t="shared" ref="AA23:AB23" si="37">SUM(AA25:AA37)</f>
        <v>0</v>
      </c>
      <c r="AB23" s="122">
        <f t="shared" si="37"/>
        <v>72651</v>
      </c>
      <c r="AC23" s="122">
        <f t="shared" ref="AC23:AD23" si="38">SUM(AC25:AC37)</f>
        <v>81092</v>
      </c>
      <c r="AD23" s="122">
        <f t="shared" si="38"/>
        <v>88471</v>
      </c>
      <c r="AE23" s="163">
        <f t="shared" si="35"/>
        <v>1393</v>
      </c>
      <c r="AF23" s="122"/>
      <c r="AG23" s="122"/>
      <c r="AH23" s="122">
        <f t="shared" ref="AH23:AN23" si="39">SUM(AH25:AH37)</f>
        <v>3544</v>
      </c>
      <c r="AI23" s="122">
        <f t="shared" si="39"/>
        <v>4527</v>
      </c>
      <c r="AJ23" s="122">
        <f t="shared" si="39"/>
        <v>4880</v>
      </c>
      <c r="AK23" s="122">
        <f t="shared" si="39"/>
        <v>5220</v>
      </c>
      <c r="AL23" s="122">
        <f t="shared" si="39"/>
        <v>5412</v>
      </c>
      <c r="AM23" s="122">
        <f t="shared" si="39"/>
        <v>5549</v>
      </c>
      <c r="AN23" s="122">
        <f t="shared" si="39"/>
        <v>6644</v>
      </c>
      <c r="AO23" s="122"/>
      <c r="AP23" s="122">
        <f>SUM(AP25:AP37)</f>
        <v>4557</v>
      </c>
      <c r="AQ23" s="122"/>
      <c r="AR23" s="122"/>
      <c r="AS23" s="122">
        <f t="shared" ref="AS23:BA23" si="40">SUM(AS25:AS37)</f>
        <v>5486</v>
      </c>
      <c r="AT23" s="122">
        <f t="shared" si="40"/>
        <v>5285</v>
      </c>
      <c r="AU23" s="122">
        <f t="shared" si="40"/>
        <v>5152</v>
      </c>
      <c r="AV23" s="122">
        <f t="shared" si="40"/>
        <v>4926</v>
      </c>
      <c r="AW23" s="122">
        <f t="shared" si="40"/>
        <v>5184</v>
      </c>
      <c r="AX23" s="122">
        <f t="shared" si="40"/>
        <v>5133</v>
      </c>
      <c r="AY23" s="122">
        <f t="shared" si="40"/>
        <v>5803</v>
      </c>
      <c r="AZ23" s="122">
        <f t="shared" si="40"/>
        <v>5979</v>
      </c>
      <c r="BA23" s="122">
        <f t="shared" si="40"/>
        <v>5517</v>
      </c>
      <c r="BB23" s="122">
        <f t="shared" ref="BB23:BC23" si="41">SUM(BB25:BB37)</f>
        <v>6071</v>
      </c>
      <c r="BC23" s="122">
        <f t="shared" si="41"/>
        <v>6364</v>
      </c>
      <c r="BD23" s="122">
        <f t="shared" ref="BD23:BE23" si="42">SUM(BD25:BD37)</f>
        <v>0</v>
      </c>
      <c r="BE23" s="122">
        <f t="shared" si="42"/>
        <v>7006</v>
      </c>
      <c r="BF23" s="122">
        <f t="shared" ref="BF23:BG23" si="43">SUM(BF25:BF37)</f>
        <v>7690</v>
      </c>
      <c r="BG23" s="122">
        <f t="shared" si="43"/>
        <v>7881</v>
      </c>
    </row>
    <row r="24" spans="1:59">
      <c r="A24" s="58" t="s">
        <v>189</v>
      </c>
      <c r="B24" s="58">
        <f>(B23/B4)*100</f>
        <v>38.977635782747605</v>
      </c>
      <c r="C24" s="58"/>
      <c r="D24" s="58"/>
      <c r="E24" s="58">
        <f t="shared" ref="E24:K24" si="44">(E23/E4)*100</f>
        <v>37.985297495979786</v>
      </c>
      <c r="F24" s="58">
        <f t="shared" si="44"/>
        <v>38.33005961611358</v>
      </c>
      <c r="G24" s="58">
        <f t="shared" si="44"/>
        <v>39.342767295597483</v>
      </c>
      <c r="H24" s="58">
        <f t="shared" si="44"/>
        <v>40.418557002780624</v>
      </c>
      <c r="I24" s="58">
        <f t="shared" si="44"/>
        <v>42.842639593908629</v>
      </c>
      <c r="J24" s="58">
        <f t="shared" si="44"/>
        <v>43.074610035707572</v>
      </c>
      <c r="K24" s="58">
        <f t="shared" si="44"/>
        <v>42.448277402922386</v>
      </c>
      <c r="L24" s="58"/>
      <c r="M24" s="58">
        <f>(M23/M4)*100</f>
        <v>47.02172389628592</v>
      </c>
      <c r="N24" s="58"/>
      <c r="O24" s="58"/>
      <c r="P24" s="58">
        <f t="shared" ref="P24:AE24" si="45">(P23/P4)*100</f>
        <v>46.016671439025167</v>
      </c>
      <c r="Q24" s="58">
        <f t="shared" si="45"/>
        <v>44.025424349379769</v>
      </c>
      <c r="R24" s="58">
        <f t="shared" si="45"/>
        <v>43.304152211621854</v>
      </c>
      <c r="S24" s="58">
        <f t="shared" si="45"/>
        <v>42.58287164976398</v>
      </c>
      <c r="T24" s="58">
        <f t="shared" si="45"/>
        <v>42.624484044344129</v>
      </c>
      <c r="U24" s="58">
        <f t="shared" si="45"/>
        <v>42.95716735978948</v>
      </c>
      <c r="V24" s="58">
        <f t="shared" si="45"/>
        <v>42.001075375009599</v>
      </c>
      <c r="W24" s="58">
        <f t="shared" si="45"/>
        <v>40.567110665612894</v>
      </c>
      <c r="X24" s="58">
        <f t="shared" si="45"/>
        <v>39.745776944903604</v>
      </c>
      <c r="Y24" s="58">
        <f t="shared" ref="Y24:Z24" si="46">(Y23/Y4)*100</f>
        <v>39.810677665120011</v>
      </c>
      <c r="Z24" s="58">
        <f t="shared" si="46"/>
        <v>41.275589487196811</v>
      </c>
      <c r="AA24" s="58" t="e">
        <f t="shared" ref="AA24:AB24" si="47">(AA23/AA4)*100</f>
        <v>#DIV/0!</v>
      </c>
      <c r="AB24" s="58">
        <f t="shared" si="47"/>
        <v>42.491183127752528</v>
      </c>
      <c r="AC24" s="58">
        <f t="shared" ref="AC24:AD24" si="48">(AC23/AC4)*100</f>
        <v>43.336664511198634</v>
      </c>
      <c r="AD24" s="58">
        <f t="shared" si="48"/>
        <v>44.049829966690403</v>
      </c>
      <c r="AE24" s="82">
        <f t="shared" si="45"/>
        <v>31.149373881932018</v>
      </c>
      <c r="AF24" s="58"/>
      <c r="AG24" s="58"/>
      <c r="AH24" s="58">
        <f t="shared" ref="AH24:AN24" si="49">(AH23/AH4)*100</f>
        <v>44.360996370008756</v>
      </c>
      <c r="AI24" s="58">
        <f t="shared" si="49"/>
        <v>50.406413539694917</v>
      </c>
      <c r="AJ24" s="58">
        <f t="shared" si="49"/>
        <v>48.126232741617358</v>
      </c>
      <c r="AK24" s="58">
        <f t="shared" si="49"/>
        <v>53.908912527109365</v>
      </c>
      <c r="AL24" s="58">
        <f t="shared" si="49"/>
        <v>53.420195439739416</v>
      </c>
      <c r="AM24" s="58">
        <f t="shared" si="49"/>
        <v>51.55146785581568</v>
      </c>
      <c r="AN24" s="58">
        <f t="shared" si="49"/>
        <v>53.745348649085912</v>
      </c>
      <c r="AO24" s="58"/>
      <c r="AP24" s="58">
        <f>(AP23/AP4)*100</f>
        <v>45.172482157018237</v>
      </c>
      <c r="AQ24" s="58"/>
      <c r="AR24" s="58"/>
      <c r="AS24" s="58">
        <f t="shared" ref="AS24:BA24" si="50">(AS23/AS4)*100</f>
        <v>40.842763549731984</v>
      </c>
      <c r="AT24" s="58">
        <f t="shared" si="50"/>
        <v>36.380532800991254</v>
      </c>
      <c r="AU24" s="58">
        <f t="shared" si="50"/>
        <v>36.590909090909093</v>
      </c>
      <c r="AV24" s="58">
        <f t="shared" si="50"/>
        <v>37.07104154124022</v>
      </c>
      <c r="AW24" s="58">
        <f t="shared" si="50"/>
        <v>37.690853569870583</v>
      </c>
      <c r="AX24" s="58">
        <f t="shared" si="50"/>
        <v>35.603801068183394</v>
      </c>
      <c r="AY24" s="58">
        <f t="shared" si="50"/>
        <v>38.217860906217069</v>
      </c>
      <c r="AZ24" s="58">
        <f t="shared" si="50"/>
        <v>37.157417189733394</v>
      </c>
      <c r="BA24" s="58">
        <f t="shared" si="50"/>
        <v>34.222442776502696</v>
      </c>
      <c r="BB24" s="58">
        <f t="shared" ref="BB24:BC24" si="51">(BB23/BB4)*100</f>
        <v>35.667704600199748</v>
      </c>
      <c r="BC24" s="58">
        <f t="shared" si="51"/>
        <v>37.883207333769867</v>
      </c>
      <c r="BD24" s="58" t="e">
        <f t="shared" ref="BD24:BE24" si="52">(BD23/BD4)*100</f>
        <v>#DIV/0!</v>
      </c>
      <c r="BE24" s="58">
        <f t="shared" si="52"/>
        <v>39.119995532972247</v>
      </c>
      <c r="BF24" s="58">
        <f t="shared" ref="BF24:BG24" si="53">(BF23/BF4)*100</f>
        <v>39.743656002894205</v>
      </c>
      <c r="BG24" s="58">
        <f t="shared" si="53"/>
        <v>37.726184777405457</v>
      </c>
    </row>
    <row r="25" spans="1:59" s="6" customFormat="1">
      <c r="A25" s="39" t="s">
        <v>112</v>
      </c>
      <c r="B25" s="39">
        <v>11</v>
      </c>
      <c r="C25" s="39"/>
      <c r="D25" s="39"/>
      <c r="E25" s="39">
        <v>12</v>
      </c>
      <c r="F25" s="39">
        <v>24</v>
      </c>
      <c r="G25" s="39">
        <v>26</v>
      </c>
      <c r="H25" s="39">
        <v>23</v>
      </c>
      <c r="I25" s="39">
        <v>27</v>
      </c>
      <c r="J25" s="39">
        <v>31</v>
      </c>
      <c r="K25" s="39">
        <v>24</v>
      </c>
      <c r="L25" s="39"/>
      <c r="M25" s="39">
        <v>37</v>
      </c>
      <c r="N25" s="39"/>
      <c r="O25" s="39"/>
      <c r="P25" s="39">
        <v>34</v>
      </c>
      <c r="Q25" s="39">
        <v>43</v>
      </c>
      <c r="R25" s="39">
        <v>29</v>
      </c>
      <c r="S25" s="39">
        <v>42</v>
      </c>
      <c r="T25" s="39">
        <v>39</v>
      </c>
      <c r="U25" s="39">
        <v>43</v>
      </c>
      <c r="V25" s="39">
        <v>46</v>
      </c>
      <c r="W25" s="39">
        <v>67</v>
      </c>
      <c r="X25" s="39">
        <v>131</v>
      </c>
      <c r="Y25" s="39">
        <v>210</v>
      </c>
      <c r="Z25" s="39">
        <v>218</v>
      </c>
      <c r="AA25" s="39"/>
      <c r="AB25" s="39">
        <v>170</v>
      </c>
      <c r="AC25" s="39">
        <v>86</v>
      </c>
      <c r="AD25" s="39">
        <v>96</v>
      </c>
      <c r="AE25" s="164">
        <v>1</v>
      </c>
      <c r="AF25" s="39"/>
      <c r="AG25" s="39"/>
      <c r="AH25" s="39">
        <v>6</v>
      </c>
      <c r="AI25" s="39">
        <v>20</v>
      </c>
      <c r="AJ25" s="39">
        <v>30</v>
      </c>
      <c r="AK25" s="39">
        <v>11</v>
      </c>
      <c r="AL25" s="39">
        <v>24</v>
      </c>
      <c r="AM25" s="39">
        <v>25</v>
      </c>
      <c r="AN25" s="39">
        <v>10</v>
      </c>
      <c r="AO25" s="39"/>
      <c r="AP25" s="39">
        <v>6</v>
      </c>
      <c r="AQ25" s="39"/>
      <c r="AR25" s="39"/>
      <c r="AS25" s="39">
        <v>14</v>
      </c>
      <c r="AT25" s="39">
        <v>8</v>
      </c>
      <c r="AU25" s="39">
        <v>6</v>
      </c>
      <c r="AV25" s="39">
        <v>11</v>
      </c>
      <c r="AW25" s="39">
        <v>7</v>
      </c>
      <c r="AX25" s="39">
        <v>8</v>
      </c>
      <c r="AY25" s="39">
        <v>8</v>
      </c>
      <c r="AZ25" s="39">
        <v>19</v>
      </c>
      <c r="BA25" s="39">
        <v>27</v>
      </c>
      <c r="BB25" s="6">
        <v>36</v>
      </c>
      <c r="BC25" s="6">
        <v>10</v>
      </c>
      <c r="BE25" s="6">
        <v>7</v>
      </c>
      <c r="BF25" s="6">
        <v>6</v>
      </c>
      <c r="BG25" s="6">
        <v>6</v>
      </c>
    </row>
    <row r="26" spans="1:59" s="6" customFormat="1">
      <c r="A26" s="39" t="s">
        <v>113</v>
      </c>
      <c r="B26" s="39">
        <v>569</v>
      </c>
      <c r="C26" s="39"/>
      <c r="D26" s="39"/>
      <c r="E26" s="39">
        <v>873</v>
      </c>
      <c r="F26" s="39">
        <v>859</v>
      </c>
      <c r="G26" s="39">
        <v>994</v>
      </c>
      <c r="H26" s="39">
        <v>983</v>
      </c>
      <c r="I26" s="39">
        <v>1226</v>
      </c>
      <c r="J26" s="39">
        <v>1494</v>
      </c>
      <c r="K26" s="39">
        <v>1613</v>
      </c>
      <c r="L26" s="39"/>
      <c r="M26" s="39">
        <v>2107</v>
      </c>
      <c r="N26" s="39"/>
      <c r="O26" s="39"/>
      <c r="P26" s="39">
        <v>2439</v>
      </c>
      <c r="Q26" s="39">
        <v>2730</v>
      </c>
      <c r="R26" s="39">
        <v>2935</v>
      </c>
      <c r="S26" s="39">
        <v>2891</v>
      </c>
      <c r="T26" s="39">
        <v>3866</v>
      </c>
      <c r="U26" s="39">
        <v>4251</v>
      </c>
      <c r="V26" s="39">
        <v>4966</v>
      </c>
      <c r="W26" s="39">
        <v>5698</v>
      </c>
      <c r="X26" s="39">
        <v>4187</v>
      </c>
      <c r="Y26" s="39">
        <v>7586</v>
      </c>
      <c r="Z26" s="39">
        <v>7425</v>
      </c>
      <c r="AA26" s="39"/>
      <c r="AB26" s="39">
        <v>7404</v>
      </c>
      <c r="AC26" s="39">
        <v>7408</v>
      </c>
      <c r="AD26" s="39">
        <v>7494</v>
      </c>
      <c r="AE26" s="164">
        <v>5</v>
      </c>
      <c r="AF26" s="39"/>
      <c r="AG26" s="39"/>
      <c r="AH26" s="39">
        <v>41</v>
      </c>
      <c r="AI26" s="39">
        <v>55</v>
      </c>
      <c r="AJ26" s="39">
        <v>63</v>
      </c>
      <c r="AK26" s="39">
        <v>28</v>
      </c>
      <c r="AL26" s="39">
        <v>36</v>
      </c>
      <c r="AM26" s="39">
        <v>37</v>
      </c>
      <c r="AN26" s="39">
        <v>74</v>
      </c>
      <c r="AO26" s="39"/>
      <c r="AP26" s="39">
        <v>85</v>
      </c>
      <c r="AQ26" s="39"/>
      <c r="AR26" s="39"/>
      <c r="AS26" s="39">
        <v>219</v>
      </c>
      <c r="AT26" s="39">
        <v>152</v>
      </c>
      <c r="AU26" s="39">
        <v>229</v>
      </c>
      <c r="AV26" s="39">
        <v>256</v>
      </c>
      <c r="AW26" s="39">
        <v>718</v>
      </c>
      <c r="AX26" s="39">
        <v>396</v>
      </c>
      <c r="AY26" s="39">
        <v>560</v>
      </c>
      <c r="AZ26" s="39">
        <v>730</v>
      </c>
      <c r="BA26" s="39">
        <v>204</v>
      </c>
      <c r="BB26" s="6">
        <v>927</v>
      </c>
      <c r="BC26" s="6">
        <v>653</v>
      </c>
      <c r="BE26" s="6">
        <v>395</v>
      </c>
      <c r="BF26" s="6">
        <v>316</v>
      </c>
      <c r="BG26" s="6">
        <v>279</v>
      </c>
    </row>
    <row r="27" spans="1:59" s="6" customFormat="1">
      <c r="A27" s="39" t="s">
        <v>114</v>
      </c>
      <c r="B27" s="39">
        <v>5312</v>
      </c>
      <c r="C27" s="39"/>
      <c r="D27" s="39"/>
      <c r="E27" s="39">
        <v>6893</v>
      </c>
      <c r="F27" s="39">
        <v>7923</v>
      </c>
      <c r="G27" s="39">
        <v>8844</v>
      </c>
      <c r="H27" s="39">
        <v>10128</v>
      </c>
      <c r="I27" s="39">
        <v>11573</v>
      </c>
      <c r="J27" s="39">
        <v>13527</v>
      </c>
      <c r="K27" s="39">
        <v>13964</v>
      </c>
      <c r="L27" s="39"/>
      <c r="M27" s="39">
        <v>17499</v>
      </c>
      <c r="N27" s="39"/>
      <c r="O27" s="39"/>
      <c r="P27" s="39">
        <v>21680</v>
      </c>
      <c r="Q27" s="39">
        <v>22014</v>
      </c>
      <c r="R27" s="39">
        <v>23277</v>
      </c>
      <c r="S27" s="39">
        <v>23317</v>
      </c>
      <c r="T27" s="39">
        <v>24284</v>
      </c>
      <c r="U27" s="39">
        <v>25801</v>
      </c>
      <c r="V27" s="39">
        <v>26329</v>
      </c>
      <c r="W27" s="39">
        <v>28624</v>
      </c>
      <c r="X27" s="39">
        <v>31392</v>
      </c>
      <c r="Y27" s="39">
        <v>37004</v>
      </c>
      <c r="Z27" s="39">
        <v>41200</v>
      </c>
      <c r="AA27" s="39"/>
      <c r="AB27" s="39">
        <v>51035</v>
      </c>
      <c r="AC27" s="39">
        <v>58634</v>
      </c>
      <c r="AD27" s="39">
        <v>64990</v>
      </c>
      <c r="AE27" s="164">
        <v>877</v>
      </c>
      <c r="AF27" s="39"/>
      <c r="AG27" s="39"/>
      <c r="AH27" s="39">
        <v>2235</v>
      </c>
      <c r="AI27" s="39">
        <v>3046</v>
      </c>
      <c r="AJ27" s="39">
        <v>3142</v>
      </c>
      <c r="AK27" s="39">
        <v>3445</v>
      </c>
      <c r="AL27" s="39">
        <v>3695</v>
      </c>
      <c r="AM27" s="39">
        <v>3877</v>
      </c>
      <c r="AN27" s="39">
        <v>4926</v>
      </c>
      <c r="AO27" s="39"/>
      <c r="AP27" s="39">
        <v>2714</v>
      </c>
      <c r="AQ27" s="39"/>
      <c r="AR27" s="39"/>
      <c r="AS27" s="39">
        <v>3457</v>
      </c>
      <c r="AT27" s="39">
        <v>3570</v>
      </c>
      <c r="AU27" s="39">
        <v>3322</v>
      </c>
      <c r="AV27" s="39">
        <v>3050</v>
      </c>
      <c r="AW27" s="39">
        <v>2821</v>
      </c>
      <c r="AX27" s="39">
        <v>2848</v>
      </c>
      <c r="AY27" s="39">
        <v>3075</v>
      </c>
      <c r="AZ27" s="39">
        <v>2885</v>
      </c>
      <c r="BA27" s="39">
        <v>2860</v>
      </c>
      <c r="BB27" s="6">
        <v>2700</v>
      </c>
      <c r="BC27" s="6">
        <v>2841</v>
      </c>
      <c r="BE27" s="6">
        <v>3270</v>
      </c>
      <c r="BF27" s="6">
        <v>3983</v>
      </c>
      <c r="BG27" s="6">
        <v>3917</v>
      </c>
    </row>
    <row r="28" spans="1:59" s="6" customFormat="1">
      <c r="A28" s="39" t="s">
        <v>115</v>
      </c>
      <c r="B28" s="39">
        <v>407</v>
      </c>
      <c r="C28" s="39"/>
      <c r="D28" s="39"/>
      <c r="E28" s="39">
        <v>613</v>
      </c>
      <c r="F28" s="39">
        <v>618</v>
      </c>
      <c r="G28" s="39">
        <v>784</v>
      </c>
      <c r="H28" s="39">
        <v>688</v>
      </c>
      <c r="I28" s="39">
        <v>995</v>
      </c>
      <c r="J28" s="39">
        <v>829</v>
      </c>
      <c r="K28" s="39">
        <v>842</v>
      </c>
      <c r="L28" s="39"/>
      <c r="M28" s="39">
        <v>842</v>
      </c>
      <c r="N28" s="39"/>
      <c r="O28" s="39"/>
      <c r="P28" s="39">
        <v>1149</v>
      </c>
      <c r="Q28" s="39">
        <v>1275</v>
      </c>
      <c r="R28" s="39">
        <v>1372</v>
      </c>
      <c r="S28" s="39">
        <v>1275</v>
      </c>
      <c r="T28" s="39">
        <v>1240</v>
      </c>
      <c r="U28" s="39">
        <v>1443</v>
      </c>
      <c r="V28" s="39">
        <v>1802</v>
      </c>
      <c r="W28" s="39">
        <v>1757</v>
      </c>
      <c r="X28" s="39">
        <v>1735</v>
      </c>
      <c r="Y28" s="39">
        <v>1959</v>
      </c>
      <c r="Z28" s="39">
        <v>2018</v>
      </c>
      <c r="AA28" s="39"/>
      <c r="AB28" s="39">
        <v>2087</v>
      </c>
      <c r="AC28" s="39">
        <v>2181</v>
      </c>
      <c r="AD28" s="39">
        <v>2199</v>
      </c>
      <c r="AE28" s="164">
        <v>119</v>
      </c>
      <c r="AF28" s="39"/>
      <c r="AG28" s="39"/>
      <c r="AH28" s="39">
        <v>134</v>
      </c>
      <c r="AI28" s="39">
        <v>145</v>
      </c>
      <c r="AJ28" s="39">
        <v>169</v>
      </c>
      <c r="AK28" s="39">
        <v>188</v>
      </c>
      <c r="AL28" s="39">
        <v>201</v>
      </c>
      <c r="AM28" s="39">
        <v>261</v>
      </c>
      <c r="AN28" s="39">
        <v>156</v>
      </c>
      <c r="AO28" s="39"/>
      <c r="AP28" s="39">
        <v>120</v>
      </c>
      <c r="AQ28" s="39"/>
      <c r="AR28" s="39"/>
      <c r="AS28" s="39">
        <v>92</v>
      </c>
      <c r="AT28" s="39">
        <v>116</v>
      </c>
      <c r="AU28" s="39">
        <v>119</v>
      </c>
      <c r="AV28" s="39">
        <v>107</v>
      </c>
      <c r="AW28" s="39">
        <v>10</v>
      </c>
      <c r="AX28" s="39">
        <v>18</v>
      </c>
      <c r="AY28" s="39">
        <v>12</v>
      </c>
      <c r="AZ28" s="39">
        <v>58</v>
      </c>
      <c r="BA28" s="39">
        <v>83</v>
      </c>
      <c r="BB28" s="6">
        <v>98</v>
      </c>
      <c r="BC28" s="6">
        <v>85</v>
      </c>
      <c r="BE28" s="6">
        <v>151</v>
      </c>
      <c r="BF28" s="6">
        <v>188</v>
      </c>
      <c r="BG28" s="6">
        <v>186</v>
      </c>
    </row>
    <row r="29" spans="1:59" s="6" customFormat="1">
      <c r="A29" s="39" t="s">
        <v>117</v>
      </c>
      <c r="B29" s="39">
        <v>44</v>
      </c>
      <c r="C29" s="39"/>
      <c r="D29" s="39"/>
      <c r="E29" s="39">
        <v>45</v>
      </c>
      <c r="F29" s="39">
        <v>66</v>
      </c>
      <c r="G29" s="39">
        <v>57</v>
      </c>
      <c r="H29" s="39">
        <v>56</v>
      </c>
      <c r="I29" s="39">
        <v>77</v>
      </c>
      <c r="J29" s="39">
        <v>96</v>
      </c>
      <c r="K29" s="39">
        <v>97</v>
      </c>
      <c r="L29" s="39"/>
      <c r="M29" s="39">
        <v>99</v>
      </c>
      <c r="N29" s="39"/>
      <c r="O29" s="39"/>
      <c r="P29" s="39">
        <v>124</v>
      </c>
      <c r="Q29" s="39">
        <v>119</v>
      </c>
      <c r="R29" s="39">
        <v>124</v>
      </c>
      <c r="S29" s="39">
        <v>80</v>
      </c>
      <c r="T29" s="39">
        <v>103</v>
      </c>
      <c r="U29" s="39">
        <v>121</v>
      </c>
      <c r="V29" s="39">
        <v>112</v>
      </c>
      <c r="W29" s="39">
        <v>111</v>
      </c>
      <c r="X29" s="39">
        <v>301</v>
      </c>
      <c r="Y29" s="39">
        <v>368</v>
      </c>
      <c r="Z29" s="39">
        <v>415</v>
      </c>
      <c r="AA29" s="39"/>
      <c r="AB29" s="39">
        <v>457</v>
      </c>
      <c r="AC29" s="39">
        <v>474</v>
      </c>
      <c r="AD29" s="39">
        <v>460</v>
      </c>
      <c r="AE29" s="164">
        <v>32</v>
      </c>
      <c r="AF29" s="39"/>
      <c r="AG29" s="39"/>
      <c r="AH29" s="39">
        <v>7</v>
      </c>
      <c r="AI29" s="39">
        <v>31</v>
      </c>
      <c r="AJ29" s="39">
        <v>38</v>
      </c>
      <c r="AK29" s="39">
        <v>2</v>
      </c>
      <c r="AL29" s="39">
        <v>25</v>
      </c>
      <c r="AM29" s="39">
        <v>15</v>
      </c>
      <c r="AN29" s="39">
        <v>42</v>
      </c>
      <c r="AO29" s="39"/>
      <c r="AP29" s="39">
        <v>20</v>
      </c>
      <c r="AQ29" s="39"/>
      <c r="AR29" s="39"/>
      <c r="AS29" s="39">
        <v>14</v>
      </c>
      <c r="AT29" s="39">
        <v>14</v>
      </c>
      <c r="AU29" s="39">
        <v>4</v>
      </c>
      <c r="AV29" s="39"/>
      <c r="AW29" s="39">
        <v>148</v>
      </c>
      <c r="AX29" s="39">
        <v>190</v>
      </c>
      <c r="AY29" s="39">
        <v>162</v>
      </c>
      <c r="AZ29" s="39">
        <v>194</v>
      </c>
      <c r="BA29" s="39">
        <v>182</v>
      </c>
      <c r="BB29" s="6">
        <v>164</v>
      </c>
      <c r="BC29" s="6">
        <v>159</v>
      </c>
      <c r="BE29" s="6">
        <v>189</v>
      </c>
      <c r="BF29" s="6">
        <v>248</v>
      </c>
      <c r="BG29" s="6">
        <v>218</v>
      </c>
    </row>
    <row r="30" spans="1:59" s="6" customFormat="1">
      <c r="A30" s="39" t="s">
        <v>119</v>
      </c>
      <c r="B30" s="39">
        <v>32</v>
      </c>
      <c r="C30" s="39"/>
      <c r="D30" s="39"/>
      <c r="E30" s="39">
        <v>62</v>
      </c>
      <c r="F30" s="39">
        <v>36</v>
      </c>
      <c r="G30" s="39">
        <v>44</v>
      </c>
      <c r="H30" s="39">
        <v>64</v>
      </c>
      <c r="I30" s="39">
        <v>78</v>
      </c>
      <c r="J30" s="39">
        <v>66</v>
      </c>
      <c r="K30" s="39">
        <v>72</v>
      </c>
      <c r="L30" s="39"/>
      <c r="M30" s="39">
        <v>100</v>
      </c>
      <c r="N30" s="39"/>
      <c r="O30" s="39"/>
      <c r="P30" s="39">
        <v>91</v>
      </c>
      <c r="Q30" s="39">
        <v>98</v>
      </c>
      <c r="R30" s="39">
        <v>85</v>
      </c>
      <c r="S30" s="39">
        <v>90</v>
      </c>
      <c r="T30" s="39">
        <v>101</v>
      </c>
      <c r="U30" s="39">
        <v>133</v>
      </c>
      <c r="V30" s="39">
        <v>152</v>
      </c>
      <c r="W30" s="39">
        <v>141</v>
      </c>
      <c r="X30" s="39">
        <v>226</v>
      </c>
      <c r="Y30" s="39">
        <v>302</v>
      </c>
      <c r="Z30" s="39">
        <v>427</v>
      </c>
      <c r="AA30" s="39"/>
      <c r="AB30" s="39">
        <v>385</v>
      </c>
      <c r="AC30" s="39">
        <v>476</v>
      </c>
      <c r="AD30" s="39">
        <v>483</v>
      </c>
      <c r="AE30" s="164">
        <v>63</v>
      </c>
      <c r="AF30" s="39"/>
      <c r="AG30" s="39"/>
      <c r="AH30" s="39">
        <v>119</v>
      </c>
      <c r="AI30" s="39">
        <v>113</v>
      </c>
      <c r="AJ30" s="39">
        <v>149</v>
      </c>
      <c r="AK30" s="39">
        <v>119</v>
      </c>
      <c r="AL30" s="39">
        <v>137</v>
      </c>
      <c r="AM30" s="39">
        <v>101</v>
      </c>
      <c r="AN30" s="39">
        <v>157</v>
      </c>
      <c r="AO30" s="39"/>
      <c r="AP30" s="39">
        <v>132</v>
      </c>
      <c r="AQ30" s="39"/>
      <c r="AR30" s="39"/>
      <c r="AS30" s="39">
        <v>61</v>
      </c>
      <c r="AT30" s="39">
        <v>77</v>
      </c>
      <c r="AU30" s="39">
        <v>62</v>
      </c>
      <c r="AV30" s="39">
        <v>67</v>
      </c>
      <c r="AW30" s="39">
        <v>51</v>
      </c>
      <c r="AX30" s="39">
        <v>65</v>
      </c>
      <c r="AY30" s="39">
        <v>78</v>
      </c>
      <c r="AZ30" s="39">
        <v>70</v>
      </c>
      <c r="BA30" s="39">
        <v>37</v>
      </c>
      <c r="BB30" s="6">
        <v>38</v>
      </c>
      <c r="BC30" s="6">
        <v>65</v>
      </c>
      <c r="BE30" s="6">
        <v>72</v>
      </c>
      <c r="BF30" s="6">
        <v>94</v>
      </c>
      <c r="BG30" s="6">
        <v>117</v>
      </c>
    </row>
    <row r="31" spans="1:59" s="6" customFormat="1">
      <c r="A31" s="39" t="s">
        <v>128</v>
      </c>
      <c r="B31" s="39">
        <v>3</v>
      </c>
      <c r="C31" s="39"/>
      <c r="D31" s="39"/>
      <c r="E31" s="39">
        <v>7</v>
      </c>
      <c r="F31" s="39">
        <v>7</v>
      </c>
      <c r="G31" s="39">
        <v>4</v>
      </c>
      <c r="H31" s="39">
        <v>12</v>
      </c>
      <c r="I31" s="39">
        <v>12</v>
      </c>
      <c r="J31" s="39">
        <v>11</v>
      </c>
      <c r="K31" s="39">
        <v>12</v>
      </c>
      <c r="L31" s="39"/>
      <c r="M31" s="39">
        <v>17</v>
      </c>
      <c r="N31" s="39"/>
      <c r="O31" s="39"/>
      <c r="P31" s="39">
        <v>21</v>
      </c>
      <c r="Q31" s="39">
        <v>22</v>
      </c>
      <c r="R31" s="39">
        <v>23</v>
      </c>
      <c r="S31" s="39">
        <v>24</v>
      </c>
      <c r="T31" s="39">
        <v>40</v>
      </c>
      <c r="U31" s="39">
        <v>37</v>
      </c>
      <c r="V31" s="39">
        <v>24</v>
      </c>
      <c r="W31" s="39">
        <v>32</v>
      </c>
      <c r="X31" s="39">
        <v>31</v>
      </c>
      <c r="Y31" s="39">
        <v>54</v>
      </c>
      <c r="Z31" s="39">
        <v>38</v>
      </c>
      <c r="AA31" s="39"/>
      <c r="AB31" s="39">
        <v>59</v>
      </c>
      <c r="AC31" s="39">
        <v>59</v>
      </c>
      <c r="AD31" s="39">
        <v>66</v>
      </c>
      <c r="AE31" s="164">
        <v>5</v>
      </c>
      <c r="AF31" s="39"/>
      <c r="AG31" s="39"/>
      <c r="AH31" s="39">
        <v>12</v>
      </c>
      <c r="AI31" s="39">
        <v>16</v>
      </c>
      <c r="AJ31" s="39">
        <v>17</v>
      </c>
      <c r="AK31" s="39">
        <v>13</v>
      </c>
      <c r="AL31" s="39">
        <v>4</v>
      </c>
      <c r="AM31" s="39">
        <v>12</v>
      </c>
      <c r="AN31" s="39">
        <v>13</v>
      </c>
      <c r="AO31" s="39"/>
      <c r="AP31" s="39">
        <v>2</v>
      </c>
      <c r="AQ31" s="39"/>
      <c r="AR31" s="39"/>
      <c r="AS31" s="39">
        <v>6</v>
      </c>
      <c r="AT31" s="39">
        <v>6</v>
      </c>
      <c r="AU31" s="39">
        <v>8</v>
      </c>
      <c r="AV31" s="39">
        <v>10</v>
      </c>
      <c r="AW31" s="39">
        <v>11</v>
      </c>
      <c r="AX31" s="39">
        <v>14</v>
      </c>
      <c r="AY31" s="39">
        <v>5</v>
      </c>
      <c r="AZ31" s="39">
        <v>10</v>
      </c>
      <c r="BA31" s="39">
        <v>8</v>
      </c>
      <c r="BB31" s="6">
        <v>10</v>
      </c>
      <c r="BC31" s="6">
        <v>13</v>
      </c>
      <c r="BE31" s="6">
        <v>15</v>
      </c>
      <c r="BF31" s="6">
        <v>5</v>
      </c>
      <c r="BG31" s="6">
        <v>15</v>
      </c>
    </row>
    <row r="32" spans="1:59" s="6" customFormat="1">
      <c r="A32" s="39" t="s">
        <v>135</v>
      </c>
      <c r="B32" s="39">
        <v>37</v>
      </c>
      <c r="C32" s="39"/>
      <c r="D32" s="39"/>
      <c r="E32" s="39">
        <v>55</v>
      </c>
      <c r="F32" s="39">
        <v>58</v>
      </c>
      <c r="G32" s="39">
        <v>57</v>
      </c>
      <c r="H32" s="39">
        <v>78</v>
      </c>
      <c r="I32" s="39">
        <v>81</v>
      </c>
      <c r="J32" s="39">
        <v>119</v>
      </c>
      <c r="K32" s="39">
        <v>108</v>
      </c>
      <c r="L32" s="39"/>
      <c r="M32" s="39">
        <v>150</v>
      </c>
      <c r="N32" s="39"/>
      <c r="O32" s="39"/>
      <c r="P32" s="39">
        <v>243</v>
      </c>
      <c r="Q32" s="39">
        <v>335</v>
      </c>
      <c r="R32" s="39">
        <v>375</v>
      </c>
      <c r="S32" s="39">
        <v>451</v>
      </c>
      <c r="T32" s="39">
        <v>460</v>
      </c>
      <c r="U32" s="39">
        <v>473</v>
      </c>
      <c r="V32" s="39">
        <v>515</v>
      </c>
      <c r="W32" s="39">
        <v>690</v>
      </c>
      <c r="X32" s="39">
        <v>888</v>
      </c>
      <c r="Y32" s="39">
        <v>959</v>
      </c>
      <c r="Z32" s="39">
        <v>1042</v>
      </c>
      <c r="AA32" s="39"/>
      <c r="AB32" s="39">
        <v>1316</v>
      </c>
      <c r="AC32" s="39">
        <v>1463</v>
      </c>
      <c r="AD32" s="39">
        <v>1585</v>
      </c>
      <c r="AE32" s="164">
        <v>0</v>
      </c>
      <c r="AF32" s="39"/>
      <c r="AG32" s="39"/>
      <c r="AH32" s="39">
        <v>10</v>
      </c>
      <c r="AI32" s="39">
        <v>18</v>
      </c>
      <c r="AJ32" s="39">
        <v>24</v>
      </c>
      <c r="AK32" s="39">
        <v>32</v>
      </c>
      <c r="AL32" s="39">
        <v>20</v>
      </c>
      <c r="AM32" s="39">
        <v>26</v>
      </c>
      <c r="AN32" s="39">
        <v>23</v>
      </c>
      <c r="AO32" s="39"/>
      <c r="AP32" s="39">
        <v>41</v>
      </c>
      <c r="AQ32" s="39"/>
      <c r="AR32" s="39"/>
      <c r="AS32" s="39">
        <v>46</v>
      </c>
      <c r="AT32" s="39">
        <v>45</v>
      </c>
      <c r="AU32" s="39">
        <v>57</v>
      </c>
      <c r="AV32" s="39">
        <v>47</v>
      </c>
      <c r="AW32" s="39">
        <v>32</v>
      </c>
      <c r="AX32" s="39">
        <v>35</v>
      </c>
      <c r="AY32" s="39">
        <v>88</v>
      </c>
      <c r="AZ32" s="39">
        <v>95</v>
      </c>
      <c r="BA32" s="39">
        <v>87</v>
      </c>
      <c r="BB32" s="6">
        <v>55</v>
      </c>
      <c r="BC32" s="6">
        <v>59</v>
      </c>
      <c r="BE32" s="6">
        <v>58</v>
      </c>
      <c r="BF32" s="6">
        <v>52</v>
      </c>
      <c r="BG32" s="6">
        <v>44</v>
      </c>
    </row>
    <row r="33" spans="1:59" s="6" customFormat="1">
      <c r="A33" s="39" t="s">
        <v>134</v>
      </c>
      <c r="B33" s="39">
        <v>440</v>
      </c>
      <c r="C33" s="39"/>
      <c r="D33" s="39"/>
      <c r="E33" s="39">
        <v>740</v>
      </c>
      <c r="F33" s="39">
        <v>876</v>
      </c>
      <c r="G33" s="39">
        <v>885</v>
      </c>
      <c r="H33" s="39">
        <v>940</v>
      </c>
      <c r="I33" s="39">
        <v>1019</v>
      </c>
      <c r="J33" s="39">
        <v>1092</v>
      </c>
      <c r="K33" s="39">
        <v>1112</v>
      </c>
      <c r="L33" s="39"/>
      <c r="M33" s="39">
        <v>1296</v>
      </c>
      <c r="N33" s="39"/>
      <c r="O33" s="39"/>
      <c r="P33" s="39">
        <v>1404</v>
      </c>
      <c r="Q33" s="39">
        <v>1505</v>
      </c>
      <c r="R33" s="39">
        <v>1681</v>
      </c>
      <c r="S33" s="39">
        <v>1864</v>
      </c>
      <c r="T33" s="39">
        <v>1865</v>
      </c>
      <c r="U33" s="39">
        <v>1988</v>
      </c>
      <c r="V33" s="39">
        <v>1983</v>
      </c>
      <c r="W33" s="39">
        <v>1981</v>
      </c>
      <c r="X33" s="39">
        <v>2643</v>
      </c>
      <c r="Y33" s="39">
        <v>3228</v>
      </c>
      <c r="Z33" s="39">
        <v>3835</v>
      </c>
      <c r="AA33" s="39"/>
      <c r="AB33" s="39">
        <v>4579</v>
      </c>
      <c r="AC33" s="39">
        <v>4397</v>
      </c>
      <c r="AD33" s="39">
        <v>4764</v>
      </c>
      <c r="AE33" s="164">
        <v>7</v>
      </c>
      <c r="AF33" s="39"/>
      <c r="AG33" s="39"/>
      <c r="AH33" s="39">
        <v>20</v>
      </c>
      <c r="AI33" s="39">
        <v>32</v>
      </c>
      <c r="AJ33" s="39">
        <v>16</v>
      </c>
      <c r="AK33" s="39">
        <v>20</v>
      </c>
      <c r="AL33" s="39">
        <v>14</v>
      </c>
      <c r="AM33" s="39">
        <v>33</v>
      </c>
      <c r="AN33" s="39">
        <v>29</v>
      </c>
      <c r="AO33" s="39"/>
      <c r="AP33" s="39">
        <v>30</v>
      </c>
      <c r="AQ33" s="39"/>
      <c r="AR33" s="39"/>
      <c r="AS33" s="39">
        <v>22</v>
      </c>
      <c r="AT33" s="39">
        <v>26</v>
      </c>
      <c r="AU33" s="39">
        <v>26</v>
      </c>
      <c r="AV33" s="39">
        <v>17</v>
      </c>
      <c r="AW33" s="39">
        <v>53</v>
      </c>
      <c r="AX33" s="39">
        <v>72</v>
      </c>
      <c r="AY33" s="39">
        <v>78</v>
      </c>
      <c r="AZ33" s="39">
        <v>88</v>
      </c>
      <c r="BA33" s="39">
        <v>47</v>
      </c>
      <c r="BB33" s="6">
        <v>56</v>
      </c>
      <c r="BC33" s="6">
        <v>94</v>
      </c>
      <c r="BE33" s="6">
        <v>156</v>
      </c>
      <c r="BF33" s="6">
        <v>63</v>
      </c>
      <c r="BG33" s="6">
        <v>86</v>
      </c>
    </row>
    <row r="34" spans="1:59" s="6" customFormat="1">
      <c r="A34" s="39" t="s">
        <v>138</v>
      </c>
      <c r="B34" s="39">
        <v>55</v>
      </c>
      <c r="C34" s="39"/>
      <c r="D34" s="39"/>
      <c r="E34" s="39">
        <v>86</v>
      </c>
      <c r="F34" s="39">
        <v>110</v>
      </c>
      <c r="G34" s="39">
        <v>119</v>
      </c>
      <c r="H34" s="39">
        <v>99</v>
      </c>
      <c r="I34" s="39">
        <v>144</v>
      </c>
      <c r="J34" s="39">
        <v>155</v>
      </c>
      <c r="K34" s="39">
        <v>173</v>
      </c>
      <c r="L34" s="39"/>
      <c r="M34" s="39">
        <v>256</v>
      </c>
      <c r="N34" s="39"/>
      <c r="O34" s="39"/>
      <c r="P34" s="39">
        <v>294</v>
      </c>
      <c r="Q34" s="39">
        <v>407</v>
      </c>
      <c r="R34" s="39">
        <v>410</v>
      </c>
      <c r="S34" s="39">
        <v>413</v>
      </c>
      <c r="T34" s="39">
        <v>411</v>
      </c>
      <c r="U34" s="39">
        <v>462</v>
      </c>
      <c r="V34" s="39">
        <v>395</v>
      </c>
      <c r="W34" s="39">
        <v>496</v>
      </c>
      <c r="X34" s="39">
        <v>713</v>
      </c>
      <c r="Y34" s="39">
        <v>911</v>
      </c>
      <c r="Z34" s="39">
        <v>1144</v>
      </c>
      <c r="AA34" s="39"/>
      <c r="AB34" s="39">
        <v>1342</v>
      </c>
      <c r="AC34" s="39">
        <v>1473</v>
      </c>
      <c r="AD34" s="39">
        <v>1611</v>
      </c>
      <c r="AE34" s="164">
        <v>41</v>
      </c>
      <c r="AF34" s="39"/>
      <c r="AG34" s="39"/>
      <c r="AH34" s="39">
        <v>91</v>
      </c>
      <c r="AI34" s="39">
        <v>98</v>
      </c>
      <c r="AJ34" s="39">
        <v>158</v>
      </c>
      <c r="AK34" s="39">
        <v>109</v>
      </c>
      <c r="AL34" s="39">
        <v>88</v>
      </c>
      <c r="AM34" s="39">
        <v>96</v>
      </c>
      <c r="AN34" s="39">
        <v>96</v>
      </c>
      <c r="AO34" s="39"/>
      <c r="AP34" s="39">
        <v>119</v>
      </c>
      <c r="AQ34" s="39"/>
      <c r="AR34" s="39"/>
      <c r="AS34" s="39">
        <v>129</v>
      </c>
      <c r="AT34" s="39">
        <v>162</v>
      </c>
      <c r="AU34" s="39">
        <v>78</v>
      </c>
      <c r="AV34" s="39">
        <v>108</v>
      </c>
      <c r="AW34" s="39">
        <v>104</v>
      </c>
      <c r="AX34" s="39">
        <v>77</v>
      </c>
      <c r="AY34" s="39">
        <v>102</v>
      </c>
      <c r="AZ34" s="39">
        <v>113</v>
      </c>
      <c r="BA34" s="39">
        <v>151</v>
      </c>
      <c r="BB34" s="6">
        <v>196</v>
      </c>
      <c r="BC34" s="6">
        <v>224</v>
      </c>
      <c r="BE34" s="6">
        <v>171</v>
      </c>
      <c r="BF34" s="6">
        <v>201</v>
      </c>
      <c r="BG34" s="6">
        <v>238</v>
      </c>
    </row>
    <row r="35" spans="1:59" s="6" customFormat="1">
      <c r="A35" s="39" t="s">
        <v>142</v>
      </c>
      <c r="B35" s="39">
        <v>67</v>
      </c>
      <c r="C35" s="39"/>
      <c r="D35" s="39"/>
      <c r="E35" s="39">
        <v>92</v>
      </c>
      <c r="F35" s="39">
        <v>96</v>
      </c>
      <c r="G35" s="39">
        <v>109</v>
      </c>
      <c r="H35" s="39">
        <v>125</v>
      </c>
      <c r="I35" s="39">
        <v>138</v>
      </c>
      <c r="J35" s="39">
        <v>168</v>
      </c>
      <c r="K35" s="39">
        <v>193</v>
      </c>
      <c r="L35" s="39"/>
      <c r="M35" s="39">
        <v>253</v>
      </c>
      <c r="N35" s="39"/>
      <c r="O35" s="39"/>
      <c r="P35" s="39">
        <v>272</v>
      </c>
      <c r="Q35" s="39">
        <v>283</v>
      </c>
      <c r="R35" s="39">
        <v>342</v>
      </c>
      <c r="S35" s="39">
        <v>354</v>
      </c>
      <c r="T35" s="39">
        <v>385</v>
      </c>
      <c r="U35" s="39">
        <v>366</v>
      </c>
      <c r="V35" s="39">
        <v>439</v>
      </c>
      <c r="W35" s="39">
        <v>542</v>
      </c>
      <c r="X35" s="39">
        <v>562</v>
      </c>
      <c r="Y35" s="39">
        <v>785</v>
      </c>
      <c r="Z35" s="39">
        <v>875</v>
      </c>
      <c r="AA35" s="39"/>
      <c r="AB35" s="39">
        <v>860</v>
      </c>
      <c r="AC35" s="39">
        <v>1047</v>
      </c>
      <c r="AD35" s="39">
        <v>1098</v>
      </c>
      <c r="AE35" s="164">
        <v>47</v>
      </c>
      <c r="AF35" s="39"/>
      <c r="AG35" s="39"/>
      <c r="AH35" s="39">
        <v>235</v>
      </c>
      <c r="AI35" s="39">
        <v>176</v>
      </c>
      <c r="AJ35" s="39">
        <v>213</v>
      </c>
      <c r="AK35" s="39">
        <v>249</v>
      </c>
      <c r="AL35" s="39">
        <v>143</v>
      </c>
      <c r="AM35" s="39">
        <v>147</v>
      </c>
      <c r="AN35" s="39">
        <v>199</v>
      </c>
      <c r="AO35" s="39"/>
      <c r="AP35" s="39">
        <v>213</v>
      </c>
      <c r="AQ35" s="39"/>
      <c r="AR35" s="39"/>
      <c r="AS35" s="39">
        <v>322</v>
      </c>
      <c r="AT35" s="39">
        <v>275</v>
      </c>
      <c r="AU35" s="39">
        <v>268</v>
      </c>
      <c r="AV35" s="39">
        <v>337</v>
      </c>
      <c r="AW35" s="39">
        <v>224</v>
      </c>
      <c r="AX35" s="39">
        <v>256</v>
      </c>
      <c r="AY35" s="39">
        <v>277</v>
      </c>
      <c r="AZ35" s="39">
        <v>254</v>
      </c>
      <c r="BA35" s="39">
        <v>200</v>
      </c>
      <c r="BB35" s="6">
        <v>214</v>
      </c>
      <c r="BC35" s="6">
        <v>221</v>
      </c>
      <c r="BE35" s="6">
        <v>188</v>
      </c>
      <c r="BF35" s="6">
        <v>240</v>
      </c>
      <c r="BG35" s="6">
        <v>272</v>
      </c>
    </row>
    <row r="36" spans="1:59" s="6" customFormat="1">
      <c r="A36" s="39" t="s">
        <v>66</v>
      </c>
      <c r="B36" s="39">
        <v>192</v>
      </c>
      <c r="C36" s="39"/>
      <c r="D36" s="39"/>
      <c r="E36" s="39">
        <v>404</v>
      </c>
      <c r="F36" s="39">
        <v>380</v>
      </c>
      <c r="G36" s="39">
        <v>515</v>
      </c>
      <c r="H36" s="39">
        <v>556</v>
      </c>
      <c r="I36" s="39">
        <v>586</v>
      </c>
      <c r="J36" s="39">
        <v>649</v>
      </c>
      <c r="K36" s="39">
        <v>682</v>
      </c>
      <c r="L36" s="39"/>
      <c r="M36" s="39">
        <v>755</v>
      </c>
      <c r="N36" s="39"/>
      <c r="O36" s="39"/>
      <c r="P36" s="39">
        <v>1026</v>
      </c>
      <c r="Q36" s="39">
        <v>1098</v>
      </c>
      <c r="R36" s="39">
        <v>1156</v>
      </c>
      <c r="S36" s="39">
        <v>1221</v>
      </c>
      <c r="T36" s="39">
        <v>1247</v>
      </c>
      <c r="U36" s="39">
        <v>1286</v>
      </c>
      <c r="V36" s="39">
        <v>1356</v>
      </c>
      <c r="W36" s="39">
        <v>1760</v>
      </c>
      <c r="X36" s="39">
        <v>1941</v>
      </c>
      <c r="Y36" s="39">
        <v>2045</v>
      </c>
      <c r="Z36" s="39">
        <v>2237</v>
      </c>
      <c r="AA36" s="39"/>
      <c r="AB36" s="39">
        <v>2758</v>
      </c>
      <c r="AC36" s="39">
        <v>3204</v>
      </c>
      <c r="AD36" s="39">
        <v>3402</v>
      </c>
      <c r="AE36" s="164">
        <v>190</v>
      </c>
      <c r="AF36" s="39"/>
      <c r="AG36" s="39"/>
      <c r="AH36" s="39">
        <v>621</v>
      </c>
      <c r="AI36" s="39">
        <v>757</v>
      </c>
      <c r="AJ36" s="39">
        <v>855</v>
      </c>
      <c r="AK36" s="39">
        <v>985</v>
      </c>
      <c r="AL36" s="39">
        <v>1013</v>
      </c>
      <c r="AM36" s="39">
        <v>904</v>
      </c>
      <c r="AN36" s="39">
        <v>897</v>
      </c>
      <c r="AO36" s="39"/>
      <c r="AP36" s="39">
        <v>1032</v>
      </c>
      <c r="AQ36" s="39"/>
      <c r="AR36" s="39"/>
      <c r="AS36" s="39">
        <v>1065</v>
      </c>
      <c r="AT36" s="39">
        <v>803</v>
      </c>
      <c r="AU36" s="39">
        <v>937</v>
      </c>
      <c r="AV36" s="39">
        <v>882</v>
      </c>
      <c r="AW36" s="39">
        <v>968</v>
      </c>
      <c r="AX36" s="39">
        <v>1113</v>
      </c>
      <c r="AY36" s="39">
        <v>1319</v>
      </c>
      <c r="AZ36" s="39">
        <v>1393</v>
      </c>
      <c r="BA36" s="39">
        <v>1567</v>
      </c>
      <c r="BB36" s="6">
        <v>1524</v>
      </c>
      <c r="BC36" s="6">
        <v>1903</v>
      </c>
      <c r="BE36" s="6">
        <v>2277</v>
      </c>
      <c r="BF36" s="6">
        <v>2253</v>
      </c>
      <c r="BG36" s="6">
        <v>2394</v>
      </c>
    </row>
    <row r="37" spans="1:59" s="6" customFormat="1">
      <c r="A37" s="40" t="s">
        <v>145</v>
      </c>
      <c r="B37" s="40">
        <v>29</v>
      </c>
      <c r="C37" s="40"/>
      <c r="D37" s="40"/>
      <c r="E37" s="40">
        <v>39</v>
      </c>
      <c r="F37" s="40">
        <v>70</v>
      </c>
      <c r="G37" s="40">
        <v>73</v>
      </c>
      <c r="H37" s="40">
        <v>57</v>
      </c>
      <c r="I37" s="40">
        <v>80</v>
      </c>
      <c r="J37" s="40">
        <v>99</v>
      </c>
      <c r="K37" s="40">
        <v>107</v>
      </c>
      <c r="L37" s="40"/>
      <c r="M37" s="40">
        <v>74</v>
      </c>
      <c r="N37" s="40"/>
      <c r="O37" s="40"/>
      <c r="P37" s="40">
        <v>150</v>
      </c>
      <c r="Q37" s="40">
        <v>132</v>
      </c>
      <c r="R37" s="40">
        <v>146</v>
      </c>
      <c r="S37" s="40">
        <v>183</v>
      </c>
      <c r="T37" s="40">
        <v>140</v>
      </c>
      <c r="U37" s="40">
        <v>162</v>
      </c>
      <c r="V37" s="40">
        <v>157</v>
      </c>
      <c r="W37" s="40">
        <v>191</v>
      </c>
      <c r="X37" s="40">
        <v>214</v>
      </c>
      <c r="Y37" s="40">
        <v>187</v>
      </c>
      <c r="Z37" s="40">
        <v>218</v>
      </c>
      <c r="AA37" s="40"/>
      <c r="AB37" s="40">
        <v>199</v>
      </c>
      <c r="AC37" s="40">
        <v>190</v>
      </c>
      <c r="AD37" s="40">
        <v>223</v>
      </c>
      <c r="AE37" s="165">
        <v>6</v>
      </c>
      <c r="AF37" s="40"/>
      <c r="AG37" s="40"/>
      <c r="AH37" s="40">
        <v>13</v>
      </c>
      <c r="AI37" s="40">
        <v>20</v>
      </c>
      <c r="AJ37" s="40">
        <v>6</v>
      </c>
      <c r="AK37" s="40">
        <v>19</v>
      </c>
      <c r="AL37" s="40">
        <v>12</v>
      </c>
      <c r="AM37" s="40">
        <v>15</v>
      </c>
      <c r="AN37" s="40">
        <v>22</v>
      </c>
      <c r="AO37" s="40"/>
      <c r="AP37" s="40">
        <v>43</v>
      </c>
      <c r="AQ37" s="40"/>
      <c r="AR37" s="40"/>
      <c r="AS37" s="40">
        <v>39</v>
      </c>
      <c r="AT37" s="40">
        <v>31</v>
      </c>
      <c r="AU37" s="40">
        <v>36</v>
      </c>
      <c r="AV37" s="40">
        <v>34</v>
      </c>
      <c r="AW37" s="40">
        <v>37</v>
      </c>
      <c r="AX37" s="40">
        <v>41</v>
      </c>
      <c r="AY37" s="40">
        <v>39</v>
      </c>
      <c r="AZ37" s="40">
        <v>70</v>
      </c>
      <c r="BA37" s="40">
        <v>64</v>
      </c>
      <c r="BB37" s="7">
        <v>53</v>
      </c>
      <c r="BC37" s="7">
        <v>37</v>
      </c>
      <c r="BD37" s="7"/>
      <c r="BE37" s="7">
        <v>57</v>
      </c>
      <c r="BF37" s="7">
        <v>41</v>
      </c>
      <c r="BG37" s="7">
        <v>109</v>
      </c>
    </row>
    <row r="38" spans="1:59" s="6" customFormat="1">
      <c r="A38" s="122" t="s">
        <v>186</v>
      </c>
      <c r="B38" s="122">
        <f>SUM(B40:B51)</f>
        <v>1713</v>
      </c>
      <c r="C38" s="122"/>
      <c r="D38" s="122"/>
      <c r="E38" s="122">
        <f t="shared" ref="E38:K38" si="54">SUM(E40:E51)</f>
        <v>2376</v>
      </c>
      <c r="F38" s="122">
        <f t="shared" si="54"/>
        <v>2628</v>
      </c>
      <c r="G38" s="122">
        <f t="shared" si="54"/>
        <v>3028</v>
      </c>
      <c r="H38" s="122">
        <f t="shared" si="54"/>
        <v>2938</v>
      </c>
      <c r="I38" s="122">
        <f t="shared" si="54"/>
        <v>3235</v>
      </c>
      <c r="J38" s="122">
        <f t="shared" si="54"/>
        <v>3367</v>
      </c>
      <c r="K38" s="122">
        <f t="shared" si="54"/>
        <v>3482</v>
      </c>
      <c r="L38" s="122"/>
      <c r="M38" s="122">
        <f>SUM(M40:M51)</f>
        <v>3873</v>
      </c>
      <c r="N38" s="122"/>
      <c r="O38" s="122"/>
      <c r="P38" s="122">
        <f t="shared" ref="P38:AE38" si="55">SUM(P40:P51)</f>
        <v>4588</v>
      </c>
      <c r="Q38" s="122">
        <f t="shared" si="55"/>
        <v>4983</v>
      </c>
      <c r="R38" s="122">
        <f t="shared" si="55"/>
        <v>5288</v>
      </c>
      <c r="S38" s="122">
        <f t="shared" si="55"/>
        <v>5690</v>
      </c>
      <c r="T38" s="122">
        <f t="shared" si="55"/>
        <v>6358</v>
      </c>
      <c r="U38" s="122">
        <f t="shared" si="55"/>
        <v>6544</v>
      </c>
      <c r="V38" s="122">
        <f t="shared" si="55"/>
        <v>7121</v>
      </c>
      <c r="W38" s="122">
        <f t="shared" si="55"/>
        <v>7959</v>
      </c>
      <c r="X38" s="122">
        <f t="shared" si="55"/>
        <v>8716</v>
      </c>
      <c r="Y38" s="122">
        <f t="shared" ref="Y38:Z38" si="56">SUM(Y40:Y51)</f>
        <v>10593</v>
      </c>
      <c r="Z38" s="122">
        <f t="shared" si="56"/>
        <v>11726</v>
      </c>
      <c r="AA38" s="122">
        <f t="shared" ref="AA38:AB38" si="57">SUM(AA40:AA51)</f>
        <v>0</v>
      </c>
      <c r="AB38" s="122">
        <f t="shared" si="57"/>
        <v>13487</v>
      </c>
      <c r="AC38" s="122">
        <f t="shared" ref="AC38:AD38" si="58">SUM(AC40:AC51)</f>
        <v>14419</v>
      </c>
      <c r="AD38" s="122">
        <f t="shared" si="58"/>
        <v>14924</v>
      </c>
      <c r="AE38" s="163">
        <f t="shared" si="55"/>
        <v>668</v>
      </c>
      <c r="AF38" s="122"/>
      <c r="AG38" s="122"/>
      <c r="AH38" s="122">
        <f t="shared" ref="AH38:AN38" si="59">SUM(AH40:AH51)</f>
        <v>977</v>
      </c>
      <c r="AI38" s="122">
        <f t="shared" si="59"/>
        <v>842</v>
      </c>
      <c r="AJ38" s="122">
        <f t="shared" si="59"/>
        <v>1077</v>
      </c>
      <c r="AK38" s="122">
        <f t="shared" si="59"/>
        <v>977</v>
      </c>
      <c r="AL38" s="122">
        <f t="shared" si="59"/>
        <v>962</v>
      </c>
      <c r="AM38" s="122">
        <f t="shared" si="59"/>
        <v>1157</v>
      </c>
      <c r="AN38" s="122">
        <f t="shared" si="59"/>
        <v>980</v>
      </c>
      <c r="AO38" s="122"/>
      <c r="AP38" s="122">
        <f>SUM(AP40:AP51)</f>
        <v>993</v>
      </c>
      <c r="AQ38" s="122"/>
      <c r="AR38" s="122"/>
      <c r="AS38" s="122">
        <f t="shared" ref="AS38:BA38" si="60">SUM(AS40:AS51)</f>
        <v>1440</v>
      </c>
      <c r="AT38" s="122">
        <f t="shared" si="60"/>
        <v>1542</v>
      </c>
      <c r="AU38" s="122">
        <f t="shared" si="60"/>
        <v>1597</v>
      </c>
      <c r="AV38" s="122">
        <f t="shared" si="60"/>
        <v>1387</v>
      </c>
      <c r="AW38" s="122">
        <f t="shared" si="60"/>
        <v>1350</v>
      </c>
      <c r="AX38" s="122">
        <f t="shared" si="60"/>
        <v>1420</v>
      </c>
      <c r="AY38" s="122">
        <f t="shared" si="60"/>
        <v>1368</v>
      </c>
      <c r="AZ38" s="122">
        <f t="shared" si="60"/>
        <v>1414</v>
      </c>
      <c r="BA38" s="122">
        <f t="shared" si="60"/>
        <v>1337</v>
      </c>
      <c r="BB38" s="122">
        <f t="shared" ref="BB38:BC38" si="61">SUM(BB40:BB51)</f>
        <v>1419</v>
      </c>
      <c r="BC38" s="122">
        <f t="shared" si="61"/>
        <v>1457</v>
      </c>
      <c r="BD38" s="122">
        <f t="shared" ref="BD38:BE38" si="62">SUM(BD40:BD51)</f>
        <v>0</v>
      </c>
      <c r="BE38" s="122">
        <f t="shared" si="62"/>
        <v>1749</v>
      </c>
      <c r="BF38" s="122">
        <f t="shared" ref="BF38:BG38" si="63">SUM(BF40:BF51)</f>
        <v>1676</v>
      </c>
      <c r="BG38" s="122">
        <f t="shared" si="63"/>
        <v>1862</v>
      </c>
    </row>
    <row r="39" spans="1:59">
      <c r="A39" s="58" t="s">
        <v>189</v>
      </c>
      <c r="B39" s="58">
        <f>(B38/B4)*100</f>
        <v>9.2760058482698877</v>
      </c>
      <c r="C39" s="58"/>
      <c r="D39" s="58"/>
      <c r="E39" s="58">
        <f t="shared" ref="E39:K39" si="64">(E38/E4)*100</f>
        <v>9.0971743625086141</v>
      </c>
      <c r="F39" s="58">
        <f t="shared" si="64"/>
        <v>9.0561356352734421</v>
      </c>
      <c r="G39" s="58">
        <f t="shared" si="64"/>
        <v>9.5220125786163532</v>
      </c>
      <c r="H39" s="58">
        <f t="shared" si="64"/>
        <v>8.5994438753109907</v>
      </c>
      <c r="I39" s="58">
        <f t="shared" si="64"/>
        <v>8.6427998931338497</v>
      </c>
      <c r="J39" s="58">
        <f t="shared" si="64"/>
        <v>7.9096974252959971</v>
      </c>
      <c r="K39" s="58">
        <f t="shared" si="64"/>
        <v>7.7796148174628001</v>
      </c>
      <c r="L39" s="58"/>
      <c r="M39" s="58">
        <f>(M38/M4)*100</f>
        <v>7.7545299829812802</v>
      </c>
      <c r="N39" s="58"/>
      <c r="O39" s="58"/>
      <c r="P39" s="58">
        <f t="shared" ref="P39:AE39" si="65">(P38/P4)*100</f>
        <v>7.2985269320097999</v>
      </c>
      <c r="Q39" s="58">
        <f t="shared" si="65"/>
        <v>7.2977841566467969</v>
      </c>
      <c r="R39" s="58">
        <f t="shared" si="65"/>
        <v>7.1660884648742416</v>
      </c>
      <c r="S39" s="58">
        <f t="shared" si="65"/>
        <v>7.5235690013090215</v>
      </c>
      <c r="T39" s="58">
        <f t="shared" si="65"/>
        <v>7.9285705378409048</v>
      </c>
      <c r="U39" s="58">
        <f t="shared" si="65"/>
        <v>7.6877892906651635</v>
      </c>
      <c r="V39" s="58">
        <f t="shared" si="65"/>
        <v>7.814025962625232</v>
      </c>
      <c r="W39" s="58">
        <f t="shared" si="65"/>
        <v>7.6710295506679262</v>
      </c>
      <c r="X39" s="58">
        <f t="shared" si="65"/>
        <v>7.7044789576501165</v>
      </c>
      <c r="Y39" s="58">
        <f t="shared" ref="Y39:Z39" si="66">(Y38/Y4)*100</f>
        <v>7.5850661625708886</v>
      </c>
      <c r="Z39" s="58">
        <f t="shared" si="66"/>
        <v>7.9224376731301938</v>
      </c>
      <c r="AA39" s="58" t="e">
        <f t="shared" ref="AA39:AB39" si="67">(AA38/AA4)*100</f>
        <v>#DIV/0!</v>
      </c>
      <c r="AB39" s="58">
        <f t="shared" si="67"/>
        <v>7.8881032173541783</v>
      </c>
      <c r="AC39" s="58">
        <f t="shared" ref="AC39:AD39" si="68">(AC38/AC4)*100</f>
        <v>7.7057091400751387</v>
      </c>
      <c r="AD39" s="58">
        <f t="shared" si="68"/>
        <v>7.4306796851271892</v>
      </c>
      <c r="AE39" s="82">
        <f t="shared" si="65"/>
        <v>14.937388193202148</v>
      </c>
      <c r="AF39" s="58"/>
      <c r="AG39" s="58"/>
      <c r="AH39" s="58">
        <f t="shared" ref="AH39:AN39" si="69">(AH38/AH4)*100</f>
        <v>12.229315308549255</v>
      </c>
      <c r="AI39" s="58">
        <f t="shared" si="69"/>
        <v>9.3753479567976843</v>
      </c>
      <c r="AJ39" s="58">
        <f t="shared" si="69"/>
        <v>10.621301775147929</v>
      </c>
      <c r="AK39" s="58">
        <f t="shared" si="69"/>
        <v>10.089848187545183</v>
      </c>
      <c r="AL39" s="58">
        <f t="shared" si="69"/>
        <v>9.4956075412101466</v>
      </c>
      <c r="AM39" s="58">
        <f t="shared" si="69"/>
        <v>10.748792270531402</v>
      </c>
      <c r="AN39" s="58">
        <f t="shared" si="69"/>
        <v>7.9275198187995475</v>
      </c>
      <c r="AO39" s="58"/>
      <c r="AP39" s="58">
        <f>(AP38/AP4)*100</f>
        <v>9.8433782712133233</v>
      </c>
      <c r="AQ39" s="58"/>
      <c r="AR39" s="58"/>
      <c r="AS39" s="58">
        <f t="shared" ref="AS39:BA39" si="70">(AS38/AS4)*100</f>
        <v>10.72066706372841</v>
      </c>
      <c r="AT39" s="58">
        <f t="shared" si="70"/>
        <v>10.614717422730088</v>
      </c>
      <c r="AU39" s="58">
        <f t="shared" si="70"/>
        <v>11.342329545454545</v>
      </c>
      <c r="AV39" s="58">
        <f t="shared" si="70"/>
        <v>10.437989163154725</v>
      </c>
      <c r="AW39" s="58">
        <f t="shared" si="70"/>
        <v>9.8153264504871309</v>
      </c>
      <c r="AX39" s="58">
        <f t="shared" si="70"/>
        <v>9.8494832489422208</v>
      </c>
      <c r="AY39" s="58">
        <f t="shared" si="70"/>
        <v>9.0094836670179124</v>
      </c>
      <c r="AZ39" s="58">
        <f t="shared" si="70"/>
        <v>8.787520974457772</v>
      </c>
      <c r="BA39" s="58">
        <f t="shared" si="70"/>
        <v>8.293530178028659</v>
      </c>
      <c r="BB39" s="58">
        <f t="shared" ref="BB39:BC39" si="71">(BB38/BB4)*100</f>
        <v>8.3367604723576747</v>
      </c>
      <c r="BC39" s="58">
        <f t="shared" si="71"/>
        <v>8.6731353056729557</v>
      </c>
      <c r="BD39" s="58" t="e">
        <f t="shared" ref="BD39:BE39" si="72">(BD38/BD4)*100</f>
        <v>#DIV/0!</v>
      </c>
      <c r="BE39" s="58">
        <f t="shared" si="72"/>
        <v>9.7660394215199062</v>
      </c>
      <c r="BF39" s="58">
        <f t="shared" ref="BF39:BG39" si="73">(BF38/BF4)*100</f>
        <v>8.6619463538167345</v>
      </c>
      <c r="BG39" s="58">
        <f t="shared" si="73"/>
        <v>8.9133556725706082</v>
      </c>
    </row>
    <row r="40" spans="1:59" s="6" customFormat="1">
      <c r="A40" s="39" t="s">
        <v>120</v>
      </c>
      <c r="B40" s="39">
        <v>778</v>
      </c>
      <c r="C40" s="39"/>
      <c r="D40" s="39"/>
      <c r="E40" s="39">
        <v>1198</v>
      </c>
      <c r="F40" s="39">
        <v>1336</v>
      </c>
      <c r="G40" s="39">
        <v>1411</v>
      </c>
      <c r="H40" s="39">
        <v>1529</v>
      </c>
      <c r="I40" s="39">
        <v>1725</v>
      </c>
      <c r="J40" s="39">
        <v>1651</v>
      </c>
      <c r="K40" s="39">
        <v>1774</v>
      </c>
      <c r="L40" s="39"/>
      <c r="M40" s="39">
        <v>2127</v>
      </c>
      <c r="N40" s="39"/>
      <c r="O40" s="39"/>
      <c r="P40" s="39">
        <v>2435</v>
      </c>
      <c r="Q40" s="39">
        <v>2589</v>
      </c>
      <c r="R40" s="39">
        <v>2762</v>
      </c>
      <c r="S40" s="39">
        <v>2822</v>
      </c>
      <c r="T40" s="39">
        <v>3250</v>
      </c>
      <c r="U40" s="39">
        <v>3249</v>
      </c>
      <c r="V40" s="39">
        <v>3653</v>
      </c>
      <c r="W40" s="39">
        <v>3907</v>
      </c>
      <c r="X40" s="39">
        <v>3784</v>
      </c>
      <c r="Y40" s="39">
        <v>4801</v>
      </c>
      <c r="Z40" s="39">
        <v>5270</v>
      </c>
      <c r="AA40" s="39"/>
      <c r="AB40" s="39">
        <v>6110</v>
      </c>
      <c r="AC40" s="39">
        <v>6821</v>
      </c>
      <c r="AD40" s="39">
        <v>7374</v>
      </c>
      <c r="AE40" s="164">
        <v>81</v>
      </c>
      <c r="AF40" s="39"/>
      <c r="AG40" s="39"/>
      <c r="AH40" s="39">
        <v>95</v>
      </c>
      <c r="AI40" s="39">
        <v>101</v>
      </c>
      <c r="AJ40" s="39">
        <v>121</v>
      </c>
      <c r="AK40" s="39">
        <v>165</v>
      </c>
      <c r="AL40" s="39">
        <v>114</v>
      </c>
      <c r="AM40" s="39">
        <v>119</v>
      </c>
      <c r="AN40" s="39">
        <v>154</v>
      </c>
      <c r="AO40" s="39"/>
      <c r="AP40" s="39">
        <v>112</v>
      </c>
      <c r="AQ40" s="39"/>
      <c r="AR40" s="39"/>
      <c r="AS40" s="39">
        <v>133</v>
      </c>
      <c r="AT40" s="39">
        <v>176</v>
      </c>
      <c r="AU40" s="39">
        <v>165</v>
      </c>
      <c r="AV40" s="39">
        <v>170</v>
      </c>
      <c r="AW40" s="39">
        <v>146</v>
      </c>
      <c r="AX40" s="39">
        <v>157</v>
      </c>
      <c r="AY40" s="39">
        <v>216</v>
      </c>
      <c r="AZ40" s="39">
        <v>150</v>
      </c>
      <c r="BA40" s="39">
        <v>126</v>
      </c>
      <c r="BB40" s="6">
        <v>133</v>
      </c>
      <c r="BC40" s="6">
        <v>142</v>
      </c>
      <c r="BE40" s="6">
        <v>243</v>
      </c>
      <c r="BF40" s="6">
        <v>268</v>
      </c>
      <c r="BG40" s="6">
        <v>343</v>
      </c>
    </row>
    <row r="41" spans="1:59" s="6" customFormat="1">
      <c r="A41" s="39" t="s">
        <v>121</v>
      </c>
      <c r="B41" s="39">
        <v>107</v>
      </c>
      <c r="C41" s="39"/>
      <c r="D41" s="39"/>
      <c r="E41" s="39">
        <v>106</v>
      </c>
      <c r="F41" s="39">
        <v>140</v>
      </c>
      <c r="G41" s="39">
        <v>117</v>
      </c>
      <c r="H41" s="39">
        <v>180</v>
      </c>
      <c r="I41" s="39">
        <v>176</v>
      </c>
      <c r="J41" s="39">
        <v>187</v>
      </c>
      <c r="K41" s="39">
        <v>221</v>
      </c>
      <c r="L41" s="39"/>
      <c r="M41" s="39">
        <v>213</v>
      </c>
      <c r="N41" s="39"/>
      <c r="O41" s="39"/>
      <c r="P41" s="39">
        <v>307</v>
      </c>
      <c r="Q41" s="39">
        <v>328</v>
      </c>
      <c r="R41" s="39">
        <v>325</v>
      </c>
      <c r="S41" s="39">
        <v>408</v>
      </c>
      <c r="T41" s="39">
        <v>410</v>
      </c>
      <c r="U41" s="39">
        <v>356</v>
      </c>
      <c r="V41" s="39">
        <v>383</v>
      </c>
      <c r="W41" s="39">
        <v>449</v>
      </c>
      <c r="X41" s="39">
        <v>555</v>
      </c>
      <c r="Y41" s="39">
        <v>622</v>
      </c>
      <c r="Z41" s="39">
        <v>627</v>
      </c>
      <c r="AA41" s="39"/>
      <c r="AB41" s="39">
        <v>649</v>
      </c>
      <c r="AC41" s="39">
        <v>718</v>
      </c>
      <c r="AD41" s="39">
        <v>643</v>
      </c>
      <c r="AE41" s="164">
        <v>109</v>
      </c>
      <c r="AF41" s="39"/>
      <c r="AG41" s="39"/>
      <c r="AH41" s="39">
        <v>153</v>
      </c>
      <c r="AI41" s="39">
        <v>76</v>
      </c>
      <c r="AJ41" s="39">
        <v>93</v>
      </c>
      <c r="AK41" s="39">
        <v>94</v>
      </c>
      <c r="AL41" s="39">
        <v>88</v>
      </c>
      <c r="AM41" s="39">
        <v>81</v>
      </c>
      <c r="AN41" s="39">
        <v>74</v>
      </c>
      <c r="AO41" s="39"/>
      <c r="AP41" s="39">
        <v>81</v>
      </c>
      <c r="AQ41" s="39"/>
      <c r="AR41" s="39"/>
      <c r="AS41" s="39">
        <v>101</v>
      </c>
      <c r="AT41" s="39">
        <v>99</v>
      </c>
      <c r="AU41" s="39">
        <v>80</v>
      </c>
      <c r="AV41" s="39">
        <v>66</v>
      </c>
      <c r="AW41" s="39">
        <v>46</v>
      </c>
      <c r="AX41" s="39">
        <v>58</v>
      </c>
      <c r="AY41" s="39">
        <v>65</v>
      </c>
      <c r="AZ41" s="39">
        <v>66</v>
      </c>
      <c r="BA41" s="39">
        <v>29</v>
      </c>
      <c r="BB41" s="6">
        <v>22</v>
      </c>
      <c r="BC41" s="6">
        <v>32</v>
      </c>
      <c r="BE41" s="6">
        <v>18</v>
      </c>
      <c r="BF41" s="6">
        <v>55</v>
      </c>
      <c r="BG41" s="6">
        <v>30</v>
      </c>
    </row>
    <row r="42" spans="1:59" s="6" customFormat="1">
      <c r="A42" s="39" t="s">
        <v>118</v>
      </c>
      <c r="B42" s="39">
        <v>115</v>
      </c>
      <c r="C42" s="39"/>
      <c r="D42" s="39"/>
      <c r="E42" s="39">
        <v>64</v>
      </c>
      <c r="F42" s="39">
        <v>44</v>
      </c>
      <c r="G42" s="39">
        <v>64</v>
      </c>
      <c r="H42" s="39">
        <v>49</v>
      </c>
      <c r="I42" s="39">
        <v>71</v>
      </c>
      <c r="J42" s="39">
        <v>73</v>
      </c>
      <c r="K42" s="39">
        <v>79</v>
      </c>
      <c r="L42" s="39"/>
      <c r="M42" s="39">
        <v>106</v>
      </c>
      <c r="N42" s="39"/>
      <c r="O42" s="39"/>
      <c r="P42" s="39">
        <v>167</v>
      </c>
      <c r="Q42" s="39">
        <v>162</v>
      </c>
      <c r="R42" s="39">
        <v>174</v>
      </c>
      <c r="S42" s="39">
        <v>264</v>
      </c>
      <c r="T42" s="39">
        <v>286</v>
      </c>
      <c r="U42" s="39">
        <v>268</v>
      </c>
      <c r="V42" s="39">
        <v>270</v>
      </c>
      <c r="W42" s="39">
        <v>384</v>
      </c>
      <c r="X42" s="39">
        <v>386</v>
      </c>
      <c r="Y42" s="39">
        <v>664</v>
      </c>
      <c r="Z42" s="39">
        <v>884</v>
      </c>
      <c r="AA42" s="39"/>
      <c r="AB42" s="39">
        <v>904</v>
      </c>
      <c r="AC42" s="39">
        <v>982</v>
      </c>
      <c r="AD42" s="39">
        <v>1006</v>
      </c>
      <c r="AE42" s="164">
        <v>30</v>
      </c>
      <c r="AF42" s="39"/>
      <c r="AG42" s="39"/>
      <c r="AH42" s="39">
        <v>85</v>
      </c>
      <c r="AI42" s="39">
        <v>100</v>
      </c>
      <c r="AJ42" s="39">
        <v>100</v>
      </c>
      <c r="AK42" s="39">
        <v>86</v>
      </c>
      <c r="AL42" s="39">
        <v>104</v>
      </c>
      <c r="AM42" s="39">
        <v>110</v>
      </c>
      <c r="AN42" s="39">
        <v>126</v>
      </c>
      <c r="AO42" s="39"/>
      <c r="AP42" s="39">
        <v>128</v>
      </c>
      <c r="AQ42" s="39"/>
      <c r="AR42" s="39"/>
      <c r="AS42" s="39">
        <v>100</v>
      </c>
      <c r="AT42" s="39">
        <v>86</v>
      </c>
      <c r="AU42" s="39">
        <v>114</v>
      </c>
      <c r="AV42" s="39">
        <v>85</v>
      </c>
      <c r="AW42" s="39">
        <v>98</v>
      </c>
      <c r="AX42" s="39">
        <v>87</v>
      </c>
      <c r="AY42" s="39">
        <v>73</v>
      </c>
      <c r="AZ42" s="39">
        <v>110</v>
      </c>
      <c r="BA42" s="39">
        <v>135</v>
      </c>
      <c r="BB42" s="6">
        <v>203</v>
      </c>
      <c r="BC42" s="6">
        <v>174</v>
      </c>
      <c r="BE42" s="6">
        <v>188</v>
      </c>
      <c r="BF42" s="6">
        <v>164</v>
      </c>
      <c r="BG42" s="6">
        <v>227</v>
      </c>
    </row>
    <row r="43" spans="1:59" s="6" customFormat="1">
      <c r="A43" s="39" t="s">
        <v>122</v>
      </c>
      <c r="B43" s="39">
        <v>90</v>
      </c>
      <c r="C43" s="39"/>
      <c r="D43" s="39"/>
      <c r="E43" s="39">
        <v>177</v>
      </c>
      <c r="F43" s="39">
        <v>182</v>
      </c>
      <c r="G43" s="39">
        <v>202</v>
      </c>
      <c r="H43" s="39">
        <v>229</v>
      </c>
      <c r="I43" s="39">
        <v>207</v>
      </c>
      <c r="J43" s="39">
        <v>234</v>
      </c>
      <c r="K43" s="39">
        <v>237</v>
      </c>
      <c r="L43" s="39"/>
      <c r="M43" s="39">
        <v>257</v>
      </c>
      <c r="N43" s="39"/>
      <c r="O43" s="39"/>
      <c r="P43" s="39">
        <v>292</v>
      </c>
      <c r="Q43" s="39">
        <v>366</v>
      </c>
      <c r="R43" s="39">
        <v>371</v>
      </c>
      <c r="S43" s="39">
        <v>382</v>
      </c>
      <c r="T43" s="39">
        <v>417</v>
      </c>
      <c r="U43" s="39">
        <v>458</v>
      </c>
      <c r="V43" s="39">
        <v>454</v>
      </c>
      <c r="W43" s="39">
        <v>538</v>
      </c>
      <c r="X43" s="39">
        <v>585</v>
      </c>
      <c r="Y43" s="39">
        <v>728</v>
      </c>
      <c r="Z43" s="39">
        <v>817</v>
      </c>
      <c r="AA43" s="39"/>
      <c r="AB43" s="39">
        <v>1024</v>
      </c>
      <c r="AC43" s="39">
        <v>1060</v>
      </c>
      <c r="AD43" s="39">
        <v>1047</v>
      </c>
      <c r="AE43" s="164">
        <v>59</v>
      </c>
      <c r="AF43" s="39"/>
      <c r="AG43" s="39"/>
      <c r="AH43" s="39">
        <v>79</v>
      </c>
      <c r="AI43" s="39">
        <v>78</v>
      </c>
      <c r="AJ43" s="39">
        <v>59</v>
      </c>
      <c r="AK43" s="39">
        <v>92</v>
      </c>
      <c r="AL43" s="39">
        <v>86</v>
      </c>
      <c r="AM43" s="39">
        <v>79</v>
      </c>
      <c r="AN43" s="39">
        <v>85</v>
      </c>
      <c r="AO43" s="39"/>
      <c r="AP43" s="39">
        <v>123</v>
      </c>
      <c r="AQ43" s="39"/>
      <c r="AR43" s="39"/>
      <c r="AS43" s="39">
        <v>114</v>
      </c>
      <c r="AT43" s="39">
        <v>148</v>
      </c>
      <c r="AU43" s="39">
        <v>161</v>
      </c>
      <c r="AV43" s="39">
        <v>139</v>
      </c>
      <c r="AW43" s="39">
        <v>99</v>
      </c>
      <c r="AX43" s="39">
        <v>166</v>
      </c>
      <c r="AY43" s="39">
        <v>139</v>
      </c>
      <c r="AZ43" s="39">
        <v>163</v>
      </c>
      <c r="BA43" s="39">
        <v>170</v>
      </c>
      <c r="BB43" s="6">
        <v>173</v>
      </c>
      <c r="BC43" s="6">
        <v>182</v>
      </c>
      <c r="BE43" s="6">
        <v>186</v>
      </c>
      <c r="BF43" s="6">
        <v>179</v>
      </c>
      <c r="BG43" s="6">
        <v>224</v>
      </c>
    </row>
    <row r="44" spans="1:59" s="6" customFormat="1">
      <c r="A44" s="39" t="s">
        <v>125</v>
      </c>
      <c r="B44" s="39">
        <v>262</v>
      </c>
      <c r="C44" s="39"/>
      <c r="D44" s="39"/>
      <c r="E44" s="39">
        <v>285</v>
      </c>
      <c r="F44" s="39">
        <v>296</v>
      </c>
      <c r="G44" s="39">
        <v>660</v>
      </c>
      <c r="H44" s="39">
        <v>328</v>
      </c>
      <c r="I44" s="39">
        <v>372</v>
      </c>
      <c r="J44" s="39">
        <v>349</v>
      </c>
      <c r="K44" s="39">
        <v>362</v>
      </c>
      <c r="L44" s="39"/>
      <c r="M44" s="39">
        <v>344</v>
      </c>
      <c r="N44" s="39"/>
      <c r="O44" s="39"/>
      <c r="P44" s="39">
        <v>430</v>
      </c>
      <c r="Q44" s="39">
        <v>423</v>
      </c>
      <c r="R44" s="39">
        <v>528</v>
      </c>
      <c r="S44" s="39">
        <v>544</v>
      </c>
      <c r="T44" s="39">
        <v>580</v>
      </c>
      <c r="U44" s="39">
        <v>659</v>
      </c>
      <c r="V44" s="39">
        <v>714</v>
      </c>
      <c r="W44" s="39">
        <v>852</v>
      </c>
      <c r="X44" s="39">
        <v>925</v>
      </c>
      <c r="Y44" s="39">
        <v>925</v>
      </c>
      <c r="Z44" s="39">
        <v>1039</v>
      </c>
      <c r="AA44" s="39"/>
      <c r="AB44" s="39">
        <v>1189</v>
      </c>
      <c r="AC44" s="39">
        <v>1131</v>
      </c>
      <c r="AD44" s="39">
        <v>1034</v>
      </c>
      <c r="AE44" s="164">
        <v>183</v>
      </c>
      <c r="AF44" s="39"/>
      <c r="AG44" s="39"/>
      <c r="AH44" s="39">
        <v>179</v>
      </c>
      <c r="AI44" s="39">
        <v>209</v>
      </c>
      <c r="AJ44" s="39">
        <v>356</v>
      </c>
      <c r="AK44" s="39">
        <v>182</v>
      </c>
      <c r="AL44" s="39">
        <v>177</v>
      </c>
      <c r="AM44" s="39">
        <v>202</v>
      </c>
      <c r="AN44" s="39">
        <v>197</v>
      </c>
      <c r="AO44" s="39"/>
      <c r="AP44" s="39">
        <v>183</v>
      </c>
      <c r="AQ44" s="39"/>
      <c r="AR44" s="39"/>
      <c r="AS44" s="39">
        <v>438</v>
      </c>
      <c r="AT44" s="39">
        <v>492</v>
      </c>
      <c r="AU44" s="39">
        <v>515</v>
      </c>
      <c r="AV44" s="39">
        <v>435</v>
      </c>
      <c r="AW44" s="39">
        <v>486</v>
      </c>
      <c r="AX44" s="39">
        <v>498</v>
      </c>
      <c r="AY44" s="39">
        <v>433</v>
      </c>
      <c r="AZ44" s="39">
        <v>448</v>
      </c>
      <c r="BA44" s="39">
        <v>381</v>
      </c>
      <c r="BB44" s="6">
        <v>421</v>
      </c>
      <c r="BC44" s="6">
        <v>432</v>
      </c>
      <c r="BE44" s="6">
        <v>560</v>
      </c>
      <c r="BF44" s="6">
        <v>473</v>
      </c>
      <c r="BG44" s="6">
        <v>382</v>
      </c>
    </row>
    <row r="45" spans="1:59" s="6" customFormat="1">
      <c r="A45" s="39" t="s">
        <v>126</v>
      </c>
      <c r="B45" s="39">
        <v>32</v>
      </c>
      <c r="C45" s="39"/>
      <c r="D45" s="39"/>
      <c r="E45" s="39">
        <v>72</v>
      </c>
      <c r="F45" s="39">
        <v>101</v>
      </c>
      <c r="G45" s="39">
        <v>73</v>
      </c>
      <c r="H45" s="39">
        <v>117</v>
      </c>
      <c r="I45" s="39">
        <v>111</v>
      </c>
      <c r="J45" s="39">
        <v>97</v>
      </c>
      <c r="K45" s="39">
        <v>87</v>
      </c>
      <c r="L45" s="39"/>
      <c r="M45" s="39">
        <v>122</v>
      </c>
      <c r="N45" s="39"/>
      <c r="O45" s="39"/>
      <c r="P45" s="39">
        <v>134</v>
      </c>
      <c r="Q45" s="39">
        <v>148</v>
      </c>
      <c r="R45" s="39">
        <v>143</v>
      </c>
      <c r="S45" s="39">
        <v>176</v>
      </c>
      <c r="T45" s="39">
        <v>215</v>
      </c>
      <c r="U45" s="39">
        <v>257</v>
      </c>
      <c r="V45" s="39">
        <v>298</v>
      </c>
      <c r="W45" s="39">
        <v>308</v>
      </c>
      <c r="X45" s="39">
        <v>600</v>
      </c>
      <c r="Y45" s="39">
        <v>654</v>
      </c>
      <c r="Z45" s="39">
        <v>747</v>
      </c>
      <c r="AA45" s="39"/>
      <c r="AB45" s="39">
        <v>822</v>
      </c>
      <c r="AC45" s="39">
        <v>852</v>
      </c>
      <c r="AD45" s="39">
        <v>848</v>
      </c>
      <c r="AE45" s="164">
        <v>37</v>
      </c>
      <c r="AF45" s="39"/>
      <c r="AG45" s="39"/>
      <c r="AH45" s="39">
        <v>71</v>
      </c>
      <c r="AI45" s="39">
        <v>80</v>
      </c>
      <c r="AJ45" s="39">
        <v>69</v>
      </c>
      <c r="AK45" s="39">
        <v>95</v>
      </c>
      <c r="AL45" s="39">
        <v>123</v>
      </c>
      <c r="AM45" s="39">
        <v>115</v>
      </c>
      <c r="AN45" s="39">
        <v>81</v>
      </c>
      <c r="AO45" s="39"/>
      <c r="AP45" s="39">
        <v>92</v>
      </c>
      <c r="AQ45" s="39"/>
      <c r="AR45" s="39"/>
      <c r="AS45" s="39">
        <v>124</v>
      </c>
      <c r="AT45" s="39">
        <v>142</v>
      </c>
      <c r="AU45" s="39">
        <v>157</v>
      </c>
      <c r="AV45" s="39">
        <v>133</v>
      </c>
      <c r="AW45" s="39">
        <v>129</v>
      </c>
      <c r="AX45" s="39">
        <v>107</v>
      </c>
      <c r="AY45" s="39">
        <v>134</v>
      </c>
      <c r="AZ45" s="39">
        <v>111</v>
      </c>
      <c r="BA45" s="39">
        <v>123</v>
      </c>
      <c r="BB45" s="6">
        <v>116</v>
      </c>
      <c r="BC45" s="6">
        <v>123</v>
      </c>
      <c r="BE45" s="6">
        <v>120</v>
      </c>
      <c r="BF45" s="6">
        <v>121</v>
      </c>
      <c r="BG45" s="6">
        <v>129</v>
      </c>
    </row>
    <row r="46" spans="1:59" s="6" customFormat="1">
      <c r="A46" s="39" t="s">
        <v>127</v>
      </c>
      <c r="B46" s="39">
        <v>56</v>
      </c>
      <c r="C46" s="39"/>
      <c r="D46" s="39"/>
      <c r="E46" s="39">
        <v>81</v>
      </c>
      <c r="F46" s="39">
        <v>77</v>
      </c>
      <c r="G46" s="39">
        <v>99</v>
      </c>
      <c r="H46" s="39">
        <v>119</v>
      </c>
      <c r="I46" s="39">
        <v>163</v>
      </c>
      <c r="J46" s="39">
        <v>163</v>
      </c>
      <c r="K46" s="39">
        <v>148</v>
      </c>
      <c r="L46" s="39"/>
      <c r="M46" s="39">
        <v>198</v>
      </c>
      <c r="N46" s="39"/>
      <c r="O46" s="39"/>
      <c r="P46" s="39">
        <v>199</v>
      </c>
      <c r="Q46" s="39">
        <v>255</v>
      </c>
      <c r="R46" s="39">
        <v>248</v>
      </c>
      <c r="S46" s="39">
        <v>316</v>
      </c>
      <c r="T46" s="39">
        <v>297</v>
      </c>
      <c r="U46" s="39">
        <v>335</v>
      </c>
      <c r="V46" s="39">
        <v>346</v>
      </c>
      <c r="W46" s="39">
        <v>371</v>
      </c>
      <c r="X46" s="39">
        <v>453</v>
      </c>
      <c r="Y46" s="39">
        <v>555</v>
      </c>
      <c r="Z46" s="39">
        <v>611</v>
      </c>
      <c r="AA46" s="39"/>
      <c r="AB46" s="39">
        <v>762</v>
      </c>
      <c r="AC46" s="39">
        <v>807</v>
      </c>
      <c r="AD46" s="39">
        <v>834</v>
      </c>
      <c r="AE46" s="164">
        <v>63</v>
      </c>
      <c r="AF46" s="39"/>
      <c r="AG46" s="39"/>
      <c r="AH46" s="39">
        <v>84</v>
      </c>
      <c r="AI46" s="39">
        <v>54</v>
      </c>
      <c r="AJ46" s="39">
        <v>65</v>
      </c>
      <c r="AK46" s="39">
        <v>37</v>
      </c>
      <c r="AL46" s="39">
        <v>56</v>
      </c>
      <c r="AM46" s="39">
        <v>40</v>
      </c>
      <c r="AN46" s="39">
        <v>59</v>
      </c>
      <c r="AO46" s="39"/>
      <c r="AP46" s="39">
        <v>51</v>
      </c>
      <c r="AQ46" s="39"/>
      <c r="AR46" s="39"/>
      <c r="AS46" s="39">
        <v>103</v>
      </c>
      <c r="AT46" s="39">
        <v>139</v>
      </c>
      <c r="AU46" s="39">
        <v>120</v>
      </c>
      <c r="AV46" s="39">
        <v>130</v>
      </c>
      <c r="AW46" s="39">
        <v>128</v>
      </c>
      <c r="AX46" s="39">
        <v>124</v>
      </c>
      <c r="AY46" s="39">
        <v>83</v>
      </c>
      <c r="AZ46" s="39">
        <v>151</v>
      </c>
      <c r="BA46" s="39">
        <v>174</v>
      </c>
      <c r="BB46" s="6">
        <v>105</v>
      </c>
      <c r="BC46" s="6">
        <v>112</v>
      </c>
      <c r="BE46" s="6">
        <v>148</v>
      </c>
      <c r="BF46" s="6">
        <v>147</v>
      </c>
      <c r="BG46" s="6">
        <v>142</v>
      </c>
    </row>
    <row r="47" spans="1:59" s="6" customFormat="1">
      <c r="A47" s="39" t="s">
        <v>131</v>
      </c>
      <c r="B47" s="39">
        <v>21</v>
      </c>
      <c r="C47" s="39"/>
      <c r="D47" s="39"/>
      <c r="E47" s="39">
        <v>77</v>
      </c>
      <c r="F47" s="39">
        <v>24</v>
      </c>
      <c r="G47" s="39">
        <v>41</v>
      </c>
      <c r="H47" s="39">
        <v>40</v>
      </c>
      <c r="I47" s="39">
        <v>37</v>
      </c>
      <c r="J47" s="39">
        <v>56</v>
      </c>
      <c r="K47" s="39">
        <v>46</v>
      </c>
      <c r="L47" s="39"/>
      <c r="M47" s="39">
        <v>78</v>
      </c>
      <c r="N47" s="39"/>
      <c r="O47" s="39"/>
      <c r="P47" s="39">
        <v>84</v>
      </c>
      <c r="Q47" s="39">
        <v>86</v>
      </c>
      <c r="R47" s="39">
        <v>122</v>
      </c>
      <c r="S47" s="39">
        <v>119</v>
      </c>
      <c r="T47" s="39">
        <v>131</v>
      </c>
      <c r="U47" s="39">
        <v>154</v>
      </c>
      <c r="V47" s="39">
        <v>164</v>
      </c>
      <c r="W47" s="39">
        <v>186</v>
      </c>
      <c r="X47" s="39">
        <v>184</v>
      </c>
      <c r="Y47" s="39">
        <v>266</v>
      </c>
      <c r="Z47" s="39">
        <v>324</v>
      </c>
      <c r="AA47" s="39"/>
      <c r="AB47" s="39">
        <v>423</v>
      </c>
      <c r="AC47" s="39">
        <v>403</v>
      </c>
      <c r="AD47" s="39">
        <v>418</v>
      </c>
      <c r="AE47" s="164">
        <v>9</v>
      </c>
      <c r="AF47" s="39"/>
      <c r="AG47" s="39"/>
      <c r="AH47" s="39">
        <v>22</v>
      </c>
      <c r="AI47" s="39">
        <v>7</v>
      </c>
      <c r="AJ47" s="39">
        <v>11</v>
      </c>
      <c r="AK47" s="39">
        <v>15</v>
      </c>
      <c r="AL47" s="39">
        <v>13</v>
      </c>
      <c r="AM47" s="39">
        <v>9</v>
      </c>
      <c r="AN47" s="39">
        <v>8</v>
      </c>
      <c r="AO47" s="39"/>
      <c r="AP47" s="39">
        <v>8</v>
      </c>
      <c r="AQ47" s="39"/>
      <c r="AR47" s="39"/>
      <c r="AS47" s="39">
        <v>7</v>
      </c>
      <c r="AT47" s="39">
        <v>36</v>
      </c>
      <c r="AU47" s="39">
        <v>56</v>
      </c>
      <c r="AV47" s="39">
        <v>18</v>
      </c>
      <c r="AW47" s="39">
        <v>16</v>
      </c>
      <c r="AX47" s="39">
        <v>21</v>
      </c>
      <c r="AY47" s="39">
        <v>40</v>
      </c>
      <c r="AZ47" s="39">
        <v>22</v>
      </c>
      <c r="BA47" s="39">
        <v>33</v>
      </c>
      <c r="BB47" s="6">
        <v>29</v>
      </c>
      <c r="BC47" s="6">
        <v>25</v>
      </c>
      <c r="BE47" s="6">
        <v>40</v>
      </c>
      <c r="BF47" s="6">
        <v>35</v>
      </c>
      <c r="BG47" s="6">
        <v>50</v>
      </c>
    </row>
    <row r="48" spans="1:59" s="6" customFormat="1">
      <c r="A48" s="39" t="s">
        <v>130</v>
      </c>
      <c r="B48" s="39">
        <v>2</v>
      </c>
      <c r="C48" s="39"/>
      <c r="D48" s="39"/>
      <c r="E48" s="39">
        <v>6</v>
      </c>
      <c r="F48" s="39">
        <v>3</v>
      </c>
      <c r="G48" s="39">
        <v>1</v>
      </c>
      <c r="H48" s="39">
        <v>4</v>
      </c>
      <c r="I48" s="39">
        <v>5</v>
      </c>
      <c r="J48" s="39">
        <v>21</v>
      </c>
      <c r="K48" s="39">
        <v>7</v>
      </c>
      <c r="L48" s="39"/>
      <c r="M48" s="39">
        <v>6</v>
      </c>
      <c r="N48" s="39"/>
      <c r="O48" s="39"/>
      <c r="P48" s="39">
        <v>20</v>
      </c>
      <c r="Q48" s="39">
        <v>16</v>
      </c>
      <c r="R48" s="39">
        <v>13</v>
      </c>
      <c r="S48" s="39">
        <v>10</v>
      </c>
      <c r="T48" s="39">
        <v>17</v>
      </c>
      <c r="U48" s="39">
        <v>15</v>
      </c>
      <c r="V48" s="39">
        <v>19</v>
      </c>
      <c r="W48" s="39">
        <v>21</v>
      </c>
      <c r="X48" s="39">
        <v>30</v>
      </c>
      <c r="Y48" s="39">
        <v>27</v>
      </c>
      <c r="Z48" s="39">
        <v>41</v>
      </c>
      <c r="AA48" s="39"/>
      <c r="AB48" s="39">
        <v>42</v>
      </c>
      <c r="AC48" s="39">
        <v>47</v>
      </c>
      <c r="AD48" s="39">
        <v>55</v>
      </c>
      <c r="AE48" s="164">
        <v>1</v>
      </c>
      <c r="AF48" s="39"/>
      <c r="AG48" s="39"/>
      <c r="AH48" s="39">
        <v>17</v>
      </c>
      <c r="AI48" s="39">
        <v>1</v>
      </c>
      <c r="AJ48" s="39">
        <v>10</v>
      </c>
      <c r="AK48" s="39">
        <v>0</v>
      </c>
      <c r="AL48" s="39">
        <v>6</v>
      </c>
      <c r="AM48" s="39">
        <v>18</v>
      </c>
      <c r="AN48" s="39">
        <v>10</v>
      </c>
      <c r="AO48" s="39"/>
      <c r="AP48" s="39">
        <v>24</v>
      </c>
      <c r="AQ48" s="39"/>
      <c r="AR48" s="39"/>
      <c r="AS48" s="39">
        <v>25</v>
      </c>
      <c r="AT48" s="39">
        <v>12</v>
      </c>
      <c r="AU48" s="39">
        <v>6</v>
      </c>
      <c r="AV48" s="39">
        <v>25</v>
      </c>
      <c r="AW48" s="39">
        <v>23</v>
      </c>
      <c r="AX48" s="39">
        <v>30</v>
      </c>
      <c r="AY48" s="39">
        <v>19</v>
      </c>
      <c r="AZ48" s="39">
        <v>26</v>
      </c>
      <c r="BA48" s="39">
        <v>19</v>
      </c>
      <c r="BB48" s="6">
        <v>22</v>
      </c>
      <c r="BC48" s="6">
        <v>37</v>
      </c>
      <c r="BE48" s="6">
        <v>35</v>
      </c>
      <c r="BF48" s="6">
        <v>45</v>
      </c>
      <c r="BG48" s="6">
        <v>56</v>
      </c>
    </row>
    <row r="49" spans="1:59" s="6" customFormat="1">
      <c r="A49" s="39" t="s">
        <v>137</v>
      </c>
      <c r="B49" s="39">
        <v>169</v>
      </c>
      <c r="C49" s="39"/>
      <c r="D49" s="39"/>
      <c r="E49" s="39">
        <v>160</v>
      </c>
      <c r="F49" s="39">
        <v>169</v>
      </c>
      <c r="G49" s="39">
        <v>247</v>
      </c>
      <c r="H49" s="39">
        <v>199</v>
      </c>
      <c r="I49" s="39">
        <v>238</v>
      </c>
      <c r="J49" s="39">
        <v>382</v>
      </c>
      <c r="K49" s="39">
        <v>274</v>
      </c>
      <c r="L49" s="39"/>
      <c r="M49" s="39">
        <v>241</v>
      </c>
      <c r="N49" s="39"/>
      <c r="O49" s="39"/>
      <c r="P49" s="39">
        <v>302</v>
      </c>
      <c r="Q49" s="39">
        <v>327</v>
      </c>
      <c r="R49" s="39">
        <v>355</v>
      </c>
      <c r="S49" s="39">
        <v>361</v>
      </c>
      <c r="T49" s="39">
        <v>411</v>
      </c>
      <c r="U49" s="39">
        <v>441</v>
      </c>
      <c r="V49" s="39">
        <v>469</v>
      </c>
      <c r="W49" s="39">
        <v>533</v>
      </c>
      <c r="X49" s="39">
        <v>640</v>
      </c>
      <c r="Y49" s="39">
        <v>730</v>
      </c>
      <c r="Z49" s="39">
        <v>715</v>
      </c>
      <c r="AA49" s="39"/>
      <c r="AB49" s="39">
        <v>855</v>
      </c>
      <c r="AC49" s="39">
        <v>917</v>
      </c>
      <c r="AD49" s="39">
        <v>937</v>
      </c>
      <c r="AE49" s="164">
        <v>78</v>
      </c>
      <c r="AF49" s="39"/>
      <c r="AG49" s="39"/>
      <c r="AH49" s="39">
        <v>113</v>
      </c>
      <c r="AI49" s="39">
        <v>109</v>
      </c>
      <c r="AJ49" s="39">
        <v>140</v>
      </c>
      <c r="AK49" s="39">
        <v>122</v>
      </c>
      <c r="AL49" s="39">
        <v>122</v>
      </c>
      <c r="AM49" s="39">
        <v>333</v>
      </c>
      <c r="AN49" s="39">
        <v>111</v>
      </c>
      <c r="AO49" s="39"/>
      <c r="AP49" s="39">
        <v>121</v>
      </c>
      <c r="AQ49" s="39"/>
      <c r="AR49" s="39"/>
      <c r="AS49" s="39">
        <v>273</v>
      </c>
      <c r="AT49" s="39">
        <v>188</v>
      </c>
      <c r="AU49" s="39">
        <v>201</v>
      </c>
      <c r="AV49" s="39">
        <v>163</v>
      </c>
      <c r="AW49" s="39">
        <v>160</v>
      </c>
      <c r="AX49" s="39">
        <v>161</v>
      </c>
      <c r="AY49" s="39">
        <v>159</v>
      </c>
      <c r="AZ49" s="39">
        <v>158</v>
      </c>
      <c r="BA49" s="39">
        <v>134</v>
      </c>
      <c r="BB49" s="6">
        <v>161</v>
      </c>
      <c r="BC49" s="6">
        <v>175</v>
      </c>
      <c r="BE49" s="6">
        <v>180</v>
      </c>
      <c r="BF49" s="6">
        <v>158</v>
      </c>
      <c r="BG49" s="6">
        <v>236</v>
      </c>
    </row>
    <row r="50" spans="1:59" s="6" customFormat="1">
      <c r="A50" s="39" t="s">
        <v>141</v>
      </c>
      <c r="B50" s="39">
        <v>2</v>
      </c>
      <c r="C50" s="39"/>
      <c r="D50" s="39"/>
      <c r="E50" s="39">
        <v>1</v>
      </c>
      <c r="F50" s="39">
        <v>6</v>
      </c>
      <c r="G50" s="39">
        <v>4</v>
      </c>
      <c r="H50" s="39">
        <v>5</v>
      </c>
      <c r="I50" s="39">
        <v>5</v>
      </c>
      <c r="J50" s="39">
        <v>4</v>
      </c>
      <c r="K50" s="39">
        <v>6</v>
      </c>
      <c r="L50" s="39"/>
      <c r="M50" s="39">
        <v>14</v>
      </c>
      <c r="N50" s="39"/>
      <c r="O50" s="39"/>
      <c r="P50" s="39">
        <v>9</v>
      </c>
      <c r="Q50" s="39">
        <v>14</v>
      </c>
      <c r="R50" s="39">
        <v>6</v>
      </c>
      <c r="S50" s="39">
        <v>12</v>
      </c>
      <c r="T50" s="39">
        <v>12</v>
      </c>
      <c r="U50" s="39">
        <v>17</v>
      </c>
      <c r="V50" s="39">
        <v>18</v>
      </c>
      <c r="W50" s="39">
        <v>25</v>
      </c>
      <c r="X50" s="39">
        <v>30</v>
      </c>
      <c r="Y50" s="39">
        <v>46</v>
      </c>
      <c r="Z50" s="39">
        <v>47</v>
      </c>
      <c r="AA50" s="39"/>
      <c r="AB50" s="39">
        <v>44</v>
      </c>
      <c r="AC50" s="39">
        <v>47</v>
      </c>
      <c r="AD50" s="39">
        <v>53</v>
      </c>
      <c r="AE50" s="164">
        <v>8</v>
      </c>
      <c r="AF50" s="39"/>
      <c r="AG50" s="39"/>
      <c r="AH50" s="39">
        <v>5</v>
      </c>
      <c r="AI50" s="39">
        <v>10</v>
      </c>
      <c r="AJ50" s="39">
        <v>42</v>
      </c>
      <c r="AK50" s="39">
        <v>49</v>
      </c>
      <c r="AL50" s="39">
        <v>48</v>
      </c>
      <c r="AM50" s="39">
        <v>29</v>
      </c>
      <c r="AN50" s="39">
        <v>38</v>
      </c>
      <c r="AO50" s="39"/>
      <c r="AP50" s="39">
        <v>52</v>
      </c>
      <c r="AQ50" s="39"/>
      <c r="AR50" s="39"/>
      <c r="AS50" s="39">
        <v>1</v>
      </c>
      <c r="AT50" s="39">
        <v>2</v>
      </c>
      <c r="AU50" s="39">
        <v>1</v>
      </c>
      <c r="AV50" s="39"/>
      <c r="AW50" s="39">
        <v>4</v>
      </c>
      <c r="AX50" s="39">
        <v>1</v>
      </c>
      <c r="AY50" s="39">
        <v>0</v>
      </c>
      <c r="AZ50" s="39">
        <v>2</v>
      </c>
      <c r="BA50" s="39">
        <v>1</v>
      </c>
      <c r="BB50" s="6">
        <v>3</v>
      </c>
      <c r="BC50" s="6">
        <v>2</v>
      </c>
      <c r="BE50" s="6">
        <v>1</v>
      </c>
      <c r="BF50" s="6">
        <v>2</v>
      </c>
      <c r="BG50" s="6">
        <v>3</v>
      </c>
    </row>
    <row r="51" spans="1:59" s="6" customFormat="1">
      <c r="A51" s="40" t="s">
        <v>144</v>
      </c>
      <c r="B51" s="40">
        <v>79</v>
      </c>
      <c r="C51" s="40"/>
      <c r="D51" s="40"/>
      <c r="E51" s="40">
        <v>149</v>
      </c>
      <c r="F51" s="40">
        <v>250</v>
      </c>
      <c r="G51" s="40">
        <v>109</v>
      </c>
      <c r="H51" s="40">
        <v>139</v>
      </c>
      <c r="I51" s="40">
        <v>125</v>
      </c>
      <c r="J51" s="40">
        <v>150</v>
      </c>
      <c r="K51" s="40">
        <v>241</v>
      </c>
      <c r="L51" s="40"/>
      <c r="M51" s="40">
        <v>167</v>
      </c>
      <c r="N51" s="40"/>
      <c r="O51" s="40"/>
      <c r="P51" s="40">
        <v>209</v>
      </c>
      <c r="Q51" s="40">
        <v>269</v>
      </c>
      <c r="R51" s="40">
        <v>241</v>
      </c>
      <c r="S51" s="40">
        <v>276</v>
      </c>
      <c r="T51" s="40">
        <v>332</v>
      </c>
      <c r="U51" s="40">
        <v>335</v>
      </c>
      <c r="V51" s="40">
        <v>333</v>
      </c>
      <c r="W51" s="40">
        <v>385</v>
      </c>
      <c r="X51" s="40">
        <v>544</v>
      </c>
      <c r="Y51" s="40">
        <v>575</v>
      </c>
      <c r="Z51" s="40">
        <v>604</v>
      </c>
      <c r="AA51" s="40"/>
      <c r="AB51" s="40">
        <v>663</v>
      </c>
      <c r="AC51" s="40">
        <v>634</v>
      </c>
      <c r="AD51" s="40">
        <v>675</v>
      </c>
      <c r="AE51" s="165">
        <v>10</v>
      </c>
      <c r="AF51" s="40"/>
      <c r="AG51" s="40"/>
      <c r="AH51" s="40">
        <v>74</v>
      </c>
      <c r="AI51" s="40">
        <v>17</v>
      </c>
      <c r="AJ51" s="40">
        <v>11</v>
      </c>
      <c r="AK51" s="40">
        <v>40</v>
      </c>
      <c r="AL51" s="40">
        <v>25</v>
      </c>
      <c r="AM51" s="40">
        <v>22</v>
      </c>
      <c r="AN51" s="40">
        <v>37</v>
      </c>
      <c r="AO51" s="40"/>
      <c r="AP51" s="40">
        <v>18</v>
      </c>
      <c r="AQ51" s="40"/>
      <c r="AR51" s="40"/>
      <c r="AS51" s="40">
        <v>21</v>
      </c>
      <c r="AT51" s="40">
        <v>22</v>
      </c>
      <c r="AU51" s="40">
        <v>21</v>
      </c>
      <c r="AV51" s="40">
        <v>23</v>
      </c>
      <c r="AW51" s="40">
        <v>15</v>
      </c>
      <c r="AX51" s="40">
        <v>10</v>
      </c>
      <c r="AY51" s="40">
        <v>7</v>
      </c>
      <c r="AZ51" s="40">
        <v>7</v>
      </c>
      <c r="BA51" s="40">
        <v>12</v>
      </c>
      <c r="BB51" s="7">
        <v>31</v>
      </c>
      <c r="BC51" s="7">
        <v>21</v>
      </c>
      <c r="BD51" s="7"/>
      <c r="BE51" s="7">
        <v>30</v>
      </c>
      <c r="BF51" s="7">
        <v>29</v>
      </c>
      <c r="BG51" s="7">
        <v>40</v>
      </c>
    </row>
    <row r="52" spans="1:59" s="6" customFormat="1">
      <c r="A52" s="122" t="s">
        <v>187</v>
      </c>
      <c r="B52" s="122">
        <f>SUM(B54:B62)</f>
        <v>2415</v>
      </c>
      <c r="C52" s="122"/>
      <c r="D52" s="122"/>
      <c r="E52" s="122">
        <f t="shared" ref="E52:K52" si="74">SUM(E54:E62)</f>
        <v>5023</v>
      </c>
      <c r="F52" s="122">
        <f t="shared" si="74"/>
        <v>5726</v>
      </c>
      <c r="G52" s="122">
        <f t="shared" si="74"/>
        <v>6203</v>
      </c>
      <c r="H52" s="122">
        <f t="shared" si="74"/>
        <v>7043</v>
      </c>
      <c r="I52" s="122">
        <f t="shared" si="74"/>
        <v>6785</v>
      </c>
      <c r="J52" s="122">
        <f t="shared" si="74"/>
        <v>8060</v>
      </c>
      <c r="K52" s="122">
        <f t="shared" si="74"/>
        <v>8674</v>
      </c>
      <c r="L52" s="122"/>
      <c r="M52" s="122">
        <f>SUM(M54:M62)</f>
        <v>7885</v>
      </c>
      <c r="N52" s="122"/>
      <c r="O52" s="122"/>
      <c r="P52" s="122">
        <f t="shared" ref="P52:AE52" si="75">SUM(P54:P62)</f>
        <v>9679</v>
      </c>
      <c r="Q52" s="122">
        <f t="shared" si="75"/>
        <v>10235</v>
      </c>
      <c r="R52" s="122">
        <f t="shared" si="75"/>
        <v>10978</v>
      </c>
      <c r="S52" s="122">
        <f t="shared" si="75"/>
        <v>10832</v>
      </c>
      <c r="T52" s="122">
        <f t="shared" si="75"/>
        <v>11450</v>
      </c>
      <c r="U52" s="122">
        <f t="shared" si="75"/>
        <v>11391</v>
      </c>
      <c r="V52" s="122">
        <f t="shared" si="75"/>
        <v>12277</v>
      </c>
      <c r="W52" s="122">
        <f t="shared" si="75"/>
        <v>13711</v>
      </c>
      <c r="X52" s="122">
        <f t="shared" si="75"/>
        <v>15815</v>
      </c>
      <c r="Y52" s="122">
        <f t="shared" ref="Y52:Z52" si="76">SUM(Y54:Y62)</f>
        <v>18418</v>
      </c>
      <c r="Z52" s="122">
        <f t="shared" si="76"/>
        <v>19314</v>
      </c>
      <c r="AA52" s="122">
        <f t="shared" ref="AA52:AB52" si="77">SUM(AA54:AA62)</f>
        <v>0</v>
      </c>
      <c r="AB52" s="122">
        <f t="shared" si="77"/>
        <v>22293</v>
      </c>
      <c r="AC52" s="122">
        <f t="shared" ref="AC52:AD52" si="78">SUM(AC54:AC62)</f>
        <v>23310</v>
      </c>
      <c r="AD52" s="122">
        <f t="shared" si="78"/>
        <v>23829</v>
      </c>
      <c r="AE52" s="163">
        <f t="shared" si="75"/>
        <v>762</v>
      </c>
      <c r="AF52" s="122"/>
      <c r="AG52" s="122"/>
      <c r="AH52" s="122">
        <f t="shared" ref="AH52:AM52" si="79">SUM(AH54:AH62)</f>
        <v>1805</v>
      </c>
      <c r="AI52" s="122">
        <f t="shared" si="79"/>
        <v>1867</v>
      </c>
      <c r="AJ52" s="122">
        <f t="shared" si="79"/>
        <v>1772</v>
      </c>
      <c r="AK52" s="122">
        <f t="shared" si="79"/>
        <v>1838</v>
      </c>
      <c r="AL52" s="122">
        <f t="shared" si="79"/>
        <v>1952</v>
      </c>
      <c r="AM52" s="122">
        <f t="shared" si="79"/>
        <v>1995</v>
      </c>
      <c r="AN52" s="122">
        <f>SUM(AN54:AN62)</f>
        <v>2119</v>
      </c>
      <c r="AO52" s="122"/>
      <c r="AP52" s="122">
        <f>SUM(AP54:AP62)</f>
        <v>2234</v>
      </c>
      <c r="AQ52" s="122"/>
      <c r="AR52" s="122"/>
      <c r="AS52" s="122">
        <f t="shared" ref="AS52:BA52" si="80">SUM(AS54:AS62)</f>
        <v>3077</v>
      </c>
      <c r="AT52" s="122">
        <f t="shared" si="80"/>
        <v>3834</v>
      </c>
      <c r="AU52" s="122">
        <f t="shared" si="80"/>
        <v>3480</v>
      </c>
      <c r="AV52" s="122">
        <f t="shared" si="80"/>
        <v>3138</v>
      </c>
      <c r="AW52" s="122">
        <f t="shared" si="80"/>
        <v>3537</v>
      </c>
      <c r="AX52" s="122">
        <f t="shared" si="80"/>
        <v>3603</v>
      </c>
      <c r="AY52" s="122">
        <f t="shared" si="80"/>
        <v>3544</v>
      </c>
      <c r="AZ52" s="122">
        <f t="shared" si="80"/>
        <v>3948</v>
      </c>
      <c r="BA52" s="122">
        <f t="shared" si="80"/>
        <v>3994</v>
      </c>
      <c r="BB52" s="122">
        <f t="shared" ref="BB52:BC52" si="81">SUM(BB54:BB62)</f>
        <v>4269</v>
      </c>
      <c r="BC52" s="122">
        <f t="shared" si="81"/>
        <v>4102</v>
      </c>
      <c r="BD52" s="122">
        <f t="shared" ref="BD52:BE52" si="82">SUM(BD54:BD62)</f>
        <v>0</v>
      </c>
      <c r="BE52" s="122">
        <f t="shared" si="82"/>
        <v>3809</v>
      </c>
      <c r="BF52" s="122">
        <f t="shared" ref="BF52:BG52" si="83">SUM(BF54:BF62)</f>
        <v>3895</v>
      </c>
      <c r="BG52" s="122">
        <f t="shared" si="83"/>
        <v>3973</v>
      </c>
    </row>
    <row r="53" spans="1:59">
      <c r="A53" s="58" t="s">
        <v>189</v>
      </c>
      <c r="B53" s="58">
        <f>(B52/B4)*100</f>
        <v>13.077381274706232</v>
      </c>
      <c r="C53" s="58"/>
      <c r="D53" s="58"/>
      <c r="E53" s="58">
        <f t="shared" ref="E53:K53" si="84">(E52/E4)*100</f>
        <v>19.231947316027263</v>
      </c>
      <c r="F53" s="58">
        <f t="shared" si="84"/>
        <v>19.731899789792894</v>
      </c>
      <c r="G53" s="58">
        <f t="shared" si="84"/>
        <v>19.5062893081761</v>
      </c>
      <c r="H53" s="58">
        <f t="shared" si="84"/>
        <v>20.614664129957557</v>
      </c>
      <c r="I53" s="58">
        <f t="shared" si="84"/>
        <v>18.127170718674858</v>
      </c>
      <c r="J53" s="58">
        <f t="shared" si="84"/>
        <v>18.934410825032888</v>
      </c>
      <c r="K53" s="58">
        <f t="shared" si="84"/>
        <v>19.37977568255954</v>
      </c>
      <c r="L53" s="58"/>
      <c r="M53" s="58">
        <f>(M52/M4)*100</f>
        <v>15.787366102712985</v>
      </c>
      <c r="N53" s="58"/>
      <c r="O53" s="58"/>
      <c r="P53" s="58">
        <f t="shared" ref="P53:AE53" si="85">(P52/P4)*100</f>
        <v>15.397219305780919</v>
      </c>
      <c r="Q53" s="58">
        <f t="shared" si="85"/>
        <v>14.989528565779645</v>
      </c>
      <c r="R53" s="58">
        <f t="shared" si="85"/>
        <v>14.876951431049438</v>
      </c>
      <c r="S53" s="58">
        <f t="shared" si="85"/>
        <v>14.322548228854012</v>
      </c>
      <c r="T53" s="58">
        <f t="shared" si="85"/>
        <v>14.278410295419686</v>
      </c>
      <c r="U53" s="58">
        <f t="shared" si="85"/>
        <v>13.38196940861352</v>
      </c>
      <c r="V53" s="58">
        <f t="shared" si="85"/>
        <v>13.471815298855494</v>
      </c>
      <c r="W53" s="58">
        <f t="shared" si="85"/>
        <v>13.214912196156291</v>
      </c>
      <c r="X53" s="58">
        <f t="shared" si="85"/>
        <v>13.97961619036675</v>
      </c>
      <c r="Y53" s="58">
        <f t="shared" ref="Y53:Z53" si="86">(Y52/Y4)*100</f>
        <v>13.188119379045654</v>
      </c>
      <c r="Z53" s="58">
        <f t="shared" si="86"/>
        <v>13.049118302817378</v>
      </c>
      <c r="AA53" s="58" t="e">
        <f t="shared" ref="AA53:AB53" si="87">(AA52/AA4)*100</f>
        <v>#DIV/0!</v>
      </c>
      <c r="AB53" s="58">
        <f t="shared" si="87"/>
        <v>13.038443317600407</v>
      </c>
      <c r="AC53" s="58">
        <f t="shared" ref="AC53:AD53" si="88">(AC52/AC4)*100</f>
        <v>12.457180113402558</v>
      </c>
      <c r="AD53" s="58">
        <f t="shared" si="88"/>
        <v>11.864491169719631</v>
      </c>
      <c r="AE53" s="82">
        <f t="shared" si="85"/>
        <v>17.039355992844367</v>
      </c>
      <c r="AF53" s="58"/>
      <c r="AG53" s="58"/>
      <c r="AH53" s="58">
        <f t="shared" ref="AH53:AM53" si="89">(AH52/AH4)*100</f>
        <v>22.593566153461008</v>
      </c>
      <c r="AI53" s="58">
        <f t="shared" si="89"/>
        <v>20.78833092083287</v>
      </c>
      <c r="AJ53" s="58">
        <f t="shared" si="89"/>
        <v>17.475345167652858</v>
      </c>
      <c r="AK53" s="58">
        <f t="shared" si="89"/>
        <v>18.981720541154601</v>
      </c>
      <c r="AL53" s="58">
        <f t="shared" si="89"/>
        <v>19.267594511894188</v>
      </c>
      <c r="AM53" s="58">
        <f t="shared" si="89"/>
        <v>18.534002229654405</v>
      </c>
      <c r="AN53" s="58">
        <f>(AN52/AN4)*100</f>
        <v>17.14123928166963</v>
      </c>
      <c r="AO53" s="58"/>
      <c r="AP53" s="58">
        <f>(AP52/AP4)*100</f>
        <v>22.145122918318794</v>
      </c>
      <c r="AQ53" s="58"/>
      <c r="AR53" s="58"/>
      <c r="AS53" s="58">
        <f t="shared" ref="AS53:BA53" si="90">(AS52/AS4)*100</f>
        <v>22.907980941036332</v>
      </c>
      <c r="AT53" s="58">
        <f t="shared" si="90"/>
        <v>26.392235148344461</v>
      </c>
      <c r="AU53" s="58">
        <f t="shared" si="90"/>
        <v>24.71590909090909</v>
      </c>
      <c r="AV53" s="58">
        <f t="shared" si="90"/>
        <v>23.615291992775436</v>
      </c>
      <c r="AW53" s="58">
        <f t="shared" si="90"/>
        <v>25.716155300276284</v>
      </c>
      <c r="AX53" s="58">
        <f t="shared" si="90"/>
        <v>24.991329680238607</v>
      </c>
      <c r="AY53" s="58">
        <f t="shared" si="90"/>
        <v>23.340358271865121</v>
      </c>
      <c r="AZ53" s="58">
        <f t="shared" si="90"/>
        <v>24.5354546019514</v>
      </c>
      <c r="BA53" s="58">
        <f t="shared" si="90"/>
        <v>24.77513801873333</v>
      </c>
      <c r="BB53" s="58">
        <f t="shared" ref="BB53:BC53" si="91">(BB52/BB4)*100</f>
        <v>25.080782562716642</v>
      </c>
      <c r="BC53" s="58">
        <f t="shared" si="91"/>
        <v>24.418120126197987</v>
      </c>
      <c r="BD53" s="58" t="e">
        <f t="shared" ref="BD53:BE53" si="92">(BD52/BD4)*100</f>
        <v>#DIV/0!</v>
      </c>
      <c r="BE53" s="58">
        <f t="shared" si="92"/>
        <v>21.268635881400414</v>
      </c>
      <c r="BF53" s="58">
        <f t="shared" ref="BF53:BG53" si="93">(BF52/BF4)*100</f>
        <v>20.130239288852138</v>
      </c>
      <c r="BG53" s="58">
        <f t="shared" si="93"/>
        <v>19.018669219722355</v>
      </c>
    </row>
    <row r="54" spans="1:59" s="6" customFormat="1">
      <c r="A54" s="39" t="s">
        <v>116</v>
      </c>
      <c r="B54" s="39">
        <v>92</v>
      </c>
      <c r="C54" s="39"/>
      <c r="D54" s="39"/>
      <c r="E54" s="39">
        <v>158</v>
      </c>
      <c r="F54" s="39">
        <v>173</v>
      </c>
      <c r="G54" s="39">
        <v>202</v>
      </c>
      <c r="H54" s="39">
        <v>222</v>
      </c>
      <c r="I54" s="39">
        <v>256</v>
      </c>
      <c r="J54" s="39">
        <v>272</v>
      </c>
      <c r="K54" s="39">
        <v>235</v>
      </c>
      <c r="L54" s="39"/>
      <c r="M54" s="39">
        <v>294</v>
      </c>
      <c r="N54" s="39"/>
      <c r="O54" s="39"/>
      <c r="P54" s="39">
        <v>404</v>
      </c>
      <c r="Q54" s="39">
        <v>469</v>
      </c>
      <c r="R54" s="39">
        <v>507</v>
      </c>
      <c r="S54" s="39">
        <v>555</v>
      </c>
      <c r="T54" s="39">
        <v>474</v>
      </c>
      <c r="U54" s="39">
        <v>539</v>
      </c>
      <c r="V54" s="39">
        <v>588</v>
      </c>
      <c r="W54" s="39">
        <v>629</v>
      </c>
      <c r="X54" s="39">
        <v>831</v>
      </c>
      <c r="Y54" s="39">
        <v>963</v>
      </c>
      <c r="Z54" s="39">
        <v>1020</v>
      </c>
      <c r="AA54" s="39"/>
      <c r="AB54" s="39">
        <v>1164</v>
      </c>
      <c r="AC54" s="39">
        <v>1248</v>
      </c>
      <c r="AD54" s="39">
        <v>1232</v>
      </c>
      <c r="AE54" s="164">
        <v>35</v>
      </c>
      <c r="AF54" s="39"/>
      <c r="AG54" s="39"/>
      <c r="AH54" s="39">
        <v>51</v>
      </c>
      <c r="AI54" s="39">
        <v>24</v>
      </c>
      <c r="AJ54" s="39">
        <v>30</v>
      </c>
      <c r="AK54" s="39">
        <v>60</v>
      </c>
      <c r="AL54" s="39">
        <v>85</v>
      </c>
      <c r="AM54" s="39">
        <v>94</v>
      </c>
      <c r="AN54" s="39">
        <v>80</v>
      </c>
      <c r="AO54" s="39"/>
      <c r="AP54" s="39">
        <v>111</v>
      </c>
      <c r="AQ54" s="39"/>
      <c r="AR54" s="39"/>
      <c r="AS54" s="39">
        <v>96</v>
      </c>
      <c r="AT54" s="39">
        <v>132</v>
      </c>
      <c r="AU54" s="39">
        <v>112</v>
      </c>
      <c r="AV54" s="39">
        <v>104</v>
      </c>
      <c r="AW54" s="39">
        <v>123</v>
      </c>
      <c r="AX54" s="39">
        <v>104</v>
      </c>
      <c r="AY54" s="39">
        <v>107</v>
      </c>
      <c r="AZ54" s="39">
        <v>104</v>
      </c>
      <c r="BA54" s="39">
        <v>103</v>
      </c>
      <c r="BB54" s="6">
        <v>81</v>
      </c>
      <c r="BC54" s="6">
        <v>60</v>
      </c>
      <c r="BE54" s="6">
        <v>58</v>
      </c>
      <c r="BF54" s="6">
        <v>56</v>
      </c>
      <c r="BG54" s="6">
        <v>38</v>
      </c>
    </row>
    <row r="55" spans="1:59" s="6" customFormat="1">
      <c r="A55" s="39" t="s">
        <v>124</v>
      </c>
      <c r="B55" s="39">
        <v>2</v>
      </c>
      <c r="C55" s="39"/>
      <c r="D55" s="39"/>
      <c r="E55" s="39">
        <v>16</v>
      </c>
      <c r="F55" s="39">
        <v>10</v>
      </c>
      <c r="G55" s="39">
        <v>8</v>
      </c>
      <c r="H55" s="39">
        <v>6</v>
      </c>
      <c r="I55" s="39">
        <v>8</v>
      </c>
      <c r="J55" s="39">
        <v>5</v>
      </c>
      <c r="K55" s="39">
        <v>6</v>
      </c>
      <c r="L55" s="39"/>
      <c r="M55" s="39">
        <v>11</v>
      </c>
      <c r="N55" s="39"/>
      <c r="O55" s="39"/>
      <c r="P55" s="39">
        <v>12</v>
      </c>
      <c r="Q55" s="39">
        <v>13</v>
      </c>
      <c r="R55" s="39">
        <v>15</v>
      </c>
      <c r="S55" s="39">
        <v>15</v>
      </c>
      <c r="T55" s="39">
        <v>19</v>
      </c>
      <c r="U55" s="39">
        <v>35</v>
      </c>
      <c r="V55" s="39">
        <v>19</v>
      </c>
      <c r="W55" s="39">
        <v>19</v>
      </c>
      <c r="X55" s="39">
        <v>27</v>
      </c>
      <c r="Y55" s="39">
        <v>36</v>
      </c>
      <c r="Z55" s="39">
        <v>44</v>
      </c>
      <c r="AA55" s="39"/>
      <c r="AB55" s="39">
        <v>47</v>
      </c>
      <c r="AC55" s="39">
        <v>35</v>
      </c>
      <c r="AD55" s="39">
        <v>54</v>
      </c>
      <c r="AE55" s="164">
        <v>5</v>
      </c>
      <c r="AF55" s="39"/>
      <c r="AG55" s="39"/>
      <c r="AH55" s="39">
        <v>20</v>
      </c>
      <c r="AI55" s="39">
        <v>18</v>
      </c>
      <c r="AJ55" s="39">
        <v>25</v>
      </c>
      <c r="AK55" s="39">
        <v>20</v>
      </c>
      <c r="AL55" s="39">
        <v>8</v>
      </c>
      <c r="AM55" s="39">
        <v>12</v>
      </c>
      <c r="AN55" s="39">
        <v>9</v>
      </c>
      <c r="AO55" s="39"/>
      <c r="AP55" s="39">
        <v>19</v>
      </c>
      <c r="AQ55" s="39"/>
      <c r="AR55" s="39"/>
      <c r="AS55" s="39">
        <v>15</v>
      </c>
      <c r="AT55" s="39">
        <v>14</v>
      </c>
      <c r="AU55" s="39">
        <v>17</v>
      </c>
      <c r="AV55" s="39">
        <v>11</v>
      </c>
      <c r="AW55" s="39">
        <v>12</v>
      </c>
      <c r="AX55" s="39">
        <v>7</v>
      </c>
      <c r="AY55" s="39">
        <v>17</v>
      </c>
      <c r="AZ55" s="39">
        <v>26</v>
      </c>
      <c r="BA55" s="39">
        <v>20</v>
      </c>
      <c r="BB55" s="6">
        <v>15</v>
      </c>
      <c r="BC55" s="6">
        <v>18</v>
      </c>
      <c r="BE55" s="6">
        <v>31</v>
      </c>
      <c r="BF55" s="6">
        <v>14</v>
      </c>
      <c r="BG55" s="6">
        <v>24</v>
      </c>
    </row>
    <row r="56" spans="1:59" s="6" customFormat="1">
      <c r="A56" s="39" t="s">
        <v>123</v>
      </c>
      <c r="B56" s="39">
        <v>287</v>
      </c>
      <c r="C56" s="39"/>
      <c r="D56" s="39"/>
      <c r="E56" s="39">
        <v>327</v>
      </c>
      <c r="F56" s="39">
        <v>395</v>
      </c>
      <c r="G56" s="39">
        <v>389</v>
      </c>
      <c r="H56" s="39">
        <v>383</v>
      </c>
      <c r="I56" s="39">
        <v>387</v>
      </c>
      <c r="J56" s="39">
        <v>450</v>
      </c>
      <c r="K56" s="39">
        <v>534</v>
      </c>
      <c r="L56" s="39"/>
      <c r="M56" s="39">
        <v>422</v>
      </c>
      <c r="N56" s="39"/>
      <c r="O56" s="39"/>
      <c r="P56" s="39">
        <v>602</v>
      </c>
      <c r="Q56" s="39">
        <v>675</v>
      </c>
      <c r="R56" s="39">
        <v>687</v>
      </c>
      <c r="S56" s="39">
        <v>678</v>
      </c>
      <c r="T56" s="39">
        <v>676</v>
      </c>
      <c r="U56" s="39">
        <v>831</v>
      </c>
      <c r="V56" s="39">
        <v>825</v>
      </c>
      <c r="W56" s="39">
        <v>1082</v>
      </c>
      <c r="X56" s="39">
        <v>1172</v>
      </c>
      <c r="Y56" s="39">
        <v>1403</v>
      </c>
      <c r="Z56" s="39">
        <v>1514</v>
      </c>
      <c r="AA56" s="39"/>
      <c r="AB56" s="39">
        <v>1806</v>
      </c>
      <c r="AC56" s="39">
        <v>1847</v>
      </c>
      <c r="AD56" s="39">
        <v>1866</v>
      </c>
      <c r="AE56" s="164">
        <v>170</v>
      </c>
      <c r="AF56" s="39"/>
      <c r="AG56" s="39"/>
      <c r="AH56" s="39">
        <v>279</v>
      </c>
      <c r="AI56" s="39">
        <v>244</v>
      </c>
      <c r="AJ56" s="39">
        <v>251</v>
      </c>
      <c r="AK56" s="39">
        <v>293</v>
      </c>
      <c r="AL56" s="39">
        <v>284</v>
      </c>
      <c r="AM56" s="39">
        <v>266</v>
      </c>
      <c r="AN56" s="39">
        <v>317</v>
      </c>
      <c r="AO56" s="39"/>
      <c r="AP56" s="39">
        <v>273</v>
      </c>
      <c r="AQ56" s="39"/>
      <c r="AR56" s="39"/>
      <c r="AS56" s="39">
        <v>335</v>
      </c>
      <c r="AT56" s="39">
        <v>395</v>
      </c>
      <c r="AU56" s="39">
        <v>523</v>
      </c>
      <c r="AV56" s="39">
        <v>235</v>
      </c>
      <c r="AW56" s="39">
        <v>245</v>
      </c>
      <c r="AX56" s="39">
        <v>250</v>
      </c>
      <c r="AY56" s="39">
        <v>270</v>
      </c>
      <c r="AZ56" s="39">
        <v>380</v>
      </c>
      <c r="BA56" s="39">
        <v>352</v>
      </c>
      <c r="BB56" s="6">
        <v>311</v>
      </c>
      <c r="BC56" s="6">
        <v>237</v>
      </c>
      <c r="BE56" s="6">
        <v>250</v>
      </c>
      <c r="BF56" s="6">
        <v>275</v>
      </c>
      <c r="BG56" s="6">
        <v>269</v>
      </c>
    </row>
    <row r="57" spans="1:59" s="6" customFormat="1">
      <c r="A57" s="39" t="s">
        <v>132</v>
      </c>
      <c r="B57" s="39">
        <v>135</v>
      </c>
      <c r="C57" s="39"/>
      <c r="D57" s="39"/>
      <c r="E57" s="39">
        <v>16</v>
      </c>
      <c r="F57" s="39">
        <v>19</v>
      </c>
      <c r="G57" s="39">
        <v>17</v>
      </c>
      <c r="H57" s="39">
        <v>12</v>
      </c>
      <c r="I57" s="39">
        <v>15</v>
      </c>
      <c r="J57" s="39">
        <v>16</v>
      </c>
      <c r="K57" s="39">
        <v>27</v>
      </c>
      <c r="L57" s="39"/>
      <c r="M57" s="39">
        <v>26</v>
      </c>
      <c r="N57" s="39"/>
      <c r="O57" s="39"/>
      <c r="P57" s="39">
        <v>79</v>
      </c>
      <c r="Q57" s="39">
        <v>93</v>
      </c>
      <c r="R57" s="39">
        <v>88</v>
      </c>
      <c r="S57" s="39">
        <v>87</v>
      </c>
      <c r="T57" s="39">
        <v>83</v>
      </c>
      <c r="U57" s="39">
        <v>94</v>
      </c>
      <c r="V57" s="39">
        <v>98</v>
      </c>
      <c r="W57" s="39">
        <v>81</v>
      </c>
      <c r="X57" s="39">
        <v>52</v>
      </c>
      <c r="Y57" s="39">
        <v>130</v>
      </c>
      <c r="Z57" s="39">
        <v>103</v>
      </c>
      <c r="AA57" s="39"/>
      <c r="AB57" s="39">
        <v>90</v>
      </c>
      <c r="AC57" s="39">
        <v>111</v>
      </c>
      <c r="AD57" s="39">
        <v>182</v>
      </c>
      <c r="AE57" s="164">
        <v>20</v>
      </c>
      <c r="AF57" s="39"/>
      <c r="AG57" s="39"/>
      <c r="AH57" s="39">
        <v>16</v>
      </c>
      <c r="AI57" s="39">
        <v>14</v>
      </c>
      <c r="AJ57" s="39">
        <v>26</v>
      </c>
      <c r="AK57" s="39">
        <v>26</v>
      </c>
      <c r="AL57" s="39">
        <v>20</v>
      </c>
      <c r="AM57" s="39">
        <v>13</v>
      </c>
      <c r="AN57" s="39">
        <v>5</v>
      </c>
      <c r="AO57" s="39"/>
      <c r="AP57" s="39">
        <v>11</v>
      </c>
      <c r="AQ57" s="39"/>
      <c r="AR57" s="39"/>
      <c r="AS57" s="39">
        <v>11</v>
      </c>
      <c r="AT57" s="39">
        <v>7</v>
      </c>
      <c r="AU57" s="39">
        <v>21</v>
      </c>
      <c r="AV57" s="39">
        <v>11</v>
      </c>
      <c r="AW57" s="39">
        <v>10</v>
      </c>
      <c r="AX57" s="39">
        <v>11</v>
      </c>
      <c r="AY57" s="39">
        <v>29</v>
      </c>
      <c r="AZ57" s="39">
        <v>2</v>
      </c>
      <c r="BA57" s="39">
        <v>7</v>
      </c>
      <c r="BB57" s="6">
        <v>7</v>
      </c>
      <c r="BC57" s="6">
        <v>2</v>
      </c>
      <c r="BE57" s="6">
        <v>4</v>
      </c>
      <c r="BF57" s="6">
        <v>2</v>
      </c>
      <c r="BG57" s="6">
        <v>5</v>
      </c>
    </row>
    <row r="58" spans="1:59" s="6" customFormat="1">
      <c r="A58" s="39" t="s">
        <v>133</v>
      </c>
      <c r="B58" s="39">
        <v>374</v>
      </c>
      <c r="C58" s="39"/>
      <c r="D58" s="39"/>
      <c r="E58" s="39">
        <v>575</v>
      </c>
      <c r="F58" s="39">
        <v>626</v>
      </c>
      <c r="G58" s="39">
        <v>748</v>
      </c>
      <c r="H58" s="39">
        <v>756</v>
      </c>
      <c r="I58" s="39">
        <v>852</v>
      </c>
      <c r="J58" s="39">
        <v>934</v>
      </c>
      <c r="K58" s="39">
        <v>1040</v>
      </c>
      <c r="L58" s="39"/>
      <c r="M58" s="39">
        <v>1205</v>
      </c>
      <c r="N58" s="39"/>
      <c r="O58" s="39"/>
      <c r="P58" s="39">
        <v>1415</v>
      </c>
      <c r="Q58" s="39">
        <v>1555</v>
      </c>
      <c r="R58" s="39">
        <v>1659</v>
      </c>
      <c r="S58" s="39">
        <v>1644</v>
      </c>
      <c r="T58" s="39">
        <v>1794</v>
      </c>
      <c r="U58" s="39">
        <v>1875</v>
      </c>
      <c r="V58" s="39">
        <v>2147</v>
      </c>
      <c r="W58" s="39">
        <v>2461</v>
      </c>
      <c r="X58" s="39">
        <v>3090</v>
      </c>
      <c r="Y58" s="39">
        <v>3451</v>
      </c>
      <c r="Z58" s="39">
        <v>3522</v>
      </c>
      <c r="AA58" s="39"/>
      <c r="AB58" s="39">
        <v>4347</v>
      </c>
      <c r="AC58" s="39">
        <v>4884</v>
      </c>
      <c r="AD58" s="39">
        <v>5093</v>
      </c>
      <c r="AE58" s="164">
        <v>90</v>
      </c>
      <c r="AF58" s="39"/>
      <c r="AG58" s="39"/>
      <c r="AH58" s="39">
        <v>323</v>
      </c>
      <c r="AI58" s="39">
        <v>345</v>
      </c>
      <c r="AJ58" s="39">
        <v>366</v>
      </c>
      <c r="AK58" s="39">
        <v>383</v>
      </c>
      <c r="AL58" s="39">
        <v>393</v>
      </c>
      <c r="AM58" s="39">
        <v>403</v>
      </c>
      <c r="AN58" s="39">
        <v>384</v>
      </c>
      <c r="AO58" s="39"/>
      <c r="AP58" s="39">
        <v>301</v>
      </c>
      <c r="AQ58" s="39"/>
      <c r="AR58" s="39"/>
      <c r="AS58" s="39">
        <v>440</v>
      </c>
      <c r="AT58" s="39">
        <v>492</v>
      </c>
      <c r="AU58" s="39">
        <v>528</v>
      </c>
      <c r="AV58" s="39">
        <v>513</v>
      </c>
      <c r="AW58" s="39">
        <v>495</v>
      </c>
      <c r="AX58" s="39">
        <v>585</v>
      </c>
      <c r="AY58" s="39">
        <v>506</v>
      </c>
      <c r="AZ58" s="39">
        <v>811</v>
      </c>
      <c r="BA58" s="39">
        <v>765</v>
      </c>
      <c r="BB58" s="6">
        <v>928</v>
      </c>
      <c r="BC58" s="6">
        <v>849</v>
      </c>
      <c r="BE58" s="6">
        <v>577</v>
      </c>
      <c r="BF58" s="6">
        <v>630</v>
      </c>
      <c r="BG58" s="6">
        <v>677</v>
      </c>
    </row>
    <row r="59" spans="1:59" s="6" customFormat="1">
      <c r="A59" s="39" t="s">
        <v>136</v>
      </c>
      <c r="B59" s="39">
        <v>1360</v>
      </c>
      <c r="C59" s="39"/>
      <c r="D59" s="39"/>
      <c r="E59" s="39">
        <v>3624</v>
      </c>
      <c r="F59" s="39">
        <v>4168</v>
      </c>
      <c r="G59" s="39">
        <v>4510</v>
      </c>
      <c r="H59" s="39">
        <v>5307</v>
      </c>
      <c r="I59" s="39">
        <v>4799</v>
      </c>
      <c r="J59" s="39">
        <v>5752</v>
      </c>
      <c r="K59" s="39">
        <v>6292</v>
      </c>
      <c r="L59" s="39"/>
      <c r="M59" s="39">
        <v>5323</v>
      </c>
      <c r="N59" s="39"/>
      <c r="O59" s="39"/>
      <c r="P59" s="39">
        <v>6399</v>
      </c>
      <c r="Q59" s="39">
        <v>6546</v>
      </c>
      <c r="R59" s="39">
        <v>7099</v>
      </c>
      <c r="S59" s="39">
        <v>6890</v>
      </c>
      <c r="T59" s="39">
        <v>7384</v>
      </c>
      <c r="U59" s="39">
        <v>6780</v>
      </c>
      <c r="V59" s="39">
        <v>7323</v>
      </c>
      <c r="W59" s="39">
        <v>7983</v>
      </c>
      <c r="X59" s="39">
        <v>8941</v>
      </c>
      <c r="Y59" s="39">
        <v>10609</v>
      </c>
      <c r="Z59" s="39">
        <v>11106</v>
      </c>
      <c r="AA59" s="39"/>
      <c r="AB59" s="39">
        <v>12654</v>
      </c>
      <c r="AC59" s="39">
        <v>13046</v>
      </c>
      <c r="AD59" s="39">
        <v>13248</v>
      </c>
      <c r="AE59" s="164">
        <v>374</v>
      </c>
      <c r="AF59" s="39"/>
      <c r="AG59" s="39"/>
      <c r="AH59" s="39">
        <v>897</v>
      </c>
      <c r="AI59" s="39">
        <v>963</v>
      </c>
      <c r="AJ59" s="39">
        <v>827</v>
      </c>
      <c r="AK59" s="39">
        <v>845</v>
      </c>
      <c r="AL59" s="39">
        <v>952</v>
      </c>
      <c r="AM59" s="39">
        <v>988</v>
      </c>
      <c r="AN59" s="39">
        <v>1073</v>
      </c>
      <c r="AO59" s="39"/>
      <c r="AP59" s="39">
        <v>1228</v>
      </c>
      <c r="AQ59" s="39"/>
      <c r="AR59" s="39"/>
      <c r="AS59" s="39">
        <v>1890</v>
      </c>
      <c r="AT59" s="39">
        <v>2487</v>
      </c>
      <c r="AU59" s="39">
        <v>2011</v>
      </c>
      <c r="AV59" s="39">
        <v>1976</v>
      </c>
      <c r="AW59" s="39">
        <v>2411</v>
      </c>
      <c r="AX59" s="39">
        <v>2439</v>
      </c>
      <c r="AY59" s="39">
        <v>2271</v>
      </c>
      <c r="AZ59" s="39">
        <v>2207</v>
      </c>
      <c r="BA59" s="39">
        <v>2356</v>
      </c>
      <c r="BB59" s="6">
        <v>2471</v>
      </c>
      <c r="BC59" s="6">
        <v>2518</v>
      </c>
      <c r="BE59" s="6">
        <v>2454</v>
      </c>
      <c r="BF59" s="6">
        <v>2474</v>
      </c>
      <c r="BG59" s="6">
        <v>2667</v>
      </c>
    </row>
    <row r="60" spans="1:59" s="6" customFormat="1">
      <c r="A60" s="39" t="s">
        <v>139</v>
      </c>
      <c r="B60" s="39">
        <v>125</v>
      </c>
      <c r="C60" s="39"/>
      <c r="D60" s="39"/>
      <c r="E60" s="39">
        <v>211</v>
      </c>
      <c r="F60" s="39">
        <v>230</v>
      </c>
      <c r="G60" s="39">
        <v>233</v>
      </c>
      <c r="H60" s="39">
        <v>233</v>
      </c>
      <c r="I60" s="39">
        <v>328</v>
      </c>
      <c r="J60" s="39">
        <v>463</v>
      </c>
      <c r="K60" s="39">
        <v>370</v>
      </c>
      <c r="L60" s="39"/>
      <c r="M60" s="39">
        <v>402</v>
      </c>
      <c r="N60" s="39"/>
      <c r="O60" s="39"/>
      <c r="P60" s="39">
        <v>538</v>
      </c>
      <c r="Q60" s="39">
        <v>644</v>
      </c>
      <c r="R60" s="39">
        <v>694</v>
      </c>
      <c r="S60" s="39">
        <v>719</v>
      </c>
      <c r="T60" s="39">
        <v>767</v>
      </c>
      <c r="U60" s="39">
        <v>945</v>
      </c>
      <c r="V60" s="39">
        <v>991</v>
      </c>
      <c r="W60" s="39">
        <v>1172</v>
      </c>
      <c r="X60" s="39">
        <v>1425</v>
      </c>
      <c r="Y60" s="39">
        <v>1555</v>
      </c>
      <c r="Z60" s="39">
        <v>1641</v>
      </c>
      <c r="AA60" s="39"/>
      <c r="AB60" s="39">
        <v>1809</v>
      </c>
      <c r="AC60" s="39">
        <v>1778</v>
      </c>
      <c r="AD60" s="39">
        <v>1747</v>
      </c>
      <c r="AE60" s="164">
        <v>36</v>
      </c>
      <c r="AF60" s="39"/>
      <c r="AG60" s="39"/>
      <c r="AH60" s="39">
        <v>142</v>
      </c>
      <c r="AI60" s="39">
        <v>141</v>
      </c>
      <c r="AJ60" s="39">
        <v>123</v>
      </c>
      <c r="AK60" s="39">
        <v>103</v>
      </c>
      <c r="AL60" s="39">
        <v>119</v>
      </c>
      <c r="AM60" s="39">
        <v>116</v>
      </c>
      <c r="AN60" s="39">
        <v>125</v>
      </c>
      <c r="AO60" s="39"/>
      <c r="AP60" s="39">
        <v>161</v>
      </c>
      <c r="AQ60" s="39"/>
      <c r="AR60" s="39"/>
      <c r="AS60" s="39">
        <v>153</v>
      </c>
      <c r="AT60" s="39">
        <v>188</v>
      </c>
      <c r="AU60" s="39">
        <v>160</v>
      </c>
      <c r="AV60" s="39">
        <v>172</v>
      </c>
      <c r="AW60" s="61">
        <v>150</v>
      </c>
      <c r="AX60" s="39">
        <v>131</v>
      </c>
      <c r="AY60" s="39">
        <v>258</v>
      </c>
      <c r="AZ60" s="39">
        <v>287</v>
      </c>
      <c r="BA60" s="39">
        <v>318</v>
      </c>
      <c r="BB60" s="6">
        <v>389</v>
      </c>
      <c r="BC60" s="6">
        <v>337</v>
      </c>
      <c r="BE60" s="6">
        <v>353</v>
      </c>
      <c r="BF60" s="6">
        <v>328</v>
      </c>
      <c r="BG60" s="6">
        <v>199</v>
      </c>
    </row>
    <row r="61" spans="1:59" s="6" customFormat="1">
      <c r="A61" s="39" t="s">
        <v>140</v>
      </c>
      <c r="B61" s="39">
        <v>36</v>
      </c>
      <c r="C61" s="39"/>
      <c r="D61" s="39"/>
      <c r="E61" s="39">
        <v>85</v>
      </c>
      <c r="F61" s="39">
        <v>97</v>
      </c>
      <c r="G61" s="39">
        <v>92</v>
      </c>
      <c r="H61" s="39">
        <v>113</v>
      </c>
      <c r="I61" s="39">
        <v>132</v>
      </c>
      <c r="J61" s="39">
        <v>159</v>
      </c>
      <c r="K61" s="39">
        <v>159</v>
      </c>
      <c r="L61" s="39"/>
      <c r="M61" s="39">
        <v>190</v>
      </c>
      <c r="N61" s="39"/>
      <c r="O61" s="39"/>
      <c r="P61" s="39">
        <v>203</v>
      </c>
      <c r="Q61" s="39">
        <v>224</v>
      </c>
      <c r="R61" s="39">
        <v>214</v>
      </c>
      <c r="S61" s="39">
        <v>230</v>
      </c>
      <c r="T61" s="39">
        <v>241</v>
      </c>
      <c r="U61" s="39">
        <v>260</v>
      </c>
      <c r="V61" s="39">
        <v>274</v>
      </c>
      <c r="W61" s="39">
        <v>265</v>
      </c>
      <c r="X61" s="39">
        <v>260</v>
      </c>
      <c r="Y61" s="39">
        <v>249</v>
      </c>
      <c r="Z61" s="39">
        <v>334</v>
      </c>
      <c r="AA61" s="39"/>
      <c r="AB61" s="39">
        <v>354</v>
      </c>
      <c r="AC61" s="39">
        <v>328</v>
      </c>
      <c r="AD61" s="39">
        <v>381</v>
      </c>
      <c r="AE61" s="164">
        <v>27</v>
      </c>
      <c r="AF61" s="39"/>
      <c r="AG61" s="39"/>
      <c r="AH61" s="39">
        <v>71</v>
      </c>
      <c r="AI61" s="39">
        <v>111</v>
      </c>
      <c r="AJ61" s="39">
        <v>118</v>
      </c>
      <c r="AK61" s="39">
        <v>103</v>
      </c>
      <c r="AL61" s="39">
        <v>81</v>
      </c>
      <c r="AM61" s="39">
        <v>98</v>
      </c>
      <c r="AN61" s="39">
        <v>114</v>
      </c>
      <c r="AO61" s="39"/>
      <c r="AP61" s="39">
        <v>108</v>
      </c>
      <c r="AQ61" s="39"/>
      <c r="AR61" s="39"/>
      <c r="AS61" s="39">
        <v>127</v>
      </c>
      <c r="AT61" s="39">
        <v>110</v>
      </c>
      <c r="AU61" s="39">
        <v>102</v>
      </c>
      <c r="AV61" s="39">
        <v>107</v>
      </c>
      <c r="AW61" s="39">
        <v>83</v>
      </c>
      <c r="AX61" s="39">
        <v>69</v>
      </c>
      <c r="AY61" s="39">
        <v>78</v>
      </c>
      <c r="AZ61" s="39">
        <v>116</v>
      </c>
      <c r="BA61" s="39">
        <v>72</v>
      </c>
      <c r="BB61" s="6">
        <v>55</v>
      </c>
      <c r="BC61" s="6">
        <v>62</v>
      </c>
      <c r="BE61" s="6">
        <v>71</v>
      </c>
      <c r="BF61" s="6">
        <v>101</v>
      </c>
      <c r="BG61" s="6">
        <v>83</v>
      </c>
    </row>
    <row r="62" spans="1:59" s="6" customFormat="1">
      <c r="A62" s="40" t="s">
        <v>143</v>
      </c>
      <c r="B62" s="40">
        <v>4</v>
      </c>
      <c r="C62" s="40"/>
      <c r="D62" s="40"/>
      <c r="E62" s="40">
        <v>11</v>
      </c>
      <c r="F62" s="40">
        <v>8</v>
      </c>
      <c r="G62" s="40">
        <v>4</v>
      </c>
      <c r="H62" s="40">
        <v>11</v>
      </c>
      <c r="I62" s="40">
        <v>8</v>
      </c>
      <c r="J62" s="40">
        <v>9</v>
      </c>
      <c r="K62" s="40">
        <v>11</v>
      </c>
      <c r="L62" s="40"/>
      <c r="M62" s="40">
        <v>12</v>
      </c>
      <c r="N62" s="40"/>
      <c r="O62" s="40"/>
      <c r="P62" s="40">
        <v>27</v>
      </c>
      <c r="Q62" s="40">
        <v>16</v>
      </c>
      <c r="R62" s="40">
        <v>15</v>
      </c>
      <c r="S62" s="40">
        <v>14</v>
      </c>
      <c r="T62" s="40">
        <v>12</v>
      </c>
      <c r="U62" s="40">
        <v>32</v>
      </c>
      <c r="V62" s="40">
        <v>12</v>
      </c>
      <c r="W62" s="40">
        <v>19</v>
      </c>
      <c r="X62" s="40">
        <v>17</v>
      </c>
      <c r="Y62" s="40">
        <v>22</v>
      </c>
      <c r="Z62" s="40">
        <v>30</v>
      </c>
      <c r="AA62" s="40"/>
      <c r="AB62" s="40">
        <v>22</v>
      </c>
      <c r="AC62" s="40">
        <v>33</v>
      </c>
      <c r="AD62" s="40">
        <v>26</v>
      </c>
      <c r="AE62" s="165">
        <v>5</v>
      </c>
      <c r="AF62" s="40"/>
      <c r="AG62" s="40"/>
      <c r="AH62" s="40">
        <v>6</v>
      </c>
      <c r="AI62" s="40">
        <v>7</v>
      </c>
      <c r="AJ62" s="40">
        <v>6</v>
      </c>
      <c r="AK62" s="40">
        <v>5</v>
      </c>
      <c r="AL62" s="40">
        <v>10</v>
      </c>
      <c r="AM62" s="40">
        <v>5</v>
      </c>
      <c r="AN62" s="40">
        <v>12</v>
      </c>
      <c r="AO62" s="40"/>
      <c r="AP62" s="40">
        <v>22</v>
      </c>
      <c r="AQ62" s="40"/>
      <c r="AR62" s="40"/>
      <c r="AS62" s="40">
        <v>10</v>
      </c>
      <c r="AT62" s="40">
        <v>9</v>
      </c>
      <c r="AU62" s="40">
        <v>6</v>
      </c>
      <c r="AV62" s="40">
        <v>9</v>
      </c>
      <c r="AW62" s="40">
        <v>8</v>
      </c>
      <c r="AX62" s="40">
        <v>7</v>
      </c>
      <c r="AY62" s="40">
        <v>8</v>
      </c>
      <c r="AZ62" s="40">
        <v>15</v>
      </c>
      <c r="BA62" s="40">
        <v>1</v>
      </c>
      <c r="BB62" s="7">
        <v>12</v>
      </c>
      <c r="BC62" s="7">
        <v>19</v>
      </c>
      <c r="BD62" s="7"/>
      <c r="BE62" s="7">
        <v>11</v>
      </c>
      <c r="BF62" s="7">
        <v>15</v>
      </c>
      <c r="BG62" s="7">
        <v>11</v>
      </c>
    </row>
    <row r="63" spans="1:59" s="72" customFormat="1">
      <c r="A63" s="121" t="s">
        <v>129</v>
      </c>
      <c r="B63" s="121">
        <v>14</v>
      </c>
      <c r="C63" s="121"/>
      <c r="D63" s="121"/>
      <c r="E63" s="121">
        <v>17</v>
      </c>
      <c r="F63" s="121">
        <v>21</v>
      </c>
      <c r="G63" s="121">
        <v>15</v>
      </c>
      <c r="H63" s="121">
        <v>7</v>
      </c>
      <c r="I63" s="121">
        <v>16</v>
      </c>
      <c r="J63" s="121">
        <v>8</v>
      </c>
      <c r="K63" s="121">
        <v>23</v>
      </c>
      <c r="L63" s="121"/>
      <c r="M63" s="121">
        <v>29</v>
      </c>
      <c r="N63" s="121"/>
      <c r="O63" s="121"/>
      <c r="P63" s="121">
        <v>40</v>
      </c>
      <c r="Q63" s="121">
        <v>51</v>
      </c>
      <c r="R63" s="121">
        <v>28</v>
      </c>
      <c r="S63" s="121">
        <v>47</v>
      </c>
      <c r="T63" s="121">
        <v>61</v>
      </c>
      <c r="U63" s="121">
        <v>69</v>
      </c>
      <c r="V63" s="121">
        <v>65</v>
      </c>
      <c r="W63" s="121">
        <v>17</v>
      </c>
      <c r="X63" s="121">
        <v>42</v>
      </c>
      <c r="Y63" s="121">
        <v>23</v>
      </c>
      <c r="Z63" s="121">
        <v>51</v>
      </c>
      <c r="AA63" s="121"/>
      <c r="AB63" s="121">
        <v>72</v>
      </c>
      <c r="AC63" s="121">
        <v>71</v>
      </c>
      <c r="AD63" s="121">
        <v>77</v>
      </c>
      <c r="AE63" s="166">
        <v>13</v>
      </c>
      <c r="AF63" s="121"/>
      <c r="AG63" s="121"/>
      <c r="AH63" s="121">
        <v>7</v>
      </c>
      <c r="AI63" s="121">
        <v>8</v>
      </c>
      <c r="AJ63" s="121">
        <v>4</v>
      </c>
      <c r="AK63" s="121">
        <v>7</v>
      </c>
      <c r="AL63" s="121">
        <v>32</v>
      </c>
      <c r="AM63" s="121">
        <v>10</v>
      </c>
      <c r="AN63" s="121">
        <v>11</v>
      </c>
      <c r="AO63" s="121"/>
      <c r="AP63" s="121">
        <v>8</v>
      </c>
      <c r="AQ63" s="121"/>
      <c r="AR63" s="121"/>
      <c r="AS63" s="121">
        <v>22</v>
      </c>
      <c r="AT63" s="121">
        <v>14</v>
      </c>
      <c r="AU63" s="121">
        <v>14</v>
      </c>
      <c r="AV63" s="121">
        <v>13</v>
      </c>
      <c r="AW63" s="121">
        <v>12</v>
      </c>
      <c r="AX63" s="121">
        <v>7</v>
      </c>
      <c r="AY63" s="121">
        <v>26</v>
      </c>
      <c r="AZ63" s="121">
        <v>14</v>
      </c>
      <c r="BA63" s="121">
        <v>6</v>
      </c>
      <c r="BB63" s="79">
        <v>8</v>
      </c>
      <c r="BC63" s="79">
        <v>38</v>
      </c>
      <c r="BD63" s="79"/>
      <c r="BE63" s="79">
        <v>9</v>
      </c>
      <c r="BF63" s="79">
        <v>11</v>
      </c>
      <c r="BG63" s="79">
        <v>11</v>
      </c>
    </row>
    <row r="64" spans="1:59">
      <c r="B64" s="3"/>
      <c r="E64" s="3"/>
      <c r="F64" s="3"/>
      <c r="G64" s="3"/>
      <c r="H64" s="3"/>
      <c r="I64" s="3"/>
      <c r="J64" s="3"/>
      <c r="K64" s="3"/>
      <c r="L64" s="3"/>
      <c r="AH64" s="3"/>
      <c r="AI64" s="3"/>
      <c r="AJ64" s="3"/>
      <c r="AK64" s="3"/>
      <c r="AL64" s="3"/>
    </row>
    <row r="65" spans="2:59">
      <c r="B65" s="2" t="s">
        <v>202</v>
      </c>
      <c r="E65" s="3"/>
      <c r="F65" s="3"/>
      <c r="G65" s="3"/>
      <c r="H65" s="3"/>
      <c r="I65" s="3"/>
      <c r="AE65" s="2" t="s">
        <v>202</v>
      </c>
      <c r="AH65" s="3"/>
      <c r="AI65" s="3"/>
      <c r="AJ65" s="3"/>
      <c r="AK65" s="3"/>
      <c r="AL65" s="3"/>
    </row>
    <row r="66" spans="2:59">
      <c r="B66" s="2" t="s">
        <v>29</v>
      </c>
      <c r="C66" s="2" t="s">
        <v>29</v>
      </c>
      <c r="D66" s="2" t="s">
        <v>29</v>
      </c>
      <c r="E66" s="2" t="s">
        <v>29</v>
      </c>
      <c r="F66" s="2" t="s">
        <v>29</v>
      </c>
      <c r="G66" s="2" t="s">
        <v>29</v>
      </c>
      <c r="H66" s="2" t="s">
        <v>29</v>
      </c>
      <c r="I66" s="2" t="s">
        <v>29</v>
      </c>
      <c r="J66" s="2" t="s">
        <v>29</v>
      </c>
      <c r="K66" s="2" t="s">
        <v>29</v>
      </c>
      <c r="L66" s="2"/>
      <c r="M66" s="1" t="s">
        <v>29</v>
      </c>
      <c r="P66" s="2" t="s">
        <v>71</v>
      </c>
      <c r="V66" s="2" t="s">
        <v>71</v>
      </c>
      <c r="W66" s="2"/>
      <c r="X66" s="2"/>
      <c r="Y66" s="2" t="s">
        <v>71</v>
      </c>
      <c r="Z66" s="2" t="s">
        <v>71</v>
      </c>
      <c r="AA66" s="2"/>
      <c r="AB66" s="2" t="s">
        <v>71</v>
      </c>
      <c r="AC66" s="2"/>
      <c r="AD66" s="2"/>
      <c r="AE66" s="2" t="s">
        <v>29</v>
      </c>
      <c r="AF66" s="2" t="s">
        <v>29</v>
      </c>
      <c r="AG66" s="2" t="s">
        <v>29</v>
      </c>
      <c r="AH66" s="2" t="s">
        <v>29</v>
      </c>
      <c r="AI66" s="2" t="s">
        <v>29</v>
      </c>
      <c r="AJ66" s="2" t="s">
        <v>29</v>
      </c>
      <c r="AK66" s="2" t="s">
        <v>29</v>
      </c>
      <c r="AL66" s="2" t="s">
        <v>29</v>
      </c>
      <c r="AM66" s="2" t="s">
        <v>29</v>
      </c>
      <c r="AN66" s="2" t="s">
        <v>29</v>
      </c>
      <c r="AO66" s="2"/>
      <c r="AP66" s="1" t="s">
        <v>29</v>
      </c>
      <c r="AS66" s="1" t="s">
        <v>71</v>
      </c>
      <c r="AY66" s="2" t="s">
        <v>71</v>
      </c>
      <c r="AZ66" s="2"/>
      <c r="BB66" s="2" t="s">
        <v>71</v>
      </c>
      <c r="BC66" s="2" t="s">
        <v>71</v>
      </c>
      <c r="BD66" s="2"/>
      <c r="BE66" s="2"/>
      <c r="BF66" s="2"/>
      <c r="BG66" s="2"/>
    </row>
    <row r="67" spans="2:59">
      <c r="B67" s="2" t="s">
        <v>13</v>
      </c>
      <c r="C67" s="2" t="s">
        <v>74</v>
      </c>
      <c r="D67" s="2" t="s">
        <v>74</v>
      </c>
      <c r="E67" s="2" t="s">
        <v>13</v>
      </c>
      <c r="F67" s="2" t="s">
        <v>13</v>
      </c>
      <c r="G67" s="2" t="s">
        <v>13</v>
      </c>
      <c r="H67" s="2" t="s">
        <v>13</v>
      </c>
      <c r="I67" s="2" t="s">
        <v>13</v>
      </c>
      <c r="J67" s="2" t="s">
        <v>13</v>
      </c>
      <c r="K67" s="2" t="s">
        <v>13</v>
      </c>
      <c r="L67" s="2"/>
      <c r="M67" s="1" t="s">
        <v>13</v>
      </c>
      <c r="P67" s="2" t="s">
        <v>157</v>
      </c>
      <c r="V67" s="1" t="s">
        <v>157</v>
      </c>
      <c r="Y67" s="1" t="s">
        <v>157</v>
      </c>
      <c r="Z67" s="1" t="s">
        <v>157</v>
      </c>
      <c r="AB67" s="1" t="s">
        <v>157</v>
      </c>
      <c r="AE67" s="2" t="s">
        <v>13</v>
      </c>
      <c r="AF67" s="2" t="s">
        <v>74</v>
      </c>
      <c r="AG67" s="2" t="s">
        <v>74</v>
      </c>
      <c r="AH67" s="2" t="s">
        <v>13</v>
      </c>
      <c r="AI67" s="2" t="s">
        <v>13</v>
      </c>
      <c r="AJ67" s="2" t="s">
        <v>13</v>
      </c>
      <c r="AK67" s="2" t="s">
        <v>13</v>
      </c>
      <c r="AL67" s="2" t="s">
        <v>13</v>
      </c>
      <c r="AM67" s="2" t="s">
        <v>13</v>
      </c>
      <c r="AN67" s="2" t="s">
        <v>13</v>
      </c>
      <c r="AO67" s="2"/>
      <c r="AP67" s="1" t="s">
        <v>13</v>
      </c>
      <c r="AS67" s="1" t="s">
        <v>157</v>
      </c>
      <c r="AY67" s="1" t="s">
        <v>157</v>
      </c>
      <c r="BB67" s="1" t="s">
        <v>157</v>
      </c>
      <c r="BC67" s="1" t="s">
        <v>157</v>
      </c>
    </row>
    <row r="68" spans="2:59">
      <c r="B68" s="2" t="s">
        <v>30</v>
      </c>
      <c r="C68" s="2" t="s">
        <v>32</v>
      </c>
      <c r="D68" s="2" t="s">
        <v>32</v>
      </c>
      <c r="E68" s="2" t="s">
        <v>30</v>
      </c>
      <c r="F68" s="2" t="s">
        <v>30</v>
      </c>
      <c r="G68" s="2" t="s">
        <v>30</v>
      </c>
      <c r="H68" s="2" t="s">
        <v>30</v>
      </c>
      <c r="I68" s="2" t="s">
        <v>30</v>
      </c>
      <c r="J68" s="2" t="s">
        <v>30</v>
      </c>
      <c r="K68" s="2" t="s">
        <v>30</v>
      </c>
      <c r="L68" s="2"/>
      <c r="M68" s="1" t="s">
        <v>30</v>
      </c>
      <c r="P68" s="2" t="s">
        <v>158</v>
      </c>
      <c r="V68" s="1" t="s">
        <v>158</v>
      </c>
      <c r="Y68" s="1" t="s">
        <v>158</v>
      </c>
      <c r="Z68" s="1" t="s">
        <v>158</v>
      </c>
      <c r="AB68" s="1" t="s">
        <v>158</v>
      </c>
      <c r="AE68" s="2" t="s">
        <v>30</v>
      </c>
      <c r="AF68" s="2" t="s">
        <v>32</v>
      </c>
      <c r="AG68" s="2" t="s">
        <v>32</v>
      </c>
      <c r="AH68" s="2" t="s">
        <v>30</v>
      </c>
      <c r="AI68" s="2" t="s">
        <v>30</v>
      </c>
      <c r="AJ68" s="2" t="s">
        <v>30</v>
      </c>
      <c r="AK68" s="2" t="s">
        <v>30</v>
      </c>
      <c r="AL68" s="2" t="s">
        <v>30</v>
      </c>
      <c r="AM68" s="2" t="s">
        <v>30</v>
      </c>
      <c r="AN68" s="2" t="s">
        <v>30</v>
      </c>
      <c r="AO68" s="2"/>
      <c r="AP68" s="1" t="s">
        <v>30</v>
      </c>
      <c r="AS68" s="1" t="s">
        <v>158</v>
      </c>
      <c r="AY68" s="1" t="s">
        <v>158</v>
      </c>
      <c r="BB68" s="1" t="s">
        <v>158</v>
      </c>
      <c r="BC68" s="1" t="s">
        <v>158</v>
      </c>
    </row>
    <row r="69" spans="2:59" ht="12.75" customHeight="1">
      <c r="B69" s="2" t="s">
        <v>72</v>
      </c>
      <c r="C69" s="2" t="s">
        <v>33</v>
      </c>
      <c r="D69" s="2" t="s">
        <v>33</v>
      </c>
      <c r="E69" s="2" t="s">
        <v>72</v>
      </c>
      <c r="F69" s="2" t="s">
        <v>72</v>
      </c>
      <c r="G69" s="2" t="s">
        <v>72</v>
      </c>
      <c r="H69" s="2" t="s">
        <v>72</v>
      </c>
      <c r="I69" s="2" t="s">
        <v>72</v>
      </c>
      <c r="J69" s="2" t="s">
        <v>72</v>
      </c>
      <c r="K69" s="2" t="s">
        <v>72</v>
      </c>
      <c r="L69" s="2"/>
      <c r="M69" s="1" t="s">
        <v>72</v>
      </c>
      <c r="P69" s="2" t="s">
        <v>159</v>
      </c>
      <c r="V69" s="1" t="s">
        <v>159</v>
      </c>
      <c r="Y69" s="1" t="s">
        <v>159</v>
      </c>
      <c r="Z69" s="1" t="s">
        <v>159</v>
      </c>
      <c r="AB69" s="1" t="s">
        <v>159</v>
      </c>
      <c r="AE69" s="2" t="s">
        <v>72</v>
      </c>
      <c r="AF69" s="2" t="s">
        <v>33</v>
      </c>
      <c r="AG69" s="2" t="s">
        <v>33</v>
      </c>
      <c r="AH69" s="2" t="s">
        <v>72</v>
      </c>
      <c r="AI69" s="2" t="s">
        <v>72</v>
      </c>
      <c r="AJ69" s="2" t="s">
        <v>72</v>
      </c>
      <c r="AK69" s="2" t="s">
        <v>72</v>
      </c>
      <c r="AL69" s="2" t="s">
        <v>72</v>
      </c>
      <c r="AM69" s="2" t="s">
        <v>72</v>
      </c>
      <c r="AN69" s="2" t="s">
        <v>72</v>
      </c>
      <c r="AO69" s="2"/>
      <c r="AP69" s="1" t="s">
        <v>72</v>
      </c>
      <c r="AS69" s="1" t="s">
        <v>159</v>
      </c>
      <c r="AY69" s="1" t="s">
        <v>159</v>
      </c>
      <c r="BB69" s="1" t="s">
        <v>159</v>
      </c>
      <c r="BC69" s="1" t="s">
        <v>159</v>
      </c>
    </row>
    <row r="70" spans="2:59" ht="12.75" customHeight="1">
      <c r="B70" s="2" t="s">
        <v>73</v>
      </c>
      <c r="C70" s="2" t="s">
        <v>39</v>
      </c>
      <c r="D70" s="2" t="s">
        <v>39</v>
      </c>
      <c r="E70" s="2" t="s">
        <v>73</v>
      </c>
      <c r="F70" s="2" t="s">
        <v>73</v>
      </c>
      <c r="G70" s="2" t="s">
        <v>73</v>
      </c>
      <c r="H70" s="2" t="s">
        <v>73</v>
      </c>
      <c r="I70" s="2" t="s">
        <v>73</v>
      </c>
      <c r="J70" s="2" t="s">
        <v>73</v>
      </c>
      <c r="K70" s="2" t="s">
        <v>73</v>
      </c>
      <c r="L70" s="2"/>
      <c r="M70" s="1" t="s">
        <v>73</v>
      </c>
      <c r="P70" s="2" t="s">
        <v>84</v>
      </c>
      <c r="V70" s="1" t="s">
        <v>84</v>
      </c>
      <c r="Y70" s="1" t="s">
        <v>84</v>
      </c>
      <c r="Z70" s="1" t="s">
        <v>84</v>
      </c>
      <c r="AB70" s="1" t="s">
        <v>84</v>
      </c>
      <c r="AE70" s="2" t="s">
        <v>73</v>
      </c>
      <c r="AF70" s="2" t="s">
        <v>40</v>
      </c>
      <c r="AG70" s="2" t="s">
        <v>40</v>
      </c>
      <c r="AH70" s="2" t="s">
        <v>73</v>
      </c>
      <c r="AI70" s="2" t="s">
        <v>73</v>
      </c>
      <c r="AJ70" s="2" t="s">
        <v>73</v>
      </c>
      <c r="AK70" s="2" t="s">
        <v>73</v>
      </c>
      <c r="AL70" s="2" t="s">
        <v>73</v>
      </c>
      <c r="AM70" s="2" t="s">
        <v>73</v>
      </c>
      <c r="AN70" s="2" t="s">
        <v>73</v>
      </c>
      <c r="AO70" s="2"/>
      <c r="AP70" s="1" t="s">
        <v>73</v>
      </c>
      <c r="AS70" s="1" t="s">
        <v>84</v>
      </c>
      <c r="AY70" s="1" t="s">
        <v>84</v>
      </c>
      <c r="BB70" s="1" t="s">
        <v>84</v>
      </c>
      <c r="BC70" s="1" t="s">
        <v>84</v>
      </c>
    </row>
    <row r="71" spans="2:59" ht="12.75" customHeight="1">
      <c r="B71" s="2" t="s">
        <v>38</v>
      </c>
      <c r="C71" s="2" t="s">
        <v>72</v>
      </c>
      <c r="D71" s="2" t="s">
        <v>72</v>
      </c>
      <c r="E71" s="2" t="s">
        <v>38</v>
      </c>
      <c r="F71" s="2" t="s">
        <v>38</v>
      </c>
      <c r="G71" s="2" t="s">
        <v>38</v>
      </c>
      <c r="H71" s="2" t="s">
        <v>38</v>
      </c>
      <c r="I71" s="2" t="s">
        <v>38</v>
      </c>
      <c r="J71" s="2" t="s">
        <v>38</v>
      </c>
      <c r="K71" s="2" t="s">
        <v>38</v>
      </c>
      <c r="L71" s="2"/>
      <c r="M71" s="1" t="s">
        <v>38</v>
      </c>
      <c r="P71" s="2" t="s">
        <v>160</v>
      </c>
      <c r="V71" s="1" t="s">
        <v>160</v>
      </c>
      <c r="Y71" s="1" t="s">
        <v>160</v>
      </c>
      <c r="Z71" s="1" t="s">
        <v>160</v>
      </c>
      <c r="AB71" s="1" t="s">
        <v>160</v>
      </c>
      <c r="AE71" s="2" t="s">
        <v>38</v>
      </c>
      <c r="AF71" s="2" t="s">
        <v>72</v>
      </c>
      <c r="AG71" s="2" t="s">
        <v>72</v>
      </c>
      <c r="AH71" s="2" t="s">
        <v>38</v>
      </c>
      <c r="AI71" s="2" t="s">
        <v>38</v>
      </c>
      <c r="AJ71" s="2" t="s">
        <v>38</v>
      </c>
      <c r="AK71" s="2" t="s">
        <v>38</v>
      </c>
      <c r="AL71" s="2" t="s">
        <v>38</v>
      </c>
      <c r="AM71" s="2" t="s">
        <v>38</v>
      </c>
      <c r="AN71" s="2" t="s">
        <v>38</v>
      </c>
      <c r="AO71" s="2"/>
      <c r="AP71" s="1" t="s">
        <v>38</v>
      </c>
      <c r="AS71" s="1" t="s">
        <v>160</v>
      </c>
      <c r="AY71" s="1" t="s">
        <v>160</v>
      </c>
      <c r="BB71" s="1" t="s">
        <v>160</v>
      </c>
      <c r="BC71" s="1" t="s">
        <v>160</v>
      </c>
    </row>
    <row r="72" spans="2:59" ht="12.75" customHeight="1">
      <c r="B72" s="2" t="s">
        <v>41</v>
      </c>
      <c r="C72" s="2" t="s">
        <v>73</v>
      </c>
      <c r="D72" s="2" t="s">
        <v>73</v>
      </c>
      <c r="E72" s="2" t="s">
        <v>41</v>
      </c>
      <c r="F72" s="2" t="s">
        <v>41</v>
      </c>
      <c r="G72" s="2" t="s">
        <v>41</v>
      </c>
      <c r="H72" s="2" t="s">
        <v>41</v>
      </c>
      <c r="I72" s="2" t="s">
        <v>41</v>
      </c>
      <c r="J72" s="2" t="s">
        <v>41</v>
      </c>
      <c r="K72" s="2" t="s">
        <v>41</v>
      </c>
      <c r="L72" s="2"/>
      <c r="M72" s="1" t="s">
        <v>41</v>
      </c>
      <c r="P72" s="2" t="s">
        <v>161</v>
      </c>
      <c r="V72" s="1" t="s">
        <v>191</v>
      </c>
      <c r="Y72" s="1" t="s">
        <v>191</v>
      </c>
      <c r="Z72" s="1" t="s">
        <v>191</v>
      </c>
      <c r="AB72" s="1" t="s">
        <v>191</v>
      </c>
      <c r="AE72" s="2" t="s">
        <v>41</v>
      </c>
      <c r="AF72" s="2" t="s">
        <v>73</v>
      </c>
      <c r="AG72" s="2" t="s">
        <v>73</v>
      </c>
      <c r="AH72" s="2" t="s">
        <v>41</v>
      </c>
      <c r="AI72" s="2" t="s">
        <v>41</v>
      </c>
      <c r="AJ72" s="2" t="s">
        <v>41</v>
      </c>
      <c r="AK72" s="2" t="s">
        <v>41</v>
      </c>
      <c r="AL72" s="2" t="s">
        <v>41</v>
      </c>
      <c r="AM72" s="2" t="s">
        <v>41</v>
      </c>
      <c r="AN72" s="2" t="s">
        <v>41</v>
      </c>
      <c r="AO72" s="2"/>
      <c r="AP72" s="1" t="s">
        <v>41</v>
      </c>
      <c r="AS72" s="1" t="s">
        <v>161</v>
      </c>
      <c r="AY72" s="1" t="s">
        <v>191</v>
      </c>
      <c r="BB72" s="1" t="s">
        <v>191</v>
      </c>
      <c r="BC72" s="1" t="s">
        <v>191</v>
      </c>
    </row>
    <row r="73" spans="2:59">
      <c r="B73" s="2" t="s">
        <v>8</v>
      </c>
      <c r="C73" s="2" t="s">
        <v>37</v>
      </c>
      <c r="D73" s="2" t="s">
        <v>37</v>
      </c>
      <c r="E73" s="2" t="s">
        <v>11</v>
      </c>
      <c r="F73" s="2" t="s">
        <v>64</v>
      </c>
      <c r="G73" s="2" t="s">
        <v>12</v>
      </c>
      <c r="H73" s="2" t="s">
        <v>65</v>
      </c>
      <c r="I73" s="2" t="s">
        <v>51</v>
      </c>
      <c r="J73" s="2" t="s">
        <v>79</v>
      </c>
      <c r="K73" s="2" t="s">
        <v>108</v>
      </c>
      <c r="L73" s="2"/>
      <c r="M73" s="1" t="s">
        <v>147</v>
      </c>
      <c r="P73" s="2" t="s">
        <v>162</v>
      </c>
      <c r="V73" s="1" t="s">
        <v>192</v>
      </c>
      <c r="Y73" s="1" t="s">
        <v>192</v>
      </c>
      <c r="Z73" s="1" t="s">
        <v>192</v>
      </c>
      <c r="AB73" s="1" t="s">
        <v>192</v>
      </c>
      <c r="AE73" s="2" t="s">
        <v>8</v>
      </c>
      <c r="AF73" s="2" t="s">
        <v>37</v>
      </c>
      <c r="AG73" s="2" t="s">
        <v>37</v>
      </c>
      <c r="AH73" s="2" t="s">
        <v>11</v>
      </c>
      <c r="AI73" s="2" t="s">
        <v>64</v>
      </c>
      <c r="AJ73" s="2" t="s">
        <v>12</v>
      </c>
      <c r="AK73" s="2" t="s">
        <v>65</v>
      </c>
      <c r="AL73" s="2" t="s">
        <v>51</v>
      </c>
      <c r="AM73" s="2" t="s">
        <v>79</v>
      </c>
      <c r="AN73" s="2" t="s">
        <v>108</v>
      </c>
      <c r="AO73" s="2"/>
      <c r="AP73" s="1" t="s">
        <v>147</v>
      </c>
      <c r="AS73" s="1" t="s">
        <v>162</v>
      </c>
      <c r="AY73" s="1" t="s">
        <v>192</v>
      </c>
      <c r="BB73" s="1" t="s">
        <v>192</v>
      </c>
      <c r="BC73" s="1" t="s">
        <v>192</v>
      </c>
    </row>
    <row r="74" spans="2:59">
      <c r="C74" s="2" t="s">
        <v>44</v>
      </c>
      <c r="D74" s="2" t="s">
        <v>45</v>
      </c>
      <c r="P74" s="1" t="s">
        <v>163</v>
      </c>
      <c r="V74" s="1" t="s">
        <v>194</v>
      </c>
      <c r="Y74" s="1" t="s">
        <v>194</v>
      </c>
      <c r="Z74" s="1" t="s">
        <v>194</v>
      </c>
      <c r="AB74" s="1" t="s">
        <v>194</v>
      </c>
      <c r="AF74" s="2" t="s">
        <v>44</v>
      </c>
      <c r="AG74" s="2" t="s">
        <v>45</v>
      </c>
      <c r="AS74" s="1" t="s">
        <v>163</v>
      </c>
      <c r="AY74" s="1" t="s">
        <v>194</v>
      </c>
      <c r="BB74" s="1" t="s">
        <v>194</v>
      </c>
      <c r="BC74" s="1" t="s">
        <v>194</v>
      </c>
    </row>
    <row r="75" spans="2:59">
      <c r="P75" s="1" t="s">
        <v>164</v>
      </c>
      <c r="V75" s="1" t="s">
        <v>193</v>
      </c>
      <c r="Y75" s="1" t="s">
        <v>209</v>
      </c>
      <c r="Z75" s="1" t="s">
        <v>211</v>
      </c>
      <c r="AB75" s="1" t="s">
        <v>223</v>
      </c>
      <c r="AS75" s="1" t="s">
        <v>164</v>
      </c>
      <c r="AY75" s="1" t="s">
        <v>193</v>
      </c>
      <c r="BB75" s="1" t="s">
        <v>209</v>
      </c>
      <c r="BC75" s="1" t="s">
        <v>211</v>
      </c>
    </row>
    <row r="76" spans="2:59">
      <c r="P76" s="1" t="s">
        <v>165</v>
      </c>
      <c r="V76" s="1" t="s">
        <v>165</v>
      </c>
      <c r="Y76" s="1" t="s">
        <v>165</v>
      </c>
      <c r="Z76" s="1" t="s">
        <v>165</v>
      </c>
      <c r="AB76" s="1" t="s">
        <v>165</v>
      </c>
      <c r="AS76" s="1" t="s">
        <v>165</v>
      </c>
      <c r="AY76" s="1" t="s">
        <v>165</v>
      </c>
      <c r="BB76" s="1" t="s">
        <v>165</v>
      </c>
      <c r="BC76" s="1" t="s">
        <v>165</v>
      </c>
    </row>
    <row r="84" spans="2:30">
      <c r="B84" s="9"/>
    </row>
    <row r="85" spans="2:30">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row>
    <row r="86" spans="2:30">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row>
    <row r="87" spans="2:30">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row>
    <row r="88" spans="2:30">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row>
    <row r="89" spans="2:30">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row>
    <row r="90" spans="2:30">
      <c r="B90" s="9"/>
      <c r="C90" s="9"/>
      <c r="D90" s="9"/>
    </row>
    <row r="91" spans="2:30">
      <c r="B91" s="9"/>
      <c r="C91" s="9"/>
      <c r="D91" s="9"/>
    </row>
    <row r="92" spans="2:30">
      <c r="B92" s="9"/>
      <c r="C92" s="9"/>
      <c r="D92" s="9"/>
    </row>
    <row r="93" spans="2:30">
      <c r="B93" s="9"/>
      <c r="C93" s="9"/>
      <c r="D93" s="9"/>
    </row>
    <row r="94" spans="2:30">
      <c r="C94" s="9"/>
      <c r="D94" s="9"/>
    </row>
    <row r="98" spans="39:41" ht="9.9499999999999993" customHeight="1"/>
    <row r="99" spans="39:41" ht="9.9499999999999993" customHeight="1"/>
    <row r="100" spans="39:41" ht="9.9499999999999993" customHeight="1"/>
    <row r="101" spans="39:41" ht="9.9499999999999993" customHeight="1"/>
    <row r="102" spans="39:41" ht="9.9499999999999993" customHeight="1"/>
    <row r="103" spans="39:41" ht="9.9499999999999993" customHeight="1"/>
    <row r="104" spans="39:41" ht="9.9499999999999993" customHeight="1">
      <c r="AM104" s="9"/>
      <c r="AN104" s="9"/>
      <c r="AO104" s="9"/>
    </row>
    <row r="105" spans="39:41">
      <c r="AM105" s="9"/>
      <c r="AN105" s="9"/>
      <c r="AO105" s="9"/>
    </row>
    <row r="106" spans="39:41">
      <c r="AM106" s="9"/>
      <c r="AN106" s="9"/>
      <c r="AO106" s="9"/>
    </row>
    <row r="107" spans="39:41">
      <c r="AM107" s="9"/>
      <c r="AN107" s="9"/>
      <c r="AO107" s="9"/>
    </row>
    <row r="113" ht="9.9499999999999993" customHeight="1"/>
    <row r="114" ht="9.9499999999999993" customHeight="1"/>
    <row r="115" ht="9.9499999999999993" customHeight="1"/>
    <row r="116" ht="9.9499999999999993" customHeight="1"/>
    <row r="117" ht="12" customHeight="1"/>
    <row r="118" ht="9.9499999999999993" customHeight="1"/>
    <row r="144" ht="9.9499999999999993" customHeight="1"/>
    <row r="145" ht="9.9499999999999993" customHeight="1"/>
    <row r="146" ht="9.9499999999999993" customHeight="1"/>
    <row r="147" ht="9.9499999999999993" customHeight="1"/>
    <row r="148" ht="9.9499999999999993" customHeight="1"/>
    <row r="149" ht="12" customHeight="1"/>
    <row r="150" ht="9.9499999999999993" customHeight="1"/>
    <row r="151" ht="9.9499999999999993" customHeight="1"/>
    <row r="152" ht="9.9499999999999993" customHeight="1"/>
    <row r="153" ht="9.9499999999999993" customHeight="1"/>
    <row r="154" ht="12" customHeight="1"/>
    <row r="155" ht="9.9499999999999993" customHeight="1"/>
    <row r="156" ht="9.9499999999999993" customHeight="1"/>
    <row r="157" ht="9.9499999999999993" customHeight="1"/>
    <row r="158" ht="9.9499999999999993" customHeight="1"/>
    <row r="179" ht="12" customHeight="1"/>
    <row r="180" ht="9.9499999999999993" customHeight="1"/>
    <row r="206" ht="9.9499999999999993" customHeight="1"/>
    <row r="207" ht="9.9499999999999993" customHeight="1"/>
    <row r="208" ht="9.9499999999999993" customHeight="1"/>
    <row r="209" ht="12" customHeight="1"/>
    <row r="210" ht="9.9499999999999993" customHeight="1"/>
    <row r="211" ht="9.9499999999999993" customHeight="1"/>
    <row r="212" ht="9.9499999999999993" customHeight="1"/>
    <row r="213" ht="9.9499999999999993" customHeight="1"/>
    <row r="214" ht="9.9499999999999993" customHeight="1"/>
    <row r="215" ht="9.9499999999999993" customHeight="1"/>
  </sheetData>
  <phoneticPr fontId="11" type="noConversion"/>
  <hyperlinks>
    <hyperlink ref="AS76" r:id="rId1" display="www.nces.ed.gov" xr:uid="{00000000-0004-0000-0600-000000000000}"/>
    <hyperlink ref="AY76" r:id="rId2" display="www.nces.ed.gov" xr:uid="{00000000-0004-0000-0600-000001000000}"/>
    <hyperlink ref="V76" r:id="rId3" display="www.nces.ed.gov" xr:uid="{00000000-0004-0000-0600-000002000000}"/>
    <hyperlink ref="BB76" r:id="rId4" display="www.nces.ed.gov" xr:uid="{00000000-0004-0000-0600-000003000000}"/>
    <hyperlink ref="Y76" r:id="rId5" display="www.nces.ed.gov" xr:uid="{00000000-0004-0000-0600-000004000000}"/>
    <hyperlink ref="Z76" r:id="rId6" display="www.nces.ed.gov" xr:uid="{00000000-0004-0000-0600-000005000000}"/>
    <hyperlink ref="BC76" r:id="rId7" display="www.nces.ed.gov" xr:uid="{00000000-0004-0000-0600-000006000000}"/>
    <hyperlink ref="AB76" r:id="rId8" display="www.nces.ed.gov" xr:uid="{00000000-0004-0000-0600-000007000000}"/>
  </hyperlinks>
  <pageMargins left="0.75" right="0.75" top="1" bottom="1" header="0.5" footer="0.5"/>
  <pageSetup orientation="portrait" r:id="rId9"/>
  <headerFooter alignWithMargins="0"/>
  <drawing r:id="rId10"/>
  <legacy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V62"/>
  <sheetViews>
    <sheetView zoomScale="90" zoomScaleNormal="90" workbookViewId="0">
      <pane xSplit="1" ySplit="2" topLeftCell="W3" activePane="bottomRight" state="frozen"/>
      <selection pane="topRight" activeCell="B1" sqref="B1"/>
      <selection pane="bottomLeft" activeCell="A3" sqref="A3"/>
      <selection pane="bottomRight" activeCell="AT3" sqref="AT3:AV62"/>
    </sheetView>
  </sheetViews>
  <sheetFormatPr defaultColWidth="11.140625" defaultRowHeight="12.75"/>
  <cols>
    <col min="1" max="1" width="17.140625" style="1" customWidth="1"/>
    <col min="2" max="42" width="8.5703125" style="1" customWidth="1"/>
    <col min="43" max="16384" width="11.140625" style="1"/>
  </cols>
  <sheetData>
    <row r="1" spans="1:48" ht="15.75" customHeight="1">
      <c r="B1" s="4" t="s">
        <v>110</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48" s="4" customFormat="1" ht="15.75" customHeight="1">
      <c r="B2" s="55" t="s">
        <v>54</v>
      </c>
      <c r="C2" s="55" t="s">
        <v>55</v>
      </c>
      <c r="D2" s="55" t="s">
        <v>0</v>
      </c>
      <c r="E2" s="55" t="s">
        <v>56</v>
      </c>
      <c r="F2" s="55" t="s">
        <v>1</v>
      </c>
      <c r="G2" s="55" t="s">
        <v>57</v>
      </c>
      <c r="H2" s="55" t="s">
        <v>2</v>
      </c>
      <c r="I2" s="55" t="s">
        <v>58</v>
      </c>
      <c r="J2" s="55" t="s">
        <v>3</v>
      </c>
      <c r="K2" s="55" t="s">
        <v>59</v>
      </c>
      <c r="L2" s="55" t="s">
        <v>4</v>
      </c>
      <c r="M2" s="55" t="s">
        <v>5</v>
      </c>
      <c r="N2" s="55" t="s">
        <v>6</v>
      </c>
      <c r="O2" s="55" t="s">
        <v>60</v>
      </c>
      <c r="P2" s="55" t="s">
        <v>7</v>
      </c>
      <c r="Q2" s="55" t="s">
        <v>61</v>
      </c>
      <c r="R2" s="55" t="s">
        <v>8</v>
      </c>
      <c r="S2" s="55" t="s">
        <v>62</v>
      </c>
      <c r="T2" s="55" t="s">
        <v>9</v>
      </c>
      <c r="U2" s="55" t="s">
        <v>10</v>
      </c>
      <c r="V2" s="55" t="s">
        <v>63</v>
      </c>
      <c r="W2" s="55" t="s">
        <v>11</v>
      </c>
      <c r="X2" s="55" t="s">
        <v>64</v>
      </c>
      <c r="Y2" s="55" t="s">
        <v>12</v>
      </c>
      <c r="Z2" s="55" t="s">
        <v>65</v>
      </c>
      <c r="AA2" s="55" t="s">
        <v>51</v>
      </c>
      <c r="AB2" s="55" t="s">
        <v>79</v>
      </c>
      <c r="AC2" s="55" t="s">
        <v>108</v>
      </c>
      <c r="AD2" s="55" t="s">
        <v>146</v>
      </c>
      <c r="AE2" s="55" t="s">
        <v>147</v>
      </c>
      <c r="AF2" s="55" t="s">
        <v>170</v>
      </c>
      <c r="AG2" s="55" t="s">
        <v>171</v>
      </c>
      <c r="AH2" s="55" t="s">
        <v>156</v>
      </c>
      <c r="AI2" s="55" t="s">
        <v>168</v>
      </c>
      <c r="AJ2" s="55" t="s">
        <v>169</v>
      </c>
      <c r="AK2" s="55" t="s">
        <v>180</v>
      </c>
      <c r="AL2" s="55" t="s">
        <v>182</v>
      </c>
      <c r="AM2" s="55" t="s">
        <v>184</v>
      </c>
      <c r="AN2" s="55" t="s">
        <v>190</v>
      </c>
      <c r="AO2" s="55" t="s">
        <v>204</v>
      </c>
      <c r="AP2" s="55" t="s">
        <v>205</v>
      </c>
      <c r="AQ2" s="54" t="s">
        <v>208</v>
      </c>
      <c r="AR2" s="54" t="s">
        <v>210</v>
      </c>
      <c r="AS2" s="54" t="s">
        <v>221</v>
      </c>
      <c r="AT2" s="54" t="s">
        <v>222</v>
      </c>
      <c r="AU2" s="54" t="s">
        <v>225</v>
      </c>
      <c r="AV2" s="54" t="s">
        <v>226</v>
      </c>
    </row>
    <row r="3" spans="1:48">
      <c r="A3" s="156" t="s">
        <v>197</v>
      </c>
      <c r="B3" s="157">
        <f>(Gender!AW4/'Total Associates'!C4)*100</f>
        <v>42.870505051305727</v>
      </c>
      <c r="C3" s="157">
        <f>(Gender!AX4/'Total Associates'!D4)*100</f>
        <v>43.075674453964538</v>
      </c>
      <c r="D3" s="157">
        <f>(Gender!AY4/'Total Associates'!E4)*100</f>
        <v>44.520106017572601</v>
      </c>
      <c r="E3" s="157">
        <f>(Gender!AZ4/'Total Associates'!F4)*100</f>
        <v>45.16492015677882</v>
      </c>
      <c r="F3" s="157">
        <f>(Gender!BA4/'Total Associates'!G4)*100</f>
        <v>46.964913888125366</v>
      </c>
      <c r="G3" s="157">
        <f>(Gender!BB4/'Total Associates'!H4)*100</f>
        <v>46.35487183679308</v>
      </c>
      <c r="H3" s="157">
        <f>(Gender!BC4/'Total Associates'!I4)*100</f>
        <v>48.155755368220923</v>
      </c>
      <c r="I3" s="157">
        <f>(Gender!BD4/'Total Associates'!J4)*100</f>
        <v>50.609274236821818</v>
      </c>
      <c r="J3" s="157">
        <f>(Gender!BE4/'Total Associates'!K4)*100</f>
        <v>52.713655792011906</v>
      </c>
      <c r="K3" s="157">
        <f>(Gender!BF4/'Total Associates'!L4)*100</f>
        <v>54.649274530389661</v>
      </c>
      <c r="L3" s="157">
        <f>(Gender!BG4/'Total Associates'!M4)*100</f>
        <v>55.189422783115639</v>
      </c>
      <c r="M3" s="157">
        <f>(Gender!BH4/'Total Associates'!N4)*100</f>
        <v>55.176710440363863</v>
      </c>
      <c r="N3" s="157">
        <f>(Gender!BI4/'Total Associates'!O4)*100</f>
        <v>55.149797570850204</v>
      </c>
      <c r="O3" s="157">
        <f>(Gender!BJ4/'Total Associates'!P4)*100</f>
        <v>55.700326461249496</v>
      </c>
      <c r="P3" s="157">
        <f>(Gender!BK4/'Total Associates'!Q4)*100</f>
        <v>56.026443079998565</v>
      </c>
      <c r="Q3" s="157">
        <f>(Gender!BL4/'Total Associates'!R4)*100</f>
        <v>56.681188916692037</v>
      </c>
      <c r="R3" s="157">
        <f>(Gender!BM4/'Total Associates'!S4)*100</f>
        <v>57.221389773365793</v>
      </c>
      <c r="S3" s="157">
        <f>(Gender!BN4/'Total Associates'!T4)*100</f>
        <v>57.178301329809663</v>
      </c>
      <c r="T3" s="157">
        <f>(Gender!BO4/'Total Associates'!U4)*100</f>
        <v>58.043639484498101</v>
      </c>
      <c r="U3" s="157">
        <f>(Gender!BP4/'Total Associates'!V4)*100</f>
        <v>58.847980198818931</v>
      </c>
      <c r="V3" s="157">
        <f>(Gender!BQ4/'Total Associates'!W4)*100</f>
        <v>59.65946397027988</v>
      </c>
      <c r="W3" s="157">
        <f>(Gender!BR4/'Total Associates'!X4)*100</f>
        <v>59.750204957439699</v>
      </c>
      <c r="X3" s="157">
        <f>(Gender!BS4/'Total Associates'!Y4)*100</f>
        <v>59.701306166134813</v>
      </c>
      <c r="Y3" s="157">
        <f>(Gender!BT4/'Total Associates'!Z4)*100</f>
        <v>60.332126045471512</v>
      </c>
      <c r="Z3" s="157">
        <f>(Gender!BU4/'Total Associates'!AA4)*100</f>
        <v>60.499626691730747</v>
      </c>
      <c r="AA3" s="157">
        <f>(Gender!BV4/'Total Associates'!AB4)*100</f>
        <v>61.383169730238848</v>
      </c>
      <c r="AB3" s="157">
        <f>(Gender!BW4/'Total Associates'!AC4)*100</f>
        <v>61.640162969604852</v>
      </c>
      <c r="AC3" s="157">
        <f>(Gender!BX4/'Total Associates'!AD4)*100</f>
        <v>61.040005012935161</v>
      </c>
      <c r="AD3" s="157">
        <f>(Gender!BY4/'Total Associates'!AE4)*100</f>
        <v>60.993760201730851</v>
      </c>
      <c r="AE3" s="157">
        <f>(Gender!BZ4/'Total Associates'!AF4)*100</f>
        <v>60.221654603289245</v>
      </c>
      <c r="AF3" s="157">
        <f>(Gender!CA4/'Total Associates'!AG4)*100</f>
        <v>59.982897566790186</v>
      </c>
      <c r="AG3" s="157">
        <f>(Gender!CB4/'Total Associates'!AH4)*100</f>
        <v>59.990623944563652</v>
      </c>
      <c r="AH3" s="157">
        <f>(Gender!CC4/'Total Associates'!AI4)*100</f>
        <v>60.024510422449907</v>
      </c>
      <c r="AI3" s="157">
        <f>(Gender!CD4/'Total Associates'!AJ4)*100</f>
        <v>60.916060854075397</v>
      </c>
      <c r="AJ3" s="157">
        <f>(Gender!CE4/'Total Associates'!AK4)*100</f>
        <v>61.597335859673294</v>
      </c>
      <c r="AK3" s="157">
        <f>(Gender!CF4/'Total Associates'!AL4)*100</f>
        <v>62.127567408405682</v>
      </c>
      <c r="AL3" s="157">
        <f>(Gender!CG4/'Total Associates'!AM4)*100</f>
        <v>62.205506280609903</v>
      </c>
      <c r="AM3" s="157">
        <f>(Gender!CH4/'Total Associates'!AN4)*100</f>
        <v>62.338768589268476</v>
      </c>
      <c r="AN3" s="157">
        <f>(Gender!CI4/'Total Associates'!AO4)*100</f>
        <v>62.132410376909149</v>
      </c>
      <c r="AO3" s="157">
        <f>(Gender!CJ4/'Total Associates'!AP4)*100</f>
        <v>61.96037135328617</v>
      </c>
      <c r="AP3" s="157">
        <f>(Gender!CK4/'Total Associates'!AQ4)*100</f>
        <v>61.216562703302593</v>
      </c>
      <c r="AQ3" s="157">
        <f>(Gender!CL4/'Total Associates'!AR4)*100</f>
        <v>61.42983221570104</v>
      </c>
      <c r="AR3" s="157">
        <f>(Gender!CM4/'Total Associates'!AS4)*100</f>
        <v>61.400002808994401</v>
      </c>
      <c r="AS3" s="157" t="e">
        <f>(Gender!CN4/'Total Associates'!AT4)*100</f>
        <v>#DIV/0!</v>
      </c>
      <c r="AT3" s="157">
        <f>(Gender!CO4/'Total Associates'!AU4)*100</f>
        <v>60.99278884792286</v>
      </c>
      <c r="AU3" s="157">
        <f>(Gender!CP4/'Total Associates'!AV4)*100</f>
        <v>61.221039593294122</v>
      </c>
      <c r="AV3" s="157">
        <f>(Gender!CQ4/'Total Associates'!AW4)*100</f>
        <v>60.929721543496839</v>
      </c>
    </row>
    <row r="4" spans="1:48">
      <c r="A4" s="64" t="s">
        <v>49</v>
      </c>
      <c r="B4" s="19">
        <f>(Gender!AW5/'Total Associates'!C5)*100</f>
        <v>43.93638850889193</v>
      </c>
      <c r="C4" s="19">
        <f>(Gender!AX5/'Total Associates'!D5)*100</f>
        <v>44.327942154490522</v>
      </c>
      <c r="D4" s="19">
        <f>(Gender!AY5/'Total Associates'!E5)*100</f>
        <v>45.593503701934559</v>
      </c>
      <c r="E4" s="19">
        <f>(Gender!AZ5/'Total Associates'!F5)*100</f>
        <v>45.522129614665339</v>
      </c>
      <c r="F4" s="19">
        <f>(Gender!BA5/'Total Associates'!G5)*100</f>
        <v>48.302018777803276</v>
      </c>
      <c r="G4" s="19">
        <f>(Gender!BB5/'Total Associates'!H5)*100</f>
        <v>46.63636963634135</v>
      </c>
      <c r="H4" s="19">
        <f>(Gender!BC5/'Total Associates'!I5)*100</f>
        <v>48.04963902158687</v>
      </c>
      <c r="I4" s="19">
        <f>(Gender!BD5/'Total Associates'!J5)*100</f>
        <v>50.251532777865116</v>
      </c>
      <c r="J4" s="19">
        <f>(Gender!BE5/'Total Associates'!K5)*100</f>
        <v>52.633943119864014</v>
      </c>
      <c r="K4" s="19">
        <f>(Gender!BF5/'Total Associates'!L5)*100</f>
        <v>54.769279089854216</v>
      </c>
      <c r="L4" s="19">
        <f>(Gender!BG5/'Total Associates'!M5)*100</f>
        <v>55.472438902053035</v>
      </c>
      <c r="M4" s="19">
        <f>(Gender!BH5/'Total Associates'!N5)*100</f>
        <v>55.759138875102721</v>
      </c>
      <c r="N4" s="19">
        <f>(Gender!BI5/'Total Associates'!O5)*100</f>
        <v>56.280098202763526</v>
      </c>
      <c r="O4" s="19">
        <f>(Gender!BJ5/'Total Associates'!P5)*100</f>
        <v>57.220927365147048</v>
      </c>
      <c r="P4" s="19">
        <f>(Gender!BK5/'Total Associates'!Q5)*100</f>
        <v>57.403199737649622</v>
      </c>
      <c r="Q4" s="19">
        <f>(Gender!BL5/'Total Associates'!R5)*100</f>
        <v>57.779003783102148</v>
      </c>
      <c r="R4" s="19">
        <f>(Gender!BM5/'Total Associates'!S5)*100</f>
        <v>58.155661268722326</v>
      </c>
      <c r="S4" s="19">
        <f>(Gender!BN5/'Total Associates'!T5)*100</f>
        <v>57.966139612179511</v>
      </c>
      <c r="T4" s="19">
        <f>(Gender!BO5/'Total Associates'!U5)*100</f>
        <v>58.677822295545603</v>
      </c>
      <c r="U4" s="19">
        <f>(Gender!BP5/'Total Associates'!V5)*100</f>
        <v>59.849892138063275</v>
      </c>
      <c r="V4" s="19">
        <f>(Gender!BQ5/'Total Associates'!W5)*100</f>
        <v>61.013303305254198</v>
      </c>
      <c r="W4" s="19">
        <f>(Gender!BR5/'Total Associates'!X5)*100</f>
        <v>61.637322030214101</v>
      </c>
      <c r="X4" s="19">
        <f>(Gender!BS5/'Total Associates'!Y5)*100</f>
        <v>61.378555798687081</v>
      </c>
      <c r="Y4" s="19">
        <f>(Gender!BT5/'Total Associates'!Z5)*100</f>
        <v>61.706558944931032</v>
      </c>
      <c r="Z4" s="19">
        <f>(Gender!BU5/'Total Associates'!AA5)*100</f>
        <v>61.80211035281674</v>
      </c>
      <c r="AA4" s="19">
        <f>(Gender!BV5/'Total Associates'!AB5)*100</f>
        <v>62.160238117156098</v>
      </c>
      <c r="AB4" s="19">
        <f>(Gender!BW5/'Total Associates'!AC5)*100</f>
        <v>62.578473508275387</v>
      </c>
      <c r="AC4" s="19">
        <f>(Gender!BX5/'Total Associates'!AD5)*100</f>
        <v>62.035892704833849</v>
      </c>
      <c r="AD4" s="19">
        <f>(Gender!BY5/'Total Associates'!AE5)*100</f>
        <v>62.112964691927822</v>
      </c>
      <c r="AE4" s="19">
        <f>(Gender!BZ5/'Total Associates'!AF5)*100</f>
        <v>61.527113052367454</v>
      </c>
      <c r="AF4" s="19">
        <f>(Gender!CA5/'Total Associates'!AG5)*100</f>
        <v>60.822740112994353</v>
      </c>
      <c r="AG4" s="19">
        <f>(Gender!CB5/'Total Associates'!AH5)*100</f>
        <v>61.349088313966469</v>
      </c>
      <c r="AH4" s="19">
        <f>(Gender!CC5/'Total Associates'!AI5)*100</f>
        <v>61.158400819688282</v>
      </c>
      <c r="AI4" s="19">
        <f>(Gender!CD5/'Total Associates'!AJ5)*100</f>
        <v>62.322369968590444</v>
      </c>
      <c r="AJ4" s="19">
        <f>(Gender!CE5/'Total Associates'!AK5)*100</f>
        <v>63.016383952847896</v>
      </c>
      <c r="AK4" s="19">
        <f>(Gender!CF5/'Total Associates'!AL5)*100</f>
        <v>63.623068526793325</v>
      </c>
      <c r="AL4" s="19">
        <f>(Gender!CG5/'Total Associates'!AM5)*100</f>
        <v>63.610212003333103</v>
      </c>
      <c r="AM4" s="19">
        <f>(Gender!CH5/'Total Associates'!AN5)*100</f>
        <v>63.880586044688357</v>
      </c>
      <c r="AN4" s="19">
        <f>(Gender!CI5/'Total Associates'!AO5)*100</f>
        <v>63.399173957179059</v>
      </c>
      <c r="AO4" s="19">
        <f>(Gender!CJ5/'Total Associates'!AP5)*100</f>
        <v>63.103455532640261</v>
      </c>
      <c r="AP4" s="19">
        <f>(Gender!CK5/'Total Associates'!AQ5)*100</f>
        <v>62.736322951867749</v>
      </c>
      <c r="AQ4" s="19">
        <f>(Gender!CL5/'Total Associates'!AR5)*100</f>
        <v>62.581528077131679</v>
      </c>
      <c r="AR4" s="19">
        <f>(Gender!CM5/'Total Associates'!AS5)*100</f>
        <v>62.633129199554105</v>
      </c>
      <c r="AS4" s="19" t="e">
        <f>(Gender!CN5/'Total Associates'!AT5)*100</f>
        <v>#DIV/0!</v>
      </c>
      <c r="AT4" s="19">
        <f>(Gender!CO5/'Total Associates'!AU5)*100</f>
        <v>62.289447957258382</v>
      </c>
      <c r="AU4" s="19">
        <f>(Gender!CP5/'Total Associates'!AV5)*100</f>
        <v>62.671310668584844</v>
      </c>
      <c r="AV4" s="19">
        <f>(Gender!CQ5/'Total Associates'!AW5)*100</f>
        <v>62.550070869538423</v>
      </c>
    </row>
    <row r="5" spans="1:48" ht="7.5" customHeight="1">
      <c r="A5" s="153"/>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row>
    <row r="6" spans="1:48">
      <c r="A6" s="64" t="s">
        <v>14</v>
      </c>
      <c r="B6" s="19">
        <f>(Gender!AW7/'Total Associates'!C7)*100</f>
        <v>48.36879432624113</v>
      </c>
      <c r="C6" s="19">
        <f>(Gender!AX7/'Total Associates'!D7)*100</f>
        <v>44.250594766058683</v>
      </c>
      <c r="D6" s="19">
        <f>(Gender!AY7/'Total Associates'!E7)*100</f>
        <v>48.574114697586964</v>
      </c>
      <c r="E6" s="19">
        <f>(Gender!AZ7/'Total Associates'!F7)*100</f>
        <v>48.718759886111989</v>
      </c>
      <c r="F6" s="19">
        <f>(Gender!BA7/'Total Associates'!G7)*100</f>
        <v>46.773722627737222</v>
      </c>
      <c r="G6" s="19">
        <f>(Gender!BB7/'Total Associates'!H7)*100</f>
        <v>43.158766300972886</v>
      </c>
      <c r="H6" s="19">
        <f>(Gender!BC7/'Total Associates'!I7)*100</f>
        <v>44.249662878058174</v>
      </c>
      <c r="I6" s="19">
        <f>(Gender!BD7/'Total Associates'!J7)*100</f>
        <v>49.25</v>
      </c>
      <c r="J6" s="19">
        <f>(Gender!BE7/'Total Associates'!K7)*100</f>
        <v>53.007670569236979</v>
      </c>
      <c r="K6" s="19">
        <f>(Gender!BF7/'Total Associates'!L7)*100</f>
        <v>59.269335406140691</v>
      </c>
      <c r="L6" s="19">
        <f>(Gender!BG7/'Total Associates'!M7)*100</f>
        <v>62.471585038231034</v>
      </c>
      <c r="M6" s="19">
        <f>(Gender!BH7/'Total Associates'!N7)*100</f>
        <v>60.702938840349482</v>
      </c>
      <c r="N6" s="19">
        <f>(Gender!BI7/'Total Associates'!O7)*100</f>
        <v>62.946058091286304</v>
      </c>
      <c r="O6" s="19">
        <f>(Gender!BJ7/'Total Associates'!P7)*100</f>
        <v>64.002368265245707</v>
      </c>
      <c r="P6" s="19">
        <f>(Gender!BK7/'Total Associates'!Q7)*100</f>
        <v>58.166999334664006</v>
      </c>
      <c r="Q6" s="19">
        <f>(Gender!BL7/'Total Associates'!R7)*100</f>
        <v>59.308989683969216</v>
      </c>
      <c r="R6" s="19">
        <f>(Gender!BM7/'Total Associates'!S7)*100</f>
        <v>56.93818415969092</v>
      </c>
      <c r="S6" s="19">
        <f>(Gender!BN7/'Total Associates'!T7)*100</f>
        <v>56.444593237361907</v>
      </c>
      <c r="T6" s="19">
        <f>(Gender!BO7/'Total Associates'!U7)*100</f>
        <v>61.630083375872047</v>
      </c>
      <c r="U6" s="19">
        <f>(Gender!BP7/'Total Associates'!V7)*100</f>
        <v>60.127693535514759</v>
      </c>
      <c r="V6" s="19">
        <f>(Gender!BQ7/'Total Associates'!W7)*100</f>
        <v>62.864520048602671</v>
      </c>
      <c r="W6" s="19">
        <f>(Gender!BR7/'Total Associates'!X7)*100</f>
        <v>64.296541270497457</v>
      </c>
      <c r="X6" s="19">
        <f>(Gender!BS7/'Total Associates'!Y7)*100</f>
        <v>63.442009620523784</v>
      </c>
      <c r="Y6" s="19">
        <f>(Gender!BT7/'Total Associates'!Z7)*100</f>
        <v>63.847834468577304</v>
      </c>
      <c r="Z6" s="19">
        <f>(Gender!BU7/'Total Associates'!AA7)*100</f>
        <v>63.650287172941923</v>
      </c>
      <c r="AA6" s="19">
        <f>(Gender!BV7/'Total Associates'!AB7)*100</f>
        <v>64.334140435835351</v>
      </c>
      <c r="AB6" s="19">
        <f>(Gender!BW7/'Total Associates'!AC7)*100</f>
        <v>64.538843356804804</v>
      </c>
      <c r="AC6" s="19">
        <f>(Gender!BX7/'Total Associates'!AD7)*100</f>
        <v>65.990966178252734</v>
      </c>
      <c r="AD6" s="19">
        <f>(Gender!BY7/'Total Associates'!AE7)*100</f>
        <v>64.411618669314791</v>
      </c>
      <c r="AE6" s="19">
        <f>(Gender!BZ7/'Total Associates'!AF7)*100</f>
        <v>63.034797490017112</v>
      </c>
      <c r="AF6" s="19">
        <f>(Gender!CA7/'Total Associates'!AG7)*100</f>
        <v>62.714987714987714</v>
      </c>
      <c r="AG6" s="19">
        <f>(Gender!CB7/'Total Associates'!AH7)*100</f>
        <v>61.978049703544848</v>
      </c>
      <c r="AH6" s="19">
        <f>(Gender!CC7/'Total Associates'!AI7)*100</f>
        <v>63.666514181152792</v>
      </c>
      <c r="AI6" s="19">
        <f>(Gender!CD7/'Total Associates'!AJ7)*100</f>
        <v>65.234462643033424</v>
      </c>
      <c r="AJ6" s="19">
        <f>(Gender!CE7/'Total Associates'!AK7)*100</f>
        <v>65.419452232046581</v>
      </c>
      <c r="AK6" s="19">
        <f>(Gender!CF7/'Total Associates'!AL7)*100</f>
        <v>66.261944912872394</v>
      </c>
      <c r="AL6" s="19">
        <f>(Gender!CG7/'Total Associates'!AM7)*100</f>
        <v>66.7513611615245</v>
      </c>
      <c r="AM6" s="19">
        <f>(Gender!CH7/'Total Associates'!AN7)*100</f>
        <v>66.470395812888455</v>
      </c>
      <c r="AN6" s="19">
        <f>(Gender!CI7/'Total Associates'!AO7)*100</f>
        <v>65.396177796864933</v>
      </c>
      <c r="AO6" s="19">
        <f>(Gender!CJ7/'Total Associates'!AP7)*100</f>
        <v>63.975277150985967</v>
      </c>
      <c r="AP6" s="19">
        <f>(Gender!CK7/'Total Associates'!AQ7)*100</f>
        <v>66.431253352404795</v>
      </c>
      <c r="AQ6" s="19">
        <f>(Gender!CL7/'Total Associates'!AR7)*100</f>
        <v>63.845802919708028</v>
      </c>
      <c r="AR6" s="19">
        <f>(Gender!CM7/'Total Associates'!AS7)*100</f>
        <v>60.234045646169498</v>
      </c>
      <c r="AS6" s="19" t="e">
        <f>(Gender!CN7/'Total Associates'!AT7)*100</f>
        <v>#DIV/0!</v>
      </c>
      <c r="AT6" s="19">
        <f>(Gender!CO7/'Total Associates'!AU7)*100</f>
        <v>64.634146341463421</v>
      </c>
      <c r="AU6" s="19">
        <f>(Gender!CP7/'Total Associates'!AV7)*100</f>
        <v>64.888484296768326</v>
      </c>
      <c r="AV6" s="19">
        <f>(Gender!CQ7/'Total Associates'!AW7)*100</f>
        <v>64.373865698729588</v>
      </c>
    </row>
    <row r="7" spans="1:48">
      <c r="A7" s="64" t="s">
        <v>15</v>
      </c>
      <c r="B7" s="19">
        <f>(Gender!AW8/'Total Associates'!C8)*100</f>
        <v>59.808612440191389</v>
      </c>
      <c r="C7" s="19">
        <f>(Gender!AX8/'Total Associates'!D8)*100</f>
        <v>61.432926829268297</v>
      </c>
      <c r="D7" s="19">
        <f>(Gender!AY8/'Total Associates'!E8)*100</f>
        <v>71.190781049935978</v>
      </c>
      <c r="E7" s="19">
        <f>(Gender!AZ8/'Total Associates'!F8)*100</f>
        <v>65.458207452165155</v>
      </c>
      <c r="F7" s="19">
        <f>(Gender!BA8/'Total Associates'!G8)*100</f>
        <v>61.769911504424776</v>
      </c>
      <c r="G7" s="19">
        <f>(Gender!BB8/'Total Associates'!H8)*100</f>
        <v>59.233449477351918</v>
      </c>
      <c r="H7" s="19">
        <f>(Gender!BC8/'Total Associates'!I8)*100</f>
        <v>59.432624113475171</v>
      </c>
      <c r="I7" s="19">
        <f>(Gender!BD8/'Total Associates'!J8)*100</f>
        <v>60.880195599022002</v>
      </c>
      <c r="J7" s="19">
        <f>(Gender!BE8/'Total Associates'!K8)*100</f>
        <v>59.161976235146966</v>
      </c>
      <c r="K7" s="19">
        <f>(Gender!BF8/'Total Associates'!L8)*100</f>
        <v>60.815402038505098</v>
      </c>
      <c r="L7" s="19">
        <f>(Gender!BG8/'Total Associates'!M8)*100</f>
        <v>57.815126050420176</v>
      </c>
      <c r="M7" s="19">
        <f>(Gender!BH8/'Total Associates'!N8)*100</f>
        <v>54.366925064599478</v>
      </c>
      <c r="N7" s="19">
        <f>(Gender!BI8/'Total Associates'!O8)*100</f>
        <v>60.127118644067799</v>
      </c>
      <c r="O7" s="19">
        <f>(Gender!BJ8/'Total Associates'!P8)*100</f>
        <v>59.011627906976749</v>
      </c>
      <c r="P7" s="19">
        <f>(Gender!BK8/'Total Associates'!Q8)*100</f>
        <v>61.821613968853228</v>
      </c>
      <c r="Q7" s="19">
        <f>(Gender!BL8/'Total Associates'!R8)*100</f>
        <v>61.608040201005018</v>
      </c>
      <c r="R7" s="19">
        <f>(Gender!BM8/'Total Associates'!S8)*100</f>
        <v>60.627485638532917</v>
      </c>
      <c r="S7" s="19">
        <f>(Gender!BN8/'Total Associates'!T8)*100</f>
        <v>58.955223880597018</v>
      </c>
      <c r="T7" s="19">
        <f>(Gender!BO8/'Total Associates'!U8)*100</f>
        <v>61.636513157894733</v>
      </c>
      <c r="U7" s="19">
        <f>(Gender!BP8/'Total Associates'!V8)*100</f>
        <v>62.034548944337807</v>
      </c>
      <c r="V7" s="19">
        <f>(Gender!BQ8/'Total Associates'!W8)*100</f>
        <v>63.407515505290036</v>
      </c>
      <c r="W7" s="19">
        <f>(Gender!BR8/'Total Associates'!X8)*100</f>
        <v>69.675925925925924</v>
      </c>
      <c r="X7" s="19">
        <f>(Gender!BS8/'Total Associates'!Y8)*100</f>
        <v>68.831168831168839</v>
      </c>
      <c r="Y7" s="19">
        <f>(Gender!BT8/'Total Associates'!Z8)*100</f>
        <v>67.521367521367523</v>
      </c>
      <c r="Z7" s="19">
        <f>(Gender!BU8/'Total Associates'!AA8)*100</f>
        <v>69.341894060995173</v>
      </c>
      <c r="AA7" s="19">
        <f>(Gender!BV8/'Total Associates'!AB8)*100</f>
        <v>69.266980497646273</v>
      </c>
      <c r="AB7" s="19">
        <f>(Gender!BW8/'Total Associates'!AC8)*100</f>
        <v>67.894579215333934</v>
      </c>
      <c r="AC7" s="19">
        <f>(Gender!BX8/'Total Associates'!AD8)*100</f>
        <v>67.448494453248813</v>
      </c>
      <c r="AD7" s="19">
        <f>(Gender!BY8/'Total Associates'!AE8)*100</f>
        <v>68.835098335854767</v>
      </c>
      <c r="AE7" s="19">
        <f>(Gender!BZ8/'Total Associates'!AF8)*100</f>
        <v>69.549549549549553</v>
      </c>
      <c r="AF7" s="19">
        <f>(Gender!CA8/'Total Associates'!AG8)*100</f>
        <v>69.033383158943693</v>
      </c>
      <c r="AG7" s="19">
        <f>(Gender!CB8/'Total Associates'!AH8)*100</f>
        <v>69.333016852599087</v>
      </c>
      <c r="AH7" s="19">
        <f>(Gender!CC8/'Total Associates'!AI8)*100</f>
        <v>67.840475180313959</v>
      </c>
      <c r="AI7" s="19">
        <f>(Gender!CD8/'Total Associates'!AJ8)*100</f>
        <v>69.019848577859634</v>
      </c>
      <c r="AJ7" s="19">
        <f>(Gender!CE8/'Total Associates'!AK8)*100</f>
        <v>68.602400309717382</v>
      </c>
      <c r="AK7" s="19">
        <f>(Gender!CF8/'Total Associates'!AL8)*100</f>
        <v>69.718051995606004</v>
      </c>
      <c r="AL7" s="19">
        <f>(Gender!CG8/'Total Associates'!AM8)*100</f>
        <v>70.477189302569471</v>
      </c>
      <c r="AM7" s="19">
        <f>(Gender!CH8/'Total Associates'!AN8)*100</f>
        <v>70.414945212861497</v>
      </c>
      <c r="AN7" s="19">
        <f>(Gender!CI8/'Total Associates'!AO8)*100</f>
        <v>69.514263685427906</v>
      </c>
      <c r="AO7" s="19">
        <f>(Gender!CJ8/'Total Associates'!AP8)*100</f>
        <v>69.116006692693816</v>
      </c>
      <c r="AP7" s="19">
        <f>(Gender!CK8/'Total Associates'!AQ8)*100</f>
        <v>67.458992240447884</v>
      </c>
      <c r="AQ7" s="19">
        <f>(Gender!CL8/'Total Associates'!AR8)*100</f>
        <v>67.669172932330824</v>
      </c>
      <c r="AR7" s="19">
        <f>(Gender!CM8/'Total Associates'!AS8)*100</f>
        <v>68.051306189691701</v>
      </c>
      <c r="AS7" s="19" t="e">
        <f>(Gender!CN8/'Total Associates'!AT8)*100</f>
        <v>#DIV/0!</v>
      </c>
      <c r="AT7" s="19">
        <f>(Gender!CO8/'Total Associates'!AU8)*100</f>
        <v>67.520615722924688</v>
      </c>
      <c r="AU7" s="19">
        <f>(Gender!CP8/'Total Associates'!AV8)*100</f>
        <v>67.697045739705715</v>
      </c>
      <c r="AV7" s="19">
        <f>(Gender!CQ8/'Total Associates'!AW8)*100</f>
        <v>67.116279069767444</v>
      </c>
    </row>
    <row r="8" spans="1:48">
      <c r="A8" s="64" t="s">
        <v>50</v>
      </c>
      <c r="B8" s="19">
        <f>(Gender!AW9/'Total Associates'!C9)*100</f>
        <v>49.200710479573715</v>
      </c>
      <c r="C8" s="19">
        <f>(Gender!AX9/'Total Associates'!D9)*100</f>
        <v>48.379446640316203</v>
      </c>
      <c r="D8" s="19">
        <f>(Gender!AY9/'Total Associates'!E9)*100</f>
        <v>52.881355932203391</v>
      </c>
      <c r="E8" s="19">
        <f>(Gender!AZ9/'Total Associates'!F9)*100</f>
        <v>53.991416309012877</v>
      </c>
      <c r="F8" s="19">
        <f>(Gender!BA9/'Total Associates'!G9)*100</f>
        <v>57.837384744341989</v>
      </c>
      <c r="G8" s="19">
        <f>(Gender!BB9/'Total Associates'!H9)*100</f>
        <v>45.793103448275865</v>
      </c>
      <c r="H8" s="19">
        <f>(Gender!BC9/'Total Associates'!I9)*100</f>
        <v>49.879951980792313</v>
      </c>
      <c r="I8" s="19">
        <f>(Gender!BD9/'Total Associates'!J9)*100</f>
        <v>55.46875</v>
      </c>
      <c r="J8" s="19">
        <f>(Gender!BE9/'Total Associates'!K9)*100</f>
        <v>62.102146558105112</v>
      </c>
      <c r="K8" s="19">
        <f>(Gender!BF9/'Total Associates'!L9)*100</f>
        <v>63.68899917287014</v>
      </c>
      <c r="L8" s="19">
        <f>(Gender!BG9/'Total Associates'!M9)*100</f>
        <v>64.518828451882854</v>
      </c>
      <c r="M8" s="19">
        <f>(Gender!BH9/'Total Associates'!N9)*100</f>
        <v>67.164179104477611</v>
      </c>
      <c r="N8" s="19">
        <f>(Gender!BI9/'Total Associates'!O9)*100</f>
        <v>66.897081413210444</v>
      </c>
      <c r="O8" s="19">
        <f>(Gender!BJ9/'Total Associates'!P9)*100</f>
        <v>64.446165762974445</v>
      </c>
      <c r="P8" s="19">
        <f>(Gender!BK9/'Total Associates'!Q9)*100</f>
        <v>67.056856187290975</v>
      </c>
      <c r="Q8" s="19">
        <f>(Gender!BL9/'Total Associates'!R9)*100</f>
        <v>68.851063829787222</v>
      </c>
      <c r="R8" s="19">
        <f>(Gender!BM9/'Total Associates'!S9)*100</f>
        <v>67.909800520381609</v>
      </c>
      <c r="S8" s="19">
        <f>(Gender!BN9/'Total Associates'!T9)*100</f>
        <v>69.400352733686063</v>
      </c>
      <c r="T8" s="19">
        <f>(Gender!BO9/'Total Associates'!U9)*100</f>
        <v>68.014059753954299</v>
      </c>
      <c r="U8" s="19">
        <f>(Gender!BP9/'Total Associates'!V9)*100</f>
        <v>68.16770186335404</v>
      </c>
      <c r="V8" s="19">
        <f>(Gender!BQ9/'Total Associates'!W9)*100</f>
        <v>68.021472392638032</v>
      </c>
      <c r="W8" s="19">
        <f>(Gender!BR9/'Total Associates'!X9)*100</f>
        <v>67.1875</v>
      </c>
      <c r="X8" s="19">
        <f>(Gender!BS9/'Total Associates'!Y9)*100</f>
        <v>66.03198781416603</v>
      </c>
      <c r="Y8" s="19">
        <f>(Gender!BT9/'Total Associates'!Z9)*100</f>
        <v>64.147774979009228</v>
      </c>
      <c r="Z8" s="19">
        <f>(Gender!BU9/'Total Associates'!AA9)*100</f>
        <v>66.520595968448731</v>
      </c>
      <c r="AA8" s="19">
        <f>(Gender!BV9/'Total Associates'!AB9)*100</f>
        <v>65.651438240270735</v>
      </c>
      <c r="AB8" s="19">
        <f>(Gender!BW9/'Total Associates'!AC9)*100</f>
        <v>68.097560975609767</v>
      </c>
      <c r="AC8" s="19">
        <f>(Gender!BX9/'Total Associates'!AD9)*100</f>
        <v>67.433302667893287</v>
      </c>
      <c r="AD8" s="19">
        <f>(Gender!BY9/'Total Associates'!AE9)*100</f>
        <v>67.507274490785647</v>
      </c>
      <c r="AE8" s="19">
        <f>(Gender!BZ9/'Total Associates'!AF9)*100</f>
        <v>65.236818588025031</v>
      </c>
      <c r="AF8" s="19">
        <f>(Gender!CA9/'Total Associates'!AG9)*100</f>
        <v>64.539653600729267</v>
      </c>
      <c r="AG8" s="19">
        <f>(Gender!CB9/'Total Associates'!AH9)*100</f>
        <v>66.895958727429061</v>
      </c>
      <c r="AH8" s="19">
        <f>(Gender!CC9/'Total Associates'!AI9)*100</f>
        <v>66.085440278988656</v>
      </c>
      <c r="AI8" s="19">
        <f>(Gender!CD9/'Total Associates'!AJ9)*100</f>
        <v>67.558239861949957</v>
      </c>
      <c r="AJ8" s="19">
        <f>(Gender!CE9/'Total Associates'!AK9)*100</f>
        <v>66.402535657686215</v>
      </c>
      <c r="AK8" s="19">
        <f>(Gender!CF9/'Total Associates'!AL9)*100</f>
        <v>63.102409638554214</v>
      </c>
      <c r="AL8" s="19">
        <f>(Gender!CG9/'Total Associates'!AM9)*100</f>
        <v>64.11174785100286</v>
      </c>
      <c r="AM8" s="19">
        <f>(Gender!CH9/'Total Associates'!AN9)*100</f>
        <v>67.186440677966104</v>
      </c>
      <c r="AN8" s="19">
        <f>(Gender!CI9/'Total Associates'!AO9)*100</f>
        <v>65.835866261398181</v>
      </c>
      <c r="AO8" s="19">
        <f>(Gender!CJ9/'Total Associates'!AP9)*100</f>
        <v>62.028301886792448</v>
      </c>
      <c r="AP8" s="19">
        <f>(Gender!CK9/'Total Associates'!AQ9)*100</f>
        <v>61.703296703296708</v>
      </c>
      <c r="AQ8" s="19">
        <f>(Gender!CL9/'Total Associates'!AR9)*100</f>
        <v>59.989727786337951</v>
      </c>
      <c r="AR8" s="19">
        <f>(Gender!CM9/'Total Associates'!AS9)*100</f>
        <v>62.06563706563707</v>
      </c>
      <c r="AS8" s="19" t="e">
        <f>(Gender!CN9/'Total Associates'!AT9)*100</f>
        <v>#DIV/0!</v>
      </c>
      <c r="AT8" s="19">
        <f>(Gender!CO9/'Total Associates'!AU9)*100</f>
        <v>60.912211868563027</v>
      </c>
      <c r="AU8" s="19">
        <f>(Gender!CP9/'Total Associates'!AV9)*100</f>
        <v>59.543467702768339</v>
      </c>
      <c r="AV8" s="19">
        <f>(Gender!CQ9/'Total Associates'!AW9)*100</f>
        <v>63.318986131037782</v>
      </c>
    </row>
    <row r="9" spans="1:48">
      <c r="A9" s="64" t="s">
        <v>16</v>
      </c>
      <c r="B9" s="19">
        <f>(Gender!AW10/'Total Associates'!C10)*100</f>
        <v>41.809978768577494</v>
      </c>
      <c r="C9" s="19">
        <f>(Gender!AX10/'Total Associates'!D10)*100</f>
        <v>43.159726643745486</v>
      </c>
      <c r="D9" s="19">
        <f>(Gender!AY10/'Total Associates'!E10)*100</f>
        <v>44.0763963369359</v>
      </c>
      <c r="E9" s="19">
        <f>(Gender!AZ10/'Total Associates'!F10)*100</f>
        <v>44.41073990571838</v>
      </c>
      <c r="F9" s="19">
        <f>(Gender!BA10/'Total Associates'!G10)*100</f>
        <v>47.594514735964843</v>
      </c>
      <c r="G9" s="19">
        <f>(Gender!BB10/'Total Associates'!H10)*100</f>
        <v>46.463279189226711</v>
      </c>
      <c r="H9" s="19">
        <f>(Gender!BC10/'Total Associates'!I10)*100</f>
        <v>48.203923243974515</v>
      </c>
      <c r="I9" s="19">
        <f>(Gender!BD10/'Total Associates'!J10)*100</f>
        <v>51.487462813429666</v>
      </c>
      <c r="J9" s="19">
        <f>(Gender!BE10/'Total Associates'!K10)*100</f>
        <v>52.66499582289056</v>
      </c>
      <c r="K9" s="19">
        <f>(Gender!BF10/'Total Associates'!L10)*100</f>
        <v>54.520474499028218</v>
      </c>
      <c r="L9" s="19">
        <f>(Gender!BG10/'Total Associates'!M10)*100</f>
        <v>55.121734437990035</v>
      </c>
      <c r="M9" s="19">
        <f>(Gender!BH10/'Total Associates'!N10)*100</f>
        <v>54.68314862176755</v>
      </c>
      <c r="N9" s="19">
        <f>(Gender!BI10/'Total Associates'!O10)*100</f>
        <v>53.45046034293437</v>
      </c>
      <c r="O9" s="19">
        <f>(Gender!BJ10/'Total Associates'!P10)*100</f>
        <v>55.058078790486142</v>
      </c>
      <c r="P9" s="19">
        <f>(Gender!BK10/'Total Associates'!Q10)*100</f>
        <v>54.603717154454181</v>
      </c>
      <c r="Q9" s="19">
        <f>(Gender!BL10/'Total Associates'!R10)*100</f>
        <v>54.267836292326578</v>
      </c>
      <c r="R9" s="19">
        <f>(Gender!BM10/'Total Associates'!S10)*100</f>
        <v>54.388352156756028</v>
      </c>
      <c r="S9" s="19">
        <f>(Gender!BN10/'Total Associates'!T10)*100</f>
        <v>54.936238217931574</v>
      </c>
      <c r="T9" s="19">
        <f>(Gender!BO10/'Total Associates'!U10)*100</f>
        <v>56.121878494222891</v>
      </c>
      <c r="U9" s="19">
        <f>(Gender!BP10/'Total Associates'!V10)*100</f>
        <v>57.965991231188532</v>
      </c>
      <c r="V9" s="19">
        <f>(Gender!BQ10/'Total Associates'!W10)*100</f>
        <v>58.21719255212399</v>
      </c>
      <c r="W9" s="19">
        <f>(Gender!BR10/'Total Associates'!X10)*100</f>
        <v>58.701551379857662</v>
      </c>
      <c r="X9" s="19">
        <f>(Gender!BS10/'Total Associates'!Y10)*100</f>
        <v>58.566171805608427</v>
      </c>
      <c r="Y9" s="19">
        <f>(Gender!BT10/'Total Associates'!Z10)*100</f>
        <v>59.426390940423431</v>
      </c>
      <c r="Z9" s="19">
        <f>(Gender!BU10/'Total Associates'!AA10)*100</f>
        <v>59.430928240001968</v>
      </c>
      <c r="AA9" s="19">
        <f>(Gender!BV10/'Total Associates'!AB10)*100</f>
        <v>59.112083568605314</v>
      </c>
      <c r="AB9" s="19">
        <f>(Gender!BW10/'Total Associates'!AC10)*100</f>
        <v>59.520585950504938</v>
      </c>
      <c r="AC9" s="19">
        <f>(Gender!BX10/'Total Associates'!AD10)*100</f>
        <v>59.480594909664177</v>
      </c>
      <c r="AD9" s="19">
        <f>(Gender!BY10/'Total Associates'!AE10)*100</f>
        <v>58.75355460524888</v>
      </c>
      <c r="AE9" s="19">
        <f>(Gender!BZ10/'Total Associates'!AF10)*100</f>
        <v>59.333752357008173</v>
      </c>
      <c r="AF9" s="19">
        <f>(Gender!CA10/'Total Associates'!AG10)*100</f>
        <v>58.58258906271854</v>
      </c>
      <c r="AG9" s="19">
        <f>(Gender!CB10/'Total Associates'!AH10)*100</f>
        <v>58.965925804870082</v>
      </c>
      <c r="AH9" s="19">
        <f>(Gender!CC10/'Total Associates'!AI10)*100</f>
        <v>58.106334394160065</v>
      </c>
      <c r="AI9" s="19">
        <f>(Gender!CD10/'Total Associates'!AJ10)*100</f>
        <v>59.082277388392093</v>
      </c>
      <c r="AJ9" s="19">
        <f>(Gender!CE10/'Total Associates'!AK10)*100</f>
        <v>60.055260501977138</v>
      </c>
      <c r="AK9" s="19">
        <f>(Gender!CF10/'Total Associates'!AL10)*100</f>
        <v>60.588448392634945</v>
      </c>
      <c r="AL9" s="19">
        <f>(Gender!CG10/'Total Associates'!AM10)*100</f>
        <v>60.477171845275848</v>
      </c>
      <c r="AM9" s="19">
        <f>(Gender!CH10/'Total Associates'!AN10)*100</f>
        <v>61.97306969127191</v>
      </c>
      <c r="AN9" s="19">
        <f>(Gender!CI10/'Total Associates'!AO10)*100</f>
        <v>61.753876105695305</v>
      </c>
      <c r="AO9" s="19">
        <f>(Gender!CJ10/'Total Associates'!AP10)*100</f>
        <v>61.83142821253611</v>
      </c>
      <c r="AP9" s="19">
        <f>(Gender!CK10/'Total Associates'!AQ10)*100</f>
        <v>61.567602114926501</v>
      </c>
      <c r="AQ9" s="19">
        <f>(Gender!CL10/'Total Associates'!AR10)*100</f>
        <v>62.218416674821405</v>
      </c>
      <c r="AR9" s="19">
        <f>(Gender!CM10/'Total Associates'!AS10)*100</f>
        <v>63.153861464968152</v>
      </c>
      <c r="AS9" s="19" t="e">
        <f>(Gender!CN10/'Total Associates'!AT10)*100</f>
        <v>#DIV/0!</v>
      </c>
      <c r="AT9" s="19">
        <f>(Gender!CO10/'Total Associates'!AU10)*100</f>
        <v>62.710463576158936</v>
      </c>
      <c r="AU9" s="19">
        <f>(Gender!CP10/'Total Associates'!AV10)*100</f>
        <v>63.522269381615004</v>
      </c>
      <c r="AV9" s="19">
        <f>(Gender!CQ10/'Total Associates'!AW10)*100</f>
        <v>64.054562355433546</v>
      </c>
    </row>
    <row r="10" spans="1:48">
      <c r="A10" s="64" t="s">
        <v>17</v>
      </c>
      <c r="B10" s="19">
        <f>(Gender!AW11/'Total Associates'!C11)*100</f>
        <v>40.021780560849443</v>
      </c>
      <c r="C10" s="19">
        <f>(Gender!AX11/'Total Associates'!D11)*100</f>
        <v>42.007893438579181</v>
      </c>
      <c r="D10" s="19">
        <f>(Gender!AY11/'Total Associates'!E11)*100</f>
        <v>46.452947259565669</v>
      </c>
      <c r="E10" s="19">
        <f>(Gender!AZ11/'Total Associates'!F11)*100</f>
        <v>47.511585734434817</v>
      </c>
      <c r="F10" s="19">
        <f>(Gender!BA11/'Total Associates'!G11)*100</f>
        <v>51.120202610559126</v>
      </c>
      <c r="G10" s="19">
        <f>(Gender!BB11/'Total Associates'!H11)*100</f>
        <v>48.859443139885947</v>
      </c>
      <c r="H10" s="19">
        <f>(Gender!BC11/'Total Associates'!I11)*100</f>
        <v>51.851851851851848</v>
      </c>
      <c r="I10" s="19">
        <f>(Gender!BD11/'Total Associates'!J11)*100</f>
        <v>50.350318471337587</v>
      </c>
      <c r="J10" s="19">
        <f>(Gender!BE11/'Total Associates'!K11)*100</f>
        <v>53.018549747048901</v>
      </c>
      <c r="K10" s="19">
        <f>(Gender!BF11/'Total Associates'!L11)*100</f>
        <v>54.494084407557828</v>
      </c>
      <c r="L10" s="19">
        <f>(Gender!BG11/'Total Associates'!M11)*100</f>
        <v>55.637336901973896</v>
      </c>
      <c r="M10" s="19">
        <f>(Gender!BH11/'Total Associates'!N11)*100</f>
        <v>56.188753203678573</v>
      </c>
      <c r="N10" s="19">
        <f>(Gender!BI11/'Total Associates'!O11)*100</f>
        <v>55.449507389162569</v>
      </c>
      <c r="O10" s="19">
        <f>(Gender!BJ11/'Total Associates'!P11)*100</f>
        <v>59.232396494409187</v>
      </c>
      <c r="P10" s="19">
        <f>(Gender!BK11/'Total Associates'!Q11)*100</f>
        <v>62.109375</v>
      </c>
      <c r="Q10" s="19">
        <f>(Gender!BL11/'Total Associates'!R11)*100</f>
        <v>60.788222665235395</v>
      </c>
      <c r="R10" s="19">
        <f>(Gender!BM11/'Total Associates'!S11)*100</f>
        <v>60.056446821152697</v>
      </c>
      <c r="S10" s="19">
        <f>(Gender!BN11/'Total Associates'!T11)*100</f>
        <v>59.792574778295503</v>
      </c>
      <c r="T10" s="19">
        <f>(Gender!BO11/'Total Associates'!U11)*100</f>
        <v>60.019646365422396</v>
      </c>
      <c r="U10" s="19">
        <f>(Gender!BP11/'Total Associates'!V11)*100</f>
        <v>60.603599945865469</v>
      </c>
      <c r="V10" s="19">
        <f>(Gender!BQ11/'Total Associates'!W11)*100</f>
        <v>59.889140841521794</v>
      </c>
      <c r="W10" s="19">
        <f>(Gender!BR11/'Total Associates'!X11)*100</f>
        <v>62.158018867924525</v>
      </c>
      <c r="X10" s="19">
        <f>(Gender!BS11/'Total Associates'!Y11)*100</f>
        <v>62.049062049062051</v>
      </c>
      <c r="Y10" s="19">
        <f>(Gender!BT11/'Total Associates'!Z11)*100</f>
        <v>62.129737764093854</v>
      </c>
      <c r="Z10" s="19">
        <f>(Gender!BU11/'Total Associates'!AA11)*100</f>
        <v>62.922454336650993</v>
      </c>
      <c r="AA10" s="19">
        <f>(Gender!BV11/'Total Associates'!AB11)*100</f>
        <v>63.612344113295279</v>
      </c>
      <c r="AB10" s="19">
        <f>(Gender!BW11/'Total Associates'!AC11)*100</f>
        <v>65.170008718395806</v>
      </c>
      <c r="AC10" s="19">
        <f>(Gender!BX11/'Total Associates'!AD11)*100</f>
        <v>65.285421387719865</v>
      </c>
      <c r="AD10" s="19">
        <f>(Gender!BY11/'Total Associates'!AE11)*100</f>
        <v>64.911221161976087</v>
      </c>
      <c r="AE10" s="19">
        <f>(Gender!BZ11/'Total Associates'!AF11)*100</f>
        <v>64.026656414199664</v>
      </c>
      <c r="AF10" s="19">
        <f>(Gender!CA11/'Total Associates'!AG11)*100</f>
        <v>63.538480362168116</v>
      </c>
      <c r="AG10" s="19">
        <f>(Gender!CB11/'Total Associates'!AH11)*100</f>
        <v>64.385829378655785</v>
      </c>
      <c r="AH10" s="19">
        <f>(Gender!CC11/'Total Associates'!AI11)*100</f>
        <v>64.617831415473844</v>
      </c>
      <c r="AI10" s="19">
        <f>(Gender!CD11/'Total Associates'!AJ11)*100</f>
        <v>65.908563471803205</v>
      </c>
      <c r="AJ10" s="19">
        <f>(Gender!CE11/'Total Associates'!AK11)*100</f>
        <v>66.249508067689888</v>
      </c>
      <c r="AK10" s="19">
        <f>(Gender!CF11/'Total Associates'!AL11)*100</f>
        <v>66.936104695919937</v>
      </c>
      <c r="AL10" s="19">
        <f>(Gender!CG11/'Total Associates'!AM11)*100</f>
        <v>66.804092227821045</v>
      </c>
      <c r="AM10" s="19">
        <f>(Gender!CH11/'Total Associates'!AN11)*100</f>
        <v>65.141771411867879</v>
      </c>
      <c r="AN10" s="19">
        <f>(Gender!CI11/'Total Associates'!AO11)*100</f>
        <v>65.301574035380966</v>
      </c>
      <c r="AO10" s="19">
        <f>(Gender!CJ11/'Total Associates'!AP11)*100</f>
        <v>65.664710056118167</v>
      </c>
      <c r="AP10" s="19">
        <f>(Gender!CK11/'Total Associates'!AQ11)*100</f>
        <v>64.953508030431109</v>
      </c>
      <c r="AQ10" s="19">
        <f>(Gender!CL11/'Total Associates'!AR11)*100</f>
        <v>65.068158366371591</v>
      </c>
      <c r="AR10" s="19">
        <f>(Gender!CM11/'Total Associates'!AS11)*100</f>
        <v>65.732324606759917</v>
      </c>
      <c r="AS10" s="19" t="e">
        <f>(Gender!CN11/'Total Associates'!AT11)*100</f>
        <v>#DIV/0!</v>
      </c>
      <c r="AT10" s="19">
        <f>(Gender!CO11/'Total Associates'!AU11)*100</f>
        <v>65.22131887985546</v>
      </c>
      <c r="AU10" s="19">
        <f>(Gender!CP11/'Total Associates'!AV11)*100</f>
        <v>65.591231063543759</v>
      </c>
      <c r="AV10" s="19">
        <f>(Gender!CQ11/'Total Associates'!AW11)*100</f>
        <v>66.318606359534044</v>
      </c>
    </row>
    <row r="11" spans="1:48">
      <c r="A11" s="64" t="s">
        <v>18</v>
      </c>
      <c r="B11" s="19">
        <f>(Gender!AW12/'Total Associates'!C12)*100</f>
        <v>57.428214731585513</v>
      </c>
      <c r="C11" s="19">
        <f>(Gender!AX12/'Total Associates'!D12)*100</f>
        <v>59.2375366568915</v>
      </c>
      <c r="D11" s="19">
        <f>(Gender!AY12/'Total Associates'!E12)*100</f>
        <v>63.660360756709203</v>
      </c>
      <c r="E11" s="19">
        <f>(Gender!AZ12/'Total Associates'!F12)*100</f>
        <v>65.059744540585086</v>
      </c>
      <c r="F11" s="19">
        <f>(Gender!BA12/'Total Associates'!G12)*100</f>
        <v>63.358778625954194</v>
      </c>
      <c r="G11" s="19">
        <f>(Gender!BB12/'Total Associates'!H12)*100</f>
        <v>60.820668693009118</v>
      </c>
      <c r="H11" s="19">
        <f>(Gender!BC12/'Total Associates'!I12)*100</f>
        <v>57.480314960629919</v>
      </c>
      <c r="I11" s="19">
        <f>(Gender!BD12/'Total Associates'!J12)*100</f>
        <v>59.078322784810119</v>
      </c>
      <c r="J11" s="19">
        <f>(Gender!BE12/'Total Associates'!K12)*100</f>
        <v>57.545714915179559</v>
      </c>
      <c r="K11" s="19">
        <f>(Gender!BF12/'Total Associates'!L12)*100</f>
        <v>59.924306139613115</v>
      </c>
      <c r="L11" s="19">
        <f>(Gender!BG12/'Total Associates'!M12)*100</f>
        <v>58.613532586135328</v>
      </c>
      <c r="M11" s="19">
        <f>(Gender!BH12/'Total Associates'!N12)*100</f>
        <v>59.890213893621045</v>
      </c>
      <c r="N11" s="19">
        <f>(Gender!BI12/'Total Associates'!O12)*100</f>
        <v>63.169726489321846</v>
      </c>
      <c r="O11" s="19">
        <f>(Gender!BJ12/'Total Associates'!P12)*100</f>
        <v>62.36013986013986</v>
      </c>
      <c r="P11" s="19">
        <f>(Gender!BK12/'Total Associates'!Q12)*100</f>
        <v>60.078405749754978</v>
      </c>
      <c r="Q11" s="19">
        <f>(Gender!BL12/'Total Associates'!R12)*100</f>
        <v>61.228776474706812</v>
      </c>
      <c r="R11" s="19">
        <f>(Gender!BM12/'Total Associates'!S12)*100</f>
        <v>63.262135922330096</v>
      </c>
      <c r="S11" s="19">
        <f>(Gender!BN12/'Total Associates'!T12)*100</f>
        <v>64.455747711088506</v>
      </c>
      <c r="T11" s="19">
        <f>(Gender!BO12/'Total Associates'!U12)*100</f>
        <v>67.456460105305794</v>
      </c>
      <c r="U11" s="19">
        <f>(Gender!BP12/'Total Associates'!V12)*100</f>
        <v>66.808984592537584</v>
      </c>
      <c r="V11" s="19">
        <f>(Gender!BQ12/'Total Associates'!W12)*100</f>
        <v>68.050008682062852</v>
      </c>
      <c r="W11" s="19">
        <f>(Gender!BR12/'Total Associates'!X12)*100</f>
        <v>69.460370994940973</v>
      </c>
      <c r="X11" s="19">
        <f>(Gender!BS12/'Total Associates'!Y12)*100</f>
        <v>69.156736938588452</v>
      </c>
      <c r="Y11" s="19">
        <f>(Gender!BT12/'Total Associates'!Z12)*100</f>
        <v>69.607231920199496</v>
      </c>
      <c r="Z11" s="19">
        <f>(Gender!BU12/'Total Associates'!AA12)*100</f>
        <v>70.601923673596019</v>
      </c>
      <c r="AA11" s="19">
        <f>(Gender!BV12/'Total Associates'!AB12)*100</f>
        <v>72.308868501529062</v>
      </c>
      <c r="AB11" s="19">
        <f>(Gender!BW12/'Total Associates'!AC12)*100</f>
        <v>69.637841832963787</v>
      </c>
      <c r="AC11" s="19">
        <f>(Gender!BX12/'Total Associates'!AD12)*100</f>
        <v>70.983401190103351</v>
      </c>
      <c r="AD11" s="19">
        <f>(Gender!BY12/'Total Associates'!AE12)*100</f>
        <v>71.33680024472315</v>
      </c>
      <c r="AE11" s="19">
        <f>(Gender!BZ12/'Total Associates'!AF12)*100</f>
        <v>70.841035120147879</v>
      </c>
      <c r="AF11" s="19">
        <f>(Gender!CA12/'Total Associates'!AG12)*100</f>
        <v>66.189024390243901</v>
      </c>
      <c r="AG11" s="19">
        <f>(Gender!CB12/'Total Associates'!AH12)*100</f>
        <v>68.049281314168368</v>
      </c>
      <c r="AH11" s="19">
        <f>(Gender!CC12/'Total Associates'!AI12)*100</f>
        <v>67.04834605597965</v>
      </c>
      <c r="AI11" s="19">
        <f>(Gender!CD12/'Total Associates'!AJ12)*100</f>
        <v>66.628175519630489</v>
      </c>
      <c r="AJ11" s="19">
        <f>(Gender!CE12/'Total Associates'!AK12)*100</f>
        <v>68.376068376068375</v>
      </c>
      <c r="AK11" s="19">
        <f>(Gender!CF12/'Total Associates'!AL12)*100</f>
        <v>68.427646690332011</v>
      </c>
      <c r="AL11" s="19">
        <f>(Gender!CG12/'Total Associates'!AM12)*100</f>
        <v>67.812750601443454</v>
      </c>
      <c r="AM11" s="19">
        <f>(Gender!CH12/'Total Associates'!AN12)*100</f>
        <v>68.939692550256211</v>
      </c>
      <c r="AN11" s="19">
        <f>(Gender!CI12/'Total Associates'!AO12)*100</f>
        <v>68.880051789512621</v>
      </c>
      <c r="AO11" s="19">
        <f>(Gender!CJ12/'Total Associates'!AP12)*100</f>
        <v>68.762295783081001</v>
      </c>
      <c r="AP11" s="19">
        <f>(Gender!CK12/'Total Associates'!AQ12)*100</f>
        <v>66.684594698424888</v>
      </c>
      <c r="AQ11" s="19">
        <f>(Gender!CL12/'Total Associates'!AR12)*100</f>
        <v>67.098887599808904</v>
      </c>
      <c r="AR11" s="19">
        <f>(Gender!CM12/'Total Associates'!AS12)*100</f>
        <v>67.642582795854779</v>
      </c>
      <c r="AS11" s="19" t="e">
        <f>(Gender!CN12/'Total Associates'!AT12)*100</f>
        <v>#DIV/0!</v>
      </c>
      <c r="AT11" s="19">
        <f>(Gender!CO12/'Total Associates'!AU12)*100</f>
        <v>65.798544618919948</v>
      </c>
      <c r="AU11" s="19">
        <f>(Gender!CP12/'Total Associates'!AV12)*100</f>
        <v>65.697295536005214</v>
      </c>
      <c r="AV11" s="19">
        <f>(Gender!CQ12/'Total Associates'!AW12)*100</f>
        <v>64.97165991902834</v>
      </c>
    </row>
    <row r="12" spans="1:48">
      <c r="A12" s="64" t="s">
        <v>19</v>
      </c>
      <c r="B12" s="19">
        <f>(Gender!AW13/'Total Associates'!C13)*100</f>
        <v>45.879120879120876</v>
      </c>
      <c r="C12" s="19">
        <f>(Gender!AX13/'Total Associates'!D13)*100</f>
        <v>48.498845265588912</v>
      </c>
      <c r="D12" s="19">
        <f>(Gender!AY13/'Total Associates'!E13)*100</f>
        <v>49.022556390977442</v>
      </c>
      <c r="E12" s="19">
        <f>(Gender!AZ13/'Total Associates'!F13)*100</f>
        <v>48.524923702950154</v>
      </c>
      <c r="F12" s="19">
        <f>(Gender!BA13/'Total Associates'!G13)*100</f>
        <v>50</v>
      </c>
      <c r="G12" s="19">
        <f>(Gender!BB13/'Total Associates'!H13)*100</f>
        <v>49.006622516556291</v>
      </c>
      <c r="H12" s="19">
        <f>(Gender!BC13/'Total Associates'!I13)*100</f>
        <v>49.882075471698109</v>
      </c>
      <c r="I12" s="19">
        <f>(Gender!BD13/'Total Associates'!J13)*100</f>
        <v>53.979820627802688</v>
      </c>
      <c r="J12" s="19">
        <f>(Gender!BE13/'Total Associates'!K13)*100</f>
        <v>51.917882225823874</v>
      </c>
      <c r="K12" s="19">
        <f>(Gender!BF13/'Total Associates'!L13)*100</f>
        <v>55.915637860082299</v>
      </c>
      <c r="L12" s="19">
        <f>(Gender!BG13/'Total Associates'!M13)*100</f>
        <v>59.244917715392063</v>
      </c>
      <c r="M12" s="19">
        <f>(Gender!BH13/'Total Associates'!N13)*100</f>
        <v>58.60045146726862</v>
      </c>
      <c r="N12" s="19">
        <f>(Gender!BI13/'Total Associates'!O13)*100</f>
        <v>58.591674047829933</v>
      </c>
      <c r="O12" s="19">
        <f>(Gender!BJ13/'Total Associates'!P13)*100</f>
        <v>56.529209621993125</v>
      </c>
      <c r="P12" s="19">
        <f>(Gender!BK13/'Total Associates'!Q13)*100</f>
        <v>59.432892249527413</v>
      </c>
      <c r="Q12" s="19">
        <f>(Gender!BL13/'Total Associates'!R13)*100</f>
        <v>60.75471698113207</v>
      </c>
      <c r="R12" s="19">
        <f>(Gender!BM13/'Total Associates'!S13)*100</f>
        <v>56.934306569343065</v>
      </c>
      <c r="S12" s="19">
        <f>(Gender!BN13/'Total Associates'!T13)*100</f>
        <v>59.597156398104268</v>
      </c>
      <c r="T12" s="19">
        <f>(Gender!BO13/'Total Associates'!U13)*100</f>
        <v>57.631785995279309</v>
      </c>
      <c r="U12" s="19">
        <f>(Gender!BP13/'Total Associates'!V13)*100</f>
        <v>59.27327781983346</v>
      </c>
      <c r="V12" s="19">
        <f>(Gender!BQ13/'Total Associates'!W13)*100</f>
        <v>60.53733426378227</v>
      </c>
      <c r="W12" s="19">
        <f>(Gender!BR13/'Total Associates'!X13)*100</f>
        <v>63.421052631578945</v>
      </c>
      <c r="X12" s="19">
        <f>(Gender!BS13/'Total Associates'!Y13)*100</f>
        <v>63.455497382198956</v>
      </c>
      <c r="Y12" s="19">
        <f>(Gender!BT13/'Total Associates'!Z13)*100</f>
        <v>64.335452618831368</v>
      </c>
      <c r="Z12" s="19">
        <f>(Gender!BU13/'Total Associates'!AA13)*100</f>
        <v>64.381121994657164</v>
      </c>
      <c r="AA12" s="19">
        <f>(Gender!BV13/'Total Associates'!AB13)*100</f>
        <v>62.494128698919681</v>
      </c>
      <c r="AB12" s="19">
        <f>(Gender!BW13/'Total Associates'!AC13)*100</f>
        <v>68.95575221238937</v>
      </c>
      <c r="AC12" s="19">
        <f>(Gender!BX13/'Total Associates'!AD13)*100</f>
        <v>70.031347962382441</v>
      </c>
      <c r="AD12" s="19">
        <f>(Gender!BY13/'Total Associates'!AE13)*100</f>
        <v>68.859649122807014</v>
      </c>
      <c r="AE12" s="19">
        <f>(Gender!BZ13/'Total Associates'!AF13)*100</f>
        <v>67.827023147317419</v>
      </c>
      <c r="AF12" s="19">
        <f>(Gender!CA13/'Total Associates'!AG13)*100</f>
        <v>67.991785242775421</v>
      </c>
      <c r="AG12" s="19">
        <f>(Gender!CB13/'Total Associates'!AH13)*100</f>
        <v>65.307262569832403</v>
      </c>
      <c r="AH12" s="19">
        <f>(Gender!CC13/'Total Associates'!AI13)*100</f>
        <v>65.292648108493935</v>
      </c>
      <c r="AI12" s="19">
        <f>(Gender!CD13/'Total Associates'!AJ13)*100</f>
        <v>66.555795775819064</v>
      </c>
      <c r="AJ12" s="19">
        <f>(Gender!CE13/'Total Associates'!AK13)*100</f>
        <v>67.12591559121033</v>
      </c>
      <c r="AK12" s="19">
        <f>(Gender!CF13/'Total Associates'!AL13)*100</f>
        <v>67.848272747798603</v>
      </c>
      <c r="AL12" s="19">
        <f>(Gender!CG13/'Total Associates'!AM13)*100</f>
        <v>68.717330116606362</v>
      </c>
      <c r="AM12" s="19">
        <f>(Gender!CH13/'Total Associates'!AN13)*100</f>
        <v>65.439263558134883</v>
      </c>
      <c r="AN12" s="19">
        <f>(Gender!CI13/'Total Associates'!AO13)*100</f>
        <v>65.417973795903308</v>
      </c>
      <c r="AO12" s="19">
        <f>(Gender!CJ13/'Total Associates'!AP13)*100</f>
        <v>64.540596448888124</v>
      </c>
      <c r="AP12" s="19">
        <f>(Gender!CK13/'Total Associates'!AQ13)*100</f>
        <v>64.248203427307899</v>
      </c>
      <c r="AQ12" s="19">
        <f>(Gender!CL13/'Total Associates'!AR13)*100</f>
        <v>61.536465092135998</v>
      </c>
      <c r="AR12" s="19">
        <f>(Gender!CM13/'Total Associates'!AS13)*100</f>
        <v>64.391608391608386</v>
      </c>
      <c r="AS12" s="19" t="e">
        <f>(Gender!CN13/'Total Associates'!AT13)*100</f>
        <v>#DIV/0!</v>
      </c>
      <c r="AT12" s="19">
        <f>(Gender!CO13/'Total Associates'!AU13)*100</f>
        <v>61.251049538203198</v>
      </c>
      <c r="AU12" s="19">
        <f>(Gender!CP13/'Total Associates'!AV13)*100</f>
        <v>63.182801514332077</v>
      </c>
      <c r="AV12" s="19">
        <f>(Gender!CQ13/'Total Associates'!AW13)*100</f>
        <v>62.357524166786902</v>
      </c>
    </row>
    <row r="13" spans="1:48">
      <c r="A13" s="64" t="s">
        <v>20</v>
      </c>
      <c r="B13" s="19">
        <f>(Gender!AW14/'Total Associates'!C14)*100</f>
        <v>41.727458418441785</v>
      </c>
      <c r="C13" s="19">
        <f>(Gender!AX14/'Total Associates'!D14)*100</f>
        <v>46.332945285215366</v>
      </c>
      <c r="D13" s="19">
        <f>(Gender!AY14/'Total Associates'!E14)*100</f>
        <v>44.658869395711505</v>
      </c>
      <c r="E13" s="19">
        <f>(Gender!AZ14/'Total Associates'!F14)*100</f>
        <v>45.321460911560521</v>
      </c>
      <c r="F13" s="19">
        <f>(Gender!BA14/'Total Associates'!G14)*100</f>
        <v>51.995661605206081</v>
      </c>
      <c r="G13" s="19">
        <f>(Gender!BB14/'Total Associates'!H14)*100</f>
        <v>45.893843978923016</v>
      </c>
      <c r="H13" s="19">
        <f>(Gender!BC14/'Total Associates'!I14)*100</f>
        <v>49.501743896362733</v>
      </c>
      <c r="I13" s="19">
        <f>(Gender!BD14/'Total Associates'!J14)*100</f>
        <v>51.373222167729281</v>
      </c>
      <c r="J13" s="19">
        <f>(Gender!BE14/'Total Associates'!K14)*100</f>
        <v>58.729059947390283</v>
      </c>
      <c r="K13" s="19">
        <f>(Gender!BF14/'Total Associates'!L14)*100</f>
        <v>58.256616800920604</v>
      </c>
      <c r="L13" s="19">
        <f>(Gender!BG14/'Total Associates'!M14)*100</f>
        <v>60.120979640011804</v>
      </c>
      <c r="M13" s="19">
        <f>(Gender!BH14/'Total Associates'!N14)*100</f>
        <v>61.729775045410086</v>
      </c>
      <c r="N13" s="19">
        <f>(Gender!BI14/'Total Associates'!O14)*100</f>
        <v>62.022792022792025</v>
      </c>
      <c r="O13" s="19">
        <f>(Gender!BJ14/'Total Associates'!P14)*100</f>
        <v>62.477876106194685</v>
      </c>
      <c r="P13" s="19">
        <f>(Gender!BK14/'Total Associates'!Q14)*100</f>
        <v>62.277823352474705</v>
      </c>
      <c r="Q13" s="19">
        <f>(Gender!BL14/'Total Associates'!R14)*100</f>
        <v>63.569195794259734</v>
      </c>
      <c r="R13" s="19">
        <f>(Gender!BM14/'Total Associates'!S14)*100</f>
        <v>63.276756908402298</v>
      </c>
      <c r="S13" s="19">
        <f>(Gender!BN14/'Total Associates'!T14)*100</f>
        <v>62.993910211018267</v>
      </c>
      <c r="T13" s="19">
        <f>(Gender!BO14/'Total Associates'!U14)*100</f>
        <v>62.164889017007788</v>
      </c>
      <c r="U13" s="19">
        <f>(Gender!BP14/'Total Associates'!V14)*100</f>
        <v>62.834836451743172</v>
      </c>
      <c r="V13" s="19">
        <f>(Gender!BQ14/'Total Associates'!W14)*100</f>
        <v>63.153082549634277</v>
      </c>
      <c r="W13" s="19">
        <f>(Gender!BR14/'Total Associates'!X14)*100</f>
        <v>62.429586088660294</v>
      </c>
      <c r="X13" s="19">
        <f>(Gender!BS14/'Total Associates'!Y14)*100</f>
        <v>62.670623145400597</v>
      </c>
      <c r="Y13" s="19">
        <f>(Gender!BT14/'Total Associates'!Z14)*100</f>
        <v>63.060781476121562</v>
      </c>
      <c r="Z13" s="19">
        <f>(Gender!BU14/'Total Associates'!AA14)*100</f>
        <v>64.944392956441149</v>
      </c>
      <c r="AA13" s="19">
        <f>(Gender!BV14/'Total Associates'!AB14)*100</f>
        <v>64.978460821981614</v>
      </c>
      <c r="AB13" s="19">
        <f>(Gender!BW14/'Total Associates'!AC14)*100</f>
        <v>66.100644521566693</v>
      </c>
      <c r="AC13" s="19">
        <f>(Gender!BX14/'Total Associates'!AD14)*100</f>
        <v>66.620058472098648</v>
      </c>
      <c r="AD13" s="19">
        <f>(Gender!BY14/'Total Associates'!AE14)*100</f>
        <v>66.986265871987555</v>
      </c>
      <c r="AE13" s="19">
        <f>(Gender!BZ14/'Total Associates'!AF14)*100</f>
        <v>65.945146544770097</v>
      </c>
      <c r="AF13" s="19">
        <f>(Gender!CA14/'Total Associates'!AG14)*100</f>
        <v>65.993809716054358</v>
      </c>
      <c r="AG13" s="19">
        <f>(Gender!CB14/'Total Associates'!AH14)*100</f>
        <v>64.477419354838702</v>
      </c>
      <c r="AH13" s="19">
        <f>(Gender!CC14/'Total Associates'!AI14)*100</f>
        <v>61.62239089184061</v>
      </c>
      <c r="AI13" s="19">
        <f>(Gender!CD14/'Total Associates'!AJ14)*100</f>
        <v>66.175329712955772</v>
      </c>
      <c r="AJ13" s="19">
        <f>(Gender!CE14/'Total Associates'!AK14)*100</f>
        <v>65.263371974781364</v>
      </c>
      <c r="AK13" s="19">
        <f>(Gender!CF14/'Total Associates'!AL14)*100</f>
        <v>65.985588786891711</v>
      </c>
      <c r="AL13" s="19">
        <f>(Gender!CG14/'Total Associates'!AM14)*100</f>
        <v>65.49275501391422</v>
      </c>
      <c r="AM13" s="19">
        <f>(Gender!CH14/'Total Associates'!AN14)*100</f>
        <v>63.717621306092667</v>
      </c>
      <c r="AN13" s="19">
        <f>(Gender!CI14/'Total Associates'!AO14)*100</f>
        <v>60.371517027863774</v>
      </c>
      <c r="AO13" s="19">
        <f>(Gender!CJ14/'Total Associates'!AP14)*100</f>
        <v>62.125540772181864</v>
      </c>
      <c r="AP13" s="19">
        <f>(Gender!CK14/'Total Associates'!AQ14)*100</f>
        <v>62.200991308095688</v>
      </c>
      <c r="AQ13" s="19">
        <f>(Gender!CL14/'Total Associates'!AR14)*100</f>
        <v>61.520190023752974</v>
      </c>
      <c r="AR13" s="19">
        <f>(Gender!CM14/'Total Associates'!AS14)*100</f>
        <v>60.531617599272117</v>
      </c>
      <c r="AS13" s="19" t="e">
        <f>(Gender!CN14/'Total Associates'!AT14)*100</f>
        <v>#DIV/0!</v>
      </c>
      <c r="AT13" s="19">
        <f>(Gender!CO14/'Total Associates'!AU14)*100</f>
        <v>58.720964596016309</v>
      </c>
      <c r="AU13" s="19">
        <f>(Gender!CP14/'Total Associates'!AV14)*100</f>
        <v>59.556444496735104</v>
      </c>
      <c r="AV13" s="19">
        <f>(Gender!CQ14/'Total Associates'!AW14)*100</f>
        <v>58.250873970492393</v>
      </c>
    </row>
    <row r="14" spans="1:48">
      <c r="A14" s="64" t="s">
        <v>21</v>
      </c>
      <c r="B14" s="19">
        <f>(Gender!AW15/'Total Associates'!C15)*100</f>
        <v>52.388586085283741</v>
      </c>
      <c r="C14" s="19">
        <f>(Gender!AX15/'Total Associates'!D15)*100</f>
        <v>50.254668930390487</v>
      </c>
      <c r="D14" s="19">
        <f>(Gender!AY15/'Total Associates'!E15)*100</f>
        <v>50.94086021505376</v>
      </c>
      <c r="E14" s="19">
        <f>(Gender!AZ15/'Total Associates'!F15)*100</f>
        <v>51.855807743658211</v>
      </c>
      <c r="F14" s="19">
        <f>(Gender!BA15/'Total Associates'!G15)*100</f>
        <v>56.38297872340425</v>
      </c>
      <c r="G14" s="19">
        <f>(Gender!BB15/'Total Associates'!H15)*100</f>
        <v>54.478183210002548</v>
      </c>
      <c r="H14" s="19">
        <f>(Gender!BC15/'Total Associates'!I15)*100</f>
        <v>55.278737049827328</v>
      </c>
      <c r="I14" s="19">
        <f>(Gender!BD15/'Total Associates'!J15)*100</f>
        <v>54.96066988074093</v>
      </c>
      <c r="J14" s="19">
        <f>(Gender!BE15/'Total Associates'!K15)*100</f>
        <v>59.544441693488494</v>
      </c>
      <c r="K14" s="19">
        <f>(Gender!BF15/'Total Associates'!L15)*100</f>
        <v>59.972267159694937</v>
      </c>
      <c r="L14" s="19">
        <f>(Gender!BG15/'Total Associates'!M15)*100</f>
        <v>59.713603818615759</v>
      </c>
      <c r="M14" s="19">
        <f>(Gender!BH15/'Total Associates'!N15)*100</f>
        <v>60.926258992805757</v>
      </c>
      <c r="N14" s="19">
        <f>(Gender!BI15/'Total Associates'!O15)*100</f>
        <v>62.552476910159527</v>
      </c>
      <c r="O14" s="19">
        <f>(Gender!BJ15/'Total Associates'!P15)*100</f>
        <v>61.52681660899654</v>
      </c>
      <c r="P14" s="19">
        <f>(Gender!BK15/'Total Associates'!Q15)*100</f>
        <v>64.02057245080502</v>
      </c>
      <c r="Q14" s="19">
        <f>(Gender!BL15/'Total Associates'!R15)*100</f>
        <v>62.627432808155703</v>
      </c>
      <c r="R14" s="19">
        <f>(Gender!BM15/'Total Associates'!S15)*100</f>
        <v>63.873499538319479</v>
      </c>
      <c r="S14" s="19">
        <f>(Gender!BN15/'Total Associates'!T15)*100</f>
        <v>65.40852575488455</v>
      </c>
      <c r="T14" s="19">
        <f>(Gender!BO15/'Total Associates'!U15)*100</f>
        <v>66.943866943866951</v>
      </c>
      <c r="U14" s="19">
        <f>(Gender!BP15/'Total Associates'!V15)*100</f>
        <v>67.507507507507498</v>
      </c>
      <c r="V14" s="19">
        <f>(Gender!BQ15/'Total Associates'!W15)*100</f>
        <v>68.294588786872438</v>
      </c>
      <c r="W14" s="19">
        <f>(Gender!BR15/'Total Associates'!X15)*100</f>
        <v>67.262014361995952</v>
      </c>
      <c r="X14" s="19">
        <f>(Gender!BS15/'Total Associates'!Y15)*100</f>
        <v>67.246636771300444</v>
      </c>
      <c r="Y14" s="19">
        <f>(Gender!BT15/'Total Associates'!Z15)*100</f>
        <v>67.966775009028538</v>
      </c>
      <c r="Z14" s="19">
        <f>(Gender!BU15/'Total Associates'!AA15)*100</f>
        <v>67.620945823518753</v>
      </c>
      <c r="AA14" s="19">
        <f>(Gender!BV15/'Total Associates'!AB15)*100</f>
        <v>68.708749365374857</v>
      </c>
      <c r="AB14" s="19">
        <f>(Gender!BW15/'Total Associates'!AC15)*100</f>
        <v>66.469975702880944</v>
      </c>
      <c r="AC14" s="19">
        <f>(Gender!BX15/'Total Associates'!AD15)*100</f>
        <v>65.900383141762447</v>
      </c>
      <c r="AD14" s="19">
        <f>(Gender!BY15/'Total Associates'!AE15)*100</f>
        <v>66.554980201035647</v>
      </c>
      <c r="AE14" s="19">
        <f>(Gender!BZ15/'Total Associates'!AF15)*100</f>
        <v>64.591957421643997</v>
      </c>
      <c r="AF14" s="19">
        <f>(Gender!CA15/'Total Associates'!AG15)*100</f>
        <v>66.401229393685384</v>
      </c>
      <c r="AG14" s="19">
        <f>(Gender!CB15/'Total Associates'!AH15)*100</f>
        <v>67.179689555380165</v>
      </c>
      <c r="AH14" s="19">
        <f>(Gender!CC15/'Total Associates'!AI15)*100</f>
        <v>67.664670658682638</v>
      </c>
      <c r="AI14" s="19">
        <f>(Gender!CD15/'Total Associates'!AJ15)*100</f>
        <v>68.774319066147854</v>
      </c>
      <c r="AJ14" s="19">
        <f>(Gender!CE15/'Total Associates'!AK15)*100</f>
        <v>69.918887601390495</v>
      </c>
      <c r="AK14" s="19">
        <f>(Gender!CF15/'Total Associates'!AL15)*100</f>
        <v>70.341981132075475</v>
      </c>
      <c r="AL14" s="19">
        <f>(Gender!CG15/'Total Associates'!AM15)*100</f>
        <v>68.665197727009158</v>
      </c>
      <c r="AM14" s="19">
        <f>(Gender!CH15/'Total Associates'!AN15)*100</f>
        <v>69.315347993652239</v>
      </c>
      <c r="AN14" s="19">
        <f>(Gender!CI15/'Total Associates'!AO15)*100</f>
        <v>68.800442233278062</v>
      </c>
      <c r="AO14" s="19">
        <f>(Gender!CJ15/'Total Associates'!AP15)*100</f>
        <v>68.057817589576558</v>
      </c>
      <c r="AP14" s="19">
        <f>(Gender!CK15/'Total Associates'!AQ15)*100</f>
        <v>69.501748251748253</v>
      </c>
      <c r="AQ14" s="19">
        <f>(Gender!CL15/'Total Associates'!AR15)*100</f>
        <v>67.559248999692215</v>
      </c>
      <c r="AR14" s="19">
        <f>(Gender!CM15/'Total Associates'!AS15)*100</f>
        <v>66.449945819788283</v>
      </c>
      <c r="AS14" s="19" t="e">
        <f>(Gender!CN15/'Total Associates'!AT15)*100</f>
        <v>#DIV/0!</v>
      </c>
      <c r="AT14" s="19">
        <f>(Gender!CO15/'Total Associates'!AU15)*100</f>
        <v>64.009009009009006</v>
      </c>
      <c r="AU14" s="19">
        <f>(Gender!CP15/'Total Associates'!AV15)*100</f>
        <v>64.786685078857474</v>
      </c>
      <c r="AV14" s="19">
        <f>(Gender!CQ15/'Total Associates'!AW15)*100</f>
        <v>62.888049196117656</v>
      </c>
    </row>
    <row r="15" spans="1:48">
      <c r="A15" s="64" t="s">
        <v>22</v>
      </c>
      <c r="B15" s="19">
        <f>(Gender!AW16/'Total Associates'!C16)*100</f>
        <v>39.815447710184557</v>
      </c>
      <c r="C15" s="19">
        <f>(Gender!AX16/'Total Associates'!D16)*100</f>
        <v>41.170339487790351</v>
      </c>
      <c r="D15" s="19">
        <f>(Gender!AY16/'Total Associates'!E16)*100</f>
        <v>43.711615487316422</v>
      </c>
      <c r="E15" s="19">
        <f>(Gender!AZ16/'Total Associates'!F16)*100</f>
        <v>45.086338242762821</v>
      </c>
      <c r="F15" s="19">
        <f>(Gender!BA16/'Total Associates'!G16)*100</f>
        <v>47.133138969873663</v>
      </c>
      <c r="G15" s="19">
        <f>(Gender!BB16/'Total Associates'!H16)*100</f>
        <v>46.675397944791456</v>
      </c>
      <c r="H15" s="19">
        <f>(Gender!BC16/'Total Associates'!I16)*100</f>
        <v>44.801306477953183</v>
      </c>
      <c r="I15" s="19">
        <f>(Gender!BD16/'Total Associates'!J16)*100</f>
        <v>47.682584269662918</v>
      </c>
      <c r="J15" s="19">
        <f>(Gender!BE16/'Total Associates'!K16)*100</f>
        <v>49.720418470418473</v>
      </c>
      <c r="K15" s="19">
        <f>(Gender!BF16/'Total Associates'!L16)*100</f>
        <v>53.964616371803096</v>
      </c>
      <c r="L15" s="19">
        <f>(Gender!BG16/'Total Associates'!M16)*100</f>
        <v>55.995475113122176</v>
      </c>
      <c r="M15" s="19">
        <f>(Gender!BH16/'Total Associates'!N16)*100</f>
        <v>57.298335467349546</v>
      </c>
      <c r="N15" s="19">
        <f>(Gender!BI16/'Total Associates'!O16)*100</f>
        <v>58.147810218978101</v>
      </c>
      <c r="O15" s="19">
        <f>(Gender!BJ16/'Total Associates'!P16)*100</f>
        <v>58.356915458082767</v>
      </c>
      <c r="P15" s="19">
        <f>(Gender!BK16/'Total Associates'!Q16)*100</f>
        <v>60.164661177960731</v>
      </c>
      <c r="Q15" s="19">
        <f>(Gender!BL16/'Total Associates'!R16)*100</f>
        <v>62.142988759904185</v>
      </c>
      <c r="R15" s="19">
        <f>(Gender!BM16/'Total Associates'!S16)*100</f>
        <v>63.190990145471616</v>
      </c>
      <c r="S15" s="19">
        <f>(Gender!BN16/'Total Associates'!T16)*100</f>
        <v>63.756895383722053</v>
      </c>
      <c r="T15" s="19">
        <f>(Gender!BO16/'Total Associates'!U16)*100</f>
        <v>64.756418031129982</v>
      </c>
      <c r="U15" s="19">
        <f>(Gender!BP16/'Total Associates'!V16)*100</f>
        <v>65.314173006480701</v>
      </c>
      <c r="V15" s="19">
        <f>(Gender!BQ16/'Total Associates'!W16)*100</f>
        <v>65.794751068096616</v>
      </c>
      <c r="W15" s="19">
        <f>(Gender!BR16/'Total Associates'!X16)*100</f>
        <v>65.444584913611465</v>
      </c>
      <c r="X15" s="19">
        <f>(Gender!BS16/'Total Associates'!Y16)*100</f>
        <v>64.378493916474838</v>
      </c>
      <c r="Y15" s="19">
        <f>(Gender!BT16/'Total Associates'!Z16)*100</f>
        <v>64.863079069084506</v>
      </c>
      <c r="Z15" s="19">
        <f>(Gender!BU16/'Total Associates'!AA16)*100</f>
        <v>65.393067271567304</v>
      </c>
      <c r="AA15" s="19">
        <f>(Gender!BV16/'Total Associates'!AB16)*100</f>
        <v>66.630716134598785</v>
      </c>
      <c r="AB15" s="19">
        <f>(Gender!BW16/'Total Associates'!AC16)*100</f>
        <v>67.492181017425153</v>
      </c>
      <c r="AC15" s="19">
        <f>(Gender!BX16/'Total Associates'!AD16)*100</f>
        <v>65.637202697905579</v>
      </c>
      <c r="AD15" s="19">
        <f>(Gender!BY16/'Total Associates'!AE16)*100</f>
        <v>65.817311404524744</v>
      </c>
      <c r="AE15" s="19">
        <f>(Gender!BZ16/'Total Associates'!AF16)*100</f>
        <v>64.724176231025538</v>
      </c>
      <c r="AF15" s="19">
        <f>(Gender!CA16/'Total Associates'!AG16)*100</f>
        <v>62.941671340437466</v>
      </c>
      <c r="AG15" s="19">
        <f>(Gender!CB16/'Total Associates'!AH16)*100</f>
        <v>64.332722708460537</v>
      </c>
      <c r="AH15" s="19">
        <f>(Gender!CC16/'Total Associates'!AI16)*100</f>
        <v>65.408099688473527</v>
      </c>
      <c r="AI15" s="19">
        <f>(Gender!CD16/'Total Associates'!AJ16)*100</f>
        <v>64.970880438506342</v>
      </c>
      <c r="AJ15" s="19">
        <f>(Gender!CE16/'Total Associates'!AK16)*100</f>
        <v>65.693391115926332</v>
      </c>
      <c r="AK15" s="19">
        <f>(Gender!CF16/'Total Associates'!AL16)*100</f>
        <v>67.518022657054587</v>
      </c>
      <c r="AL15" s="19">
        <f>(Gender!CG16/'Total Associates'!AM16)*100</f>
        <v>66.81056373793804</v>
      </c>
      <c r="AM15" s="19">
        <f>(Gender!CH16/'Total Associates'!AN16)*100</f>
        <v>67.352971154826207</v>
      </c>
      <c r="AN15" s="19">
        <f>(Gender!CI16/'Total Associates'!AO16)*100</f>
        <v>66.653721054420117</v>
      </c>
      <c r="AO15" s="19">
        <f>(Gender!CJ16/'Total Associates'!AP16)*100</f>
        <v>65.12007050011016</v>
      </c>
      <c r="AP15" s="19">
        <f>(Gender!CK16/'Total Associates'!AQ16)*100</f>
        <v>63.262304206090484</v>
      </c>
      <c r="AQ15" s="19">
        <f>(Gender!CL16/'Total Associates'!AR16)*100</f>
        <v>63.099884359641514</v>
      </c>
      <c r="AR15" s="19">
        <f>(Gender!CM16/'Total Associates'!AS16)*100</f>
        <v>63.377077865266841</v>
      </c>
      <c r="AS15" s="19" t="e">
        <f>(Gender!CN16/'Total Associates'!AT16)*100</f>
        <v>#DIV/0!</v>
      </c>
      <c r="AT15" s="19">
        <f>(Gender!CO16/'Total Associates'!AU16)*100</f>
        <v>63.072531057849169</v>
      </c>
      <c r="AU15" s="19">
        <f>(Gender!CP16/'Total Associates'!AV16)*100</f>
        <v>62.224367758814005</v>
      </c>
      <c r="AV15" s="19">
        <f>(Gender!CQ16/'Total Associates'!AW16)*100</f>
        <v>62.271667601144983</v>
      </c>
    </row>
    <row r="16" spans="1:48">
      <c r="A16" s="64" t="s">
        <v>23</v>
      </c>
      <c r="B16" s="19">
        <f>(Gender!AW17/'Total Associates'!C17)*100</f>
        <v>35.034013605442176</v>
      </c>
      <c r="C16" s="19">
        <f>(Gender!AX17/'Total Associates'!D17)*100</f>
        <v>32.475317348377999</v>
      </c>
      <c r="D16" s="19">
        <f>(Gender!AY17/'Total Associates'!E17)*100</f>
        <v>36.30448926480156</v>
      </c>
      <c r="E16" s="19">
        <f>(Gender!AZ17/'Total Associates'!F17)*100</f>
        <v>38.490447854682117</v>
      </c>
      <c r="F16" s="19">
        <f>(Gender!BA17/'Total Associates'!G17)*100</f>
        <v>40</v>
      </c>
      <c r="G16" s="19">
        <f>(Gender!BB17/'Total Associates'!H17)*100</f>
        <v>41.818676830928396</v>
      </c>
      <c r="H16" s="19">
        <f>(Gender!BC17/'Total Associates'!I17)*100</f>
        <v>44.106372783900333</v>
      </c>
      <c r="I16" s="19">
        <f>(Gender!BD17/'Total Associates'!J17)*100</f>
        <v>46.5416772232075</v>
      </c>
      <c r="J16" s="19">
        <f>(Gender!BE17/'Total Associates'!K17)*100</f>
        <v>50.065876152832679</v>
      </c>
      <c r="K16" s="19">
        <f>(Gender!BF17/'Total Associates'!L17)*100</f>
        <v>50.753246753246749</v>
      </c>
      <c r="L16" s="19">
        <f>(Gender!BG17/'Total Associates'!M17)*100</f>
        <v>53.30630858880162</v>
      </c>
      <c r="M16" s="19">
        <f>(Gender!BH17/'Total Associates'!N17)*100</f>
        <v>53.7353515625</v>
      </c>
      <c r="N16" s="19">
        <f>(Gender!BI17/'Total Associates'!O17)*100</f>
        <v>53.824091778202678</v>
      </c>
      <c r="O16" s="19">
        <f>(Gender!BJ17/'Total Associates'!P17)*100</f>
        <v>53.588964227262103</v>
      </c>
      <c r="P16" s="19">
        <f>(Gender!BK17/'Total Associates'!Q17)*100</f>
        <v>52.65646105357947</v>
      </c>
      <c r="Q16" s="19">
        <f>(Gender!BL17/'Total Associates'!R17)*100</f>
        <v>46.727305154271448</v>
      </c>
      <c r="R16" s="19">
        <f>(Gender!BM17/'Total Associates'!S17)*100</f>
        <v>50.543274634694647</v>
      </c>
      <c r="S16" s="19">
        <f>(Gender!BN17/'Total Associates'!T17)*100</f>
        <v>53.828870997940456</v>
      </c>
      <c r="T16" s="19">
        <f>(Gender!BO17/'Total Associates'!U17)*100</f>
        <v>51.004536616979912</v>
      </c>
      <c r="U16" s="19">
        <f>(Gender!BP17/'Total Associates'!V17)*100</f>
        <v>54.416505480335267</v>
      </c>
      <c r="V16" s="19">
        <f>(Gender!BQ17/'Total Associates'!W17)*100</f>
        <v>58.196078431372541</v>
      </c>
      <c r="W16" s="19">
        <f>(Gender!BR17/'Total Associates'!X17)*100</f>
        <v>62.931174089068833</v>
      </c>
      <c r="X16" s="19">
        <f>(Gender!BS17/'Total Associates'!Y17)*100</f>
        <v>58.994289340101524</v>
      </c>
      <c r="Y16" s="19">
        <f>(Gender!BT17/'Total Associates'!Z17)*100</f>
        <v>61.75811033039318</v>
      </c>
      <c r="Z16" s="19">
        <f>(Gender!BU17/'Total Associates'!AA17)*100</f>
        <v>61.07545285979176</v>
      </c>
      <c r="AA16" s="19">
        <f>(Gender!BV17/'Total Associates'!AB17)*100</f>
        <v>61.728597151743323</v>
      </c>
      <c r="AB16" s="19">
        <f>(Gender!BW17/'Total Associates'!AC17)*100</f>
        <v>61.600609756097555</v>
      </c>
      <c r="AC16" s="19">
        <f>(Gender!BX17/'Total Associates'!AD17)*100</f>
        <v>61.822222222222223</v>
      </c>
      <c r="AD16" s="19">
        <f>(Gender!BY17/'Total Associates'!AE17)*100</f>
        <v>61.821284517530252</v>
      </c>
      <c r="AE16" s="19">
        <f>(Gender!BZ17/'Total Associates'!AF17)*100</f>
        <v>62.890137328339577</v>
      </c>
      <c r="AF16" s="19">
        <f>(Gender!CA17/'Total Associates'!AG17)*100</f>
        <v>60.468437589260219</v>
      </c>
      <c r="AG16" s="19">
        <f>(Gender!CB17/'Total Associates'!AH17)*100</f>
        <v>60.193103448275863</v>
      </c>
      <c r="AH16" s="19">
        <f>(Gender!CC17/'Total Associates'!AI17)*100</f>
        <v>60.31568481232911</v>
      </c>
      <c r="AI16" s="19">
        <f>(Gender!CD17/'Total Associates'!AJ17)*100</f>
        <v>61.314791403286982</v>
      </c>
      <c r="AJ16" s="19">
        <f>(Gender!CE17/'Total Associates'!AK17)*100</f>
        <v>62.70691333982473</v>
      </c>
      <c r="AK16" s="19">
        <f>(Gender!CF17/'Total Associates'!AL17)*100</f>
        <v>63.189917427205565</v>
      </c>
      <c r="AL16" s="19">
        <f>(Gender!CG17/'Total Associates'!AM17)*100</f>
        <v>64.983164983164983</v>
      </c>
      <c r="AM16" s="19">
        <f>(Gender!CH17/'Total Associates'!AN17)*100</f>
        <v>64.090091995347365</v>
      </c>
      <c r="AN16" s="19">
        <f>(Gender!CI17/'Total Associates'!AO17)*100</f>
        <v>63.330529857022711</v>
      </c>
      <c r="AO16" s="19">
        <f>(Gender!CJ17/'Total Associates'!AP17)*100</f>
        <v>64.229147382495114</v>
      </c>
      <c r="AP16" s="19">
        <f>(Gender!CK17/'Total Associates'!AQ17)*100</f>
        <v>62.138188608776844</v>
      </c>
      <c r="AQ16" s="19">
        <f>(Gender!CL17/'Total Associates'!AR17)*100</f>
        <v>62.121080517675672</v>
      </c>
      <c r="AR16" s="19">
        <f>(Gender!CM17/'Total Associates'!AS17)*100</f>
        <v>62.353889560661024</v>
      </c>
      <c r="AS16" s="19" t="e">
        <f>(Gender!CN17/'Total Associates'!AT17)*100</f>
        <v>#DIV/0!</v>
      </c>
      <c r="AT16" s="19">
        <f>(Gender!CO17/'Total Associates'!AU17)*100</f>
        <v>61.42408216448225</v>
      </c>
      <c r="AU16" s="19">
        <f>(Gender!CP17/'Total Associates'!AV17)*100</f>
        <v>62.717219589257503</v>
      </c>
      <c r="AV16" s="19">
        <f>(Gender!CQ17/'Total Associates'!AW17)*100</f>
        <v>61.482570711876136</v>
      </c>
    </row>
    <row r="17" spans="1:48">
      <c r="A17" s="64" t="s">
        <v>24</v>
      </c>
      <c r="B17" s="19">
        <f>(Gender!AW18/'Total Associates'!C18)*100</f>
        <v>40.314430095451989</v>
      </c>
      <c r="C17" s="19">
        <f>(Gender!AX18/'Total Associates'!D18)*100</f>
        <v>43.777867855695177</v>
      </c>
      <c r="D17" s="19">
        <f>(Gender!AY18/'Total Associates'!E18)*100</f>
        <v>45.054282267792523</v>
      </c>
      <c r="E17" s="19">
        <f>(Gender!AZ18/'Total Associates'!F18)*100</f>
        <v>45.591715976331358</v>
      </c>
      <c r="F17" s="19">
        <f>(Gender!BA18/'Total Associates'!G18)*100</f>
        <v>48.940998487140696</v>
      </c>
      <c r="G17" s="19">
        <f>(Gender!BB18/'Total Associates'!H18)*100</f>
        <v>45.464362850971924</v>
      </c>
      <c r="H17" s="19">
        <f>(Gender!BC18/'Total Associates'!I18)*100</f>
        <v>45.172351561090061</v>
      </c>
      <c r="I17" s="19">
        <f>(Gender!BD18/'Total Associates'!J18)*100</f>
        <v>47.148988350705089</v>
      </c>
      <c r="J17" s="19">
        <f>(Gender!BE18/'Total Associates'!K18)*100</f>
        <v>47.944454595285954</v>
      </c>
      <c r="K17" s="19">
        <f>(Gender!BF18/'Total Associates'!L18)*100</f>
        <v>53.180497255408454</v>
      </c>
      <c r="L17" s="19">
        <f>(Gender!BG18/'Total Associates'!M18)*100</f>
        <v>50.336302490456283</v>
      </c>
      <c r="M17" s="19">
        <f>(Gender!BH18/'Total Associates'!N18)*100</f>
        <v>53.333333333333336</v>
      </c>
      <c r="N17" s="19">
        <f>(Gender!BI18/'Total Associates'!O18)*100</f>
        <v>57.789115646258502</v>
      </c>
      <c r="O17" s="19">
        <f>(Gender!BJ18/'Total Associates'!P18)*100</f>
        <v>58.463385354141664</v>
      </c>
      <c r="P17" s="19">
        <f>(Gender!BK18/'Total Associates'!Q18)*100</f>
        <v>59.027645376549096</v>
      </c>
      <c r="Q17" s="19">
        <f>(Gender!BL18/'Total Associates'!R18)*100</f>
        <v>59.718420023465001</v>
      </c>
      <c r="R17" s="19">
        <f>(Gender!BM18/'Total Associates'!S18)*100</f>
        <v>60.805707091900963</v>
      </c>
      <c r="S17" s="19">
        <f>(Gender!BN18/'Total Associates'!T18)*100</f>
        <v>58.061139028475715</v>
      </c>
      <c r="T17" s="19">
        <f>(Gender!BO18/'Total Associates'!U18)*100</f>
        <v>59.3251161850879</v>
      </c>
      <c r="U17" s="19">
        <f>(Gender!BP18/'Total Associates'!V18)*100</f>
        <v>59.976931949250286</v>
      </c>
      <c r="V17" s="19">
        <f>(Gender!BQ18/'Total Associates'!W18)*100</f>
        <v>60.741612713360801</v>
      </c>
      <c r="W17" s="19">
        <f>(Gender!BR18/'Total Associates'!X18)*100</f>
        <v>59.279599418510742</v>
      </c>
      <c r="X17" s="19">
        <f>(Gender!BS18/'Total Associates'!Y18)*100</f>
        <v>60.692088022845624</v>
      </c>
      <c r="Y17" s="19">
        <f>(Gender!BT18/'Total Associates'!Z18)*100</f>
        <v>58.861370215503371</v>
      </c>
      <c r="Z17" s="19">
        <f>(Gender!BU18/'Total Associates'!AA18)*100</f>
        <v>58.896999188969993</v>
      </c>
      <c r="AA17" s="19">
        <f>(Gender!BV18/'Total Associates'!AB18)*100</f>
        <v>58.494117647058822</v>
      </c>
      <c r="AB17" s="19">
        <f>(Gender!BW18/'Total Associates'!AC18)*100</f>
        <v>59.651849549269507</v>
      </c>
      <c r="AC17" s="19">
        <f>(Gender!BX18/'Total Associates'!AD18)*100</f>
        <v>58.721475461081582</v>
      </c>
      <c r="AD17" s="19">
        <f>(Gender!BY18/'Total Associates'!AE18)*100</f>
        <v>59.957173447537471</v>
      </c>
      <c r="AE17" s="19">
        <f>(Gender!BZ18/'Total Associates'!AF18)*100</f>
        <v>59.137728075338437</v>
      </c>
      <c r="AF17" s="19">
        <f>(Gender!CA18/'Total Associates'!AG18)*100</f>
        <v>60.896511963101766</v>
      </c>
      <c r="AG17" s="19">
        <f>(Gender!CB18/'Total Associates'!AH18)*100</f>
        <v>61.483454851374084</v>
      </c>
      <c r="AH17" s="19">
        <f>(Gender!CC18/'Total Associates'!AI18)*100</f>
        <v>62.888652670741429</v>
      </c>
      <c r="AI17" s="19">
        <f>(Gender!CD18/'Total Associates'!AJ18)*100</f>
        <v>63.565120039805947</v>
      </c>
      <c r="AJ17" s="19">
        <f>(Gender!CE18/'Total Associates'!AK18)*100</f>
        <v>64.003447002339044</v>
      </c>
      <c r="AK17" s="19">
        <f>(Gender!CF18/'Total Associates'!AL18)*100</f>
        <v>64.705136334812934</v>
      </c>
      <c r="AL17" s="19">
        <f>(Gender!CG18/'Total Associates'!AM18)*100</f>
        <v>64.613015017327697</v>
      </c>
      <c r="AM17" s="19">
        <f>(Gender!CH18/'Total Associates'!AN18)*100</f>
        <v>64.371144403877622</v>
      </c>
      <c r="AN17" s="19">
        <f>(Gender!CI18/'Total Associates'!AO18)*100</f>
        <v>65.31846756019452</v>
      </c>
      <c r="AO17" s="19">
        <f>(Gender!CJ18/'Total Associates'!AP18)*100</f>
        <v>64.124522624696212</v>
      </c>
      <c r="AP17" s="19">
        <f>(Gender!CK18/'Total Associates'!AQ18)*100</f>
        <v>62.347763790809537</v>
      </c>
      <c r="AQ17" s="19">
        <f>(Gender!CL18/'Total Associates'!AR18)*100</f>
        <v>62.53938832252085</v>
      </c>
      <c r="AR17" s="19">
        <f>(Gender!CM18/'Total Associates'!AS18)*100</f>
        <v>63.106295149638804</v>
      </c>
      <c r="AS17" s="19" t="e">
        <f>(Gender!CN18/'Total Associates'!AT18)*100</f>
        <v>#DIV/0!</v>
      </c>
      <c r="AT17" s="19">
        <f>(Gender!CO18/'Total Associates'!AU18)*100</f>
        <v>62.777258434605251</v>
      </c>
      <c r="AU17" s="19">
        <f>(Gender!CP18/'Total Associates'!AV18)*100</f>
        <v>63.462707302248845</v>
      </c>
      <c r="AV17" s="19">
        <f>(Gender!CQ18/'Total Associates'!AW18)*100</f>
        <v>62.891908695266011</v>
      </c>
    </row>
    <row r="18" spans="1:48">
      <c r="A18" s="64" t="s">
        <v>25</v>
      </c>
      <c r="B18" s="19">
        <f>(Gender!AW19/'Total Associates'!C19)*100</f>
        <v>50.900639163277162</v>
      </c>
      <c r="C18" s="19">
        <f>(Gender!AX19/'Total Associates'!D19)*100</f>
        <v>47.247706422018346</v>
      </c>
      <c r="D18" s="19">
        <f>(Gender!AY19/'Total Associates'!E19)*100</f>
        <v>52.269399707174237</v>
      </c>
      <c r="E18" s="19">
        <f>(Gender!AZ19/'Total Associates'!F19)*100</f>
        <v>47.616</v>
      </c>
      <c r="F18" s="19">
        <f>(Gender!BA19/'Total Associates'!G19)*100</f>
        <v>53.772167117523296</v>
      </c>
      <c r="G18" s="19">
        <f>(Gender!BB19/'Total Associates'!H19)*100</f>
        <v>49.397892624184649</v>
      </c>
      <c r="H18" s="19">
        <f>(Gender!BC19/'Total Associates'!I19)*100</f>
        <v>50</v>
      </c>
      <c r="I18" s="19">
        <f>(Gender!BD19/'Total Associates'!J19)*100</f>
        <v>47.535574345225818</v>
      </c>
      <c r="J18" s="19">
        <f>(Gender!BE19/'Total Associates'!K19)*100</f>
        <v>53.385462946507914</v>
      </c>
      <c r="K18" s="19">
        <f>(Gender!BF19/'Total Associates'!L19)*100</f>
        <v>54.694181074549178</v>
      </c>
      <c r="L18" s="19">
        <f>(Gender!BG19/'Total Associates'!M19)*100</f>
        <v>55.981622194734051</v>
      </c>
      <c r="M18" s="19">
        <f>(Gender!BH19/'Total Associates'!N19)*100</f>
        <v>55.061374143153195</v>
      </c>
      <c r="N18" s="19">
        <f>(Gender!BI19/'Total Associates'!O19)*100</f>
        <v>56.176643192488264</v>
      </c>
      <c r="O18" s="19">
        <f>(Gender!BJ19/'Total Associates'!P19)*100</f>
        <v>56.646058732612062</v>
      </c>
      <c r="P18" s="19">
        <f>(Gender!BK19/'Total Associates'!Q19)*100</f>
        <v>60.91034906966015</v>
      </c>
      <c r="Q18" s="19">
        <f>(Gender!BL19/'Total Associates'!R19)*100</f>
        <v>60.384032339565444</v>
      </c>
      <c r="R18" s="19">
        <f>(Gender!BM19/'Total Associates'!S19)*100</f>
        <v>64.709051724137936</v>
      </c>
      <c r="S18" s="19">
        <f>(Gender!BN19/'Total Associates'!T19)*100</f>
        <v>63.236289776574139</v>
      </c>
      <c r="T18" s="19">
        <f>(Gender!BO19/'Total Associates'!U19)*100</f>
        <v>62.74754683318465</v>
      </c>
      <c r="U18" s="19">
        <f>(Gender!BP19/'Total Associates'!V19)*100</f>
        <v>61.573909961006734</v>
      </c>
      <c r="V18" s="19">
        <f>(Gender!BQ19/'Total Associates'!W19)*100</f>
        <v>55.054339735000745</v>
      </c>
      <c r="W18" s="19">
        <f>(Gender!BR19/'Total Associates'!X19)*100</f>
        <v>59.465545713856784</v>
      </c>
      <c r="X18" s="19">
        <f>(Gender!BS19/'Total Associates'!Y19)*100</f>
        <v>61.388031171886496</v>
      </c>
      <c r="Y18" s="19">
        <f>(Gender!BT19/'Total Associates'!Z19)*100</f>
        <v>61.198143313025824</v>
      </c>
      <c r="Z18" s="19">
        <f>(Gender!BU19/'Total Associates'!AA19)*100</f>
        <v>64.707632792739176</v>
      </c>
      <c r="AA18" s="19">
        <f>(Gender!BV19/'Total Associates'!AB19)*100</f>
        <v>64.23512747875354</v>
      </c>
      <c r="AB18" s="19">
        <f>(Gender!BW19/'Total Associates'!AC19)*100</f>
        <v>64.745529573590105</v>
      </c>
      <c r="AC18" s="19">
        <f>(Gender!BX19/'Total Associates'!AD19)*100</f>
        <v>63.531073446327682</v>
      </c>
      <c r="AD18" s="19">
        <f>(Gender!BY19/'Total Associates'!AE19)*100</f>
        <v>62.106666666666669</v>
      </c>
      <c r="AE18" s="19">
        <f>(Gender!BZ19/'Total Associates'!AF19)*100</f>
        <v>61.909704203425008</v>
      </c>
      <c r="AF18" s="19">
        <f>(Gender!CA19/'Total Associates'!AG19)*100</f>
        <v>63.502109704641349</v>
      </c>
      <c r="AG18" s="19">
        <f>(Gender!CB19/'Total Associates'!AH19)*100</f>
        <v>63.166357452071743</v>
      </c>
      <c r="AH18" s="19">
        <f>(Gender!CC19/'Total Associates'!AI19)*100</f>
        <v>63.210967595739866</v>
      </c>
      <c r="AI18" s="19">
        <f>(Gender!CD19/'Total Associates'!AJ19)*100</f>
        <v>64.136035726554454</v>
      </c>
      <c r="AJ18" s="19">
        <f>(Gender!CE19/'Total Associates'!AK19)*100</f>
        <v>65.23127639847533</v>
      </c>
      <c r="AK18" s="19">
        <f>(Gender!CF19/'Total Associates'!AL19)*100</f>
        <v>65.556210691823907</v>
      </c>
      <c r="AL18" s="19">
        <f>(Gender!CG19/'Total Associates'!AM19)*100</f>
        <v>66.786253776435046</v>
      </c>
      <c r="AM18" s="19">
        <f>(Gender!CH19/'Total Associates'!AN19)*100</f>
        <v>66.26853377265239</v>
      </c>
      <c r="AN18" s="19">
        <f>(Gender!CI19/'Total Associates'!AO19)*100</f>
        <v>64.637146371463714</v>
      </c>
      <c r="AO18" s="19">
        <f>(Gender!CJ19/'Total Associates'!AP19)*100</f>
        <v>64.584905660377359</v>
      </c>
      <c r="AP18" s="19">
        <f>(Gender!CK19/'Total Associates'!AQ19)*100</f>
        <v>62.758454880589845</v>
      </c>
      <c r="AQ18" s="19">
        <f>(Gender!CL19/'Total Associates'!AR19)*100</f>
        <v>61.167700029524653</v>
      </c>
      <c r="AR18" s="19">
        <f>(Gender!CM19/'Total Associates'!AS19)*100</f>
        <v>61.534391534391531</v>
      </c>
      <c r="AS18" s="19" t="e">
        <f>(Gender!CN19/'Total Associates'!AT19)*100</f>
        <v>#DIV/0!</v>
      </c>
      <c r="AT18" s="19">
        <f>(Gender!CO19/'Total Associates'!AU19)*100</f>
        <v>62.010606769614732</v>
      </c>
      <c r="AU18" s="19">
        <f>(Gender!CP19/'Total Associates'!AV19)*100</f>
        <v>63.129632430797159</v>
      </c>
      <c r="AV18" s="19">
        <f>(Gender!CQ19/'Total Associates'!AW19)*100</f>
        <v>63.258219431104543</v>
      </c>
    </row>
    <row r="19" spans="1:48">
      <c r="A19" s="64" t="s">
        <v>26</v>
      </c>
      <c r="B19" s="19">
        <f>(Gender!AW20/'Total Associates'!C20)*100</f>
        <v>43.106280803740681</v>
      </c>
      <c r="C19" s="19">
        <f>(Gender!AX20/'Total Associates'!D20)*100</f>
        <v>42.390055364044713</v>
      </c>
      <c r="D19" s="19">
        <f>(Gender!AY20/'Total Associates'!E20)*100</f>
        <v>42.327803822574829</v>
      </c>
      <c r="E19" s="19">
        <f>(Gender!AZ20/'Total Associates'!F20)*100</f>
        <v>39.62797619047619</v>
      </c>
      <c r="F19" s="19">
        <f>(Gender!BA20/'Total Associates'!G20)*100</f>
        <v>42.314939434724089</v>
      </c>
      <c r="G19" s="19">
        <f>(Gender!BB20/'Total Associates'!H20)*100</f>
        <v>40.977965590099608</v>
      </c>
      <c r="H19" s="19">
        <f>(Gender!BC20/'Total Associates'!I20)*100</f>
        <v>43.779795686719638</v>
      </c>
      <c r="I19" s="19">
        <f>(Gender!BD20/'Total Associates'!J20)*100</f>
        <v>45.745029495302603</v>
      </c>
      <c r="J19" s="19">
        <f>(Gender!BE20/'Total Associates'!K20)*100</f>
        <v>48.3989864086616</v>
      </c>
      <c r="K19" s="19">
        <f>(Gender!BF20/'Total Associates'!L20)*100</f>
        <v>49.614809067228286</v>
      </c>
      <c r="L19" s="19">
        <f>(Gender!BG20/'Total Associates'!M20)*100</f>
        <v>50.408487461704297</v>
      </c>
      <c r="M19" s="19">
        <f>(Gender!BH20/'Total Associates'!N20)*100</f>
        <v>49.80001126697087</v>
      </c>
      <c r="N19" s="19">
        <f>(Gender!BI20/'Total Associates'!O20)*100</f>
        <v>51.12058655296137</v>
      </c>
      <c r="O19" s="19">
        <f>(Gender!BJ20/'Total Associates'!P20)*100</f>
        <v>52.350849466613994</v>
      </c>
      <c r="P19" s="19">
        <f>(Gender!BK20/'Total Associates'!Q20)*100</f>
        <v>52.195529947493149</v>
      </c>
      <c r="Q19" s="19">
        <f>(Gender!BL20/'Total Associates'!R20)*100</f>
        <v>54.771147855260004</v>
      </c>
      <c r="R19" s="19">
        <f>(Gender!BM20/'Total Associates'!S20)*100</f>
        <v>53.972905457340502</v>
      </c>
      <c r="S19" s="19">
        <f>(Gender!BN20/'Total Associates'!T20)*100</f>
        <v>51.785554461648623</v>
      </c>
      <c r="T19" s="19">
        <f>(Gender!BO20/'Total Associates'!U20)*100</f>
        <v>52.352290329718961</v>
      </c>
      <c r="U19" s="19">
        <f>(Gender!BP20/'Total Associates'!V20)*100</f>
        <v>54.204256810020148</v>
      </c>
      <c r="V19" s="19">
        <f>(Gender!BQ20/'Total Associates'!W20)*100</f>
        <v>58.835555968588814</v>
      </c>
      <c r="W19" s="19">
        <f>(Gender!BR20/'Total Associates'!X20)*100</f>
        <v>58.388272033310209</v>
      </c>
      <c r="X19" s="19">
        <f>(Gender!BS20/'Total Associates'!Y20)*100</f>
        <v>58.135784550878888</v>
      </c>
      <c r="Y19" s="19">
        <f>(Gender!BT20/'Total Associates'!Z20)*100</f>
        <v>58.157210997789591</v>
      </c>
      <c r="Z19" s="19">
        <f>(Gender!BU20/'Total Associates'!AA20)*100</f>
        <v>57.073643410852718</v>
      </c>
      <c r="AA19" s="19">
        <f>(Gender!BV20/'Total Associates'!AB20)*100</f>
        <v>57.544766903365243</v>
      </c>
      <c r="AB19" s="19">
        <f>(Gender!BW20/'Total Associates'!AC20)*100</f>
        <v>57.66626990031245</v>
      </c>
      <c r="AC19" s="19">
        <f>(Gender!BX20/'Total Associates'!AD20)*100</f>
        <v>56.325675531726027</v>
      </c>
      <c r="AD19" s="19">
        <f>(Gender!BY20/'Total Associates'!AE20)*100</f>
        <v>57.429957084539964</v>
      </c>
      <c r="AE19" s="19">
        <f>(Gender!BZ20/'Total Associates'!AF20)*100</f>
        <v>55.798935617860856</v>
      </c>
      <c r="AF19" s="19">
        <f>(Gender!CA20/'Total Associates'!AG20)*100</f>
        <v>54.416983523447406</v>
      </c>
      <c r="AG19" s="19">
        <f>(Gender!CB20/'Total Associates'!AH20)*100</f>
        <v>56.865948289403413</v>
      </c>
      <c r="AH19" s="19">
        <f>(Gender!CC20/'Total Associates'!AI20)*100</f>
        <v>57.201958797703476</v>
      </c>
      <c r="AI19" s="19">
        <f>(Gender!CD20/'Total Associates'!AJ20)*100</f>
        <v>58.846878021474737</v>
      </c>
      <c r="AJ19" s="19">
        <f>(Gender!CE20/'Total Associates'!AK20)*100</f>
        <v>59.251280578294796</v>
      </c>
      <c r="AK19" s="19">
        <f>(Gender!CF20/'Total Associates'!AL20)*100</f>
        <v>59.890373415553263</v>
      </c>
      <c r="AL19" s="19">
        <f>(Gender!CG20/'Total Associates'!AM20)*100</f>
        <v>59.962864365450443</v>
      </c>
      <c r="AM19" s="19">
        <f>(Gender!CH20/'Total Associates'!AN20)*100</f>
        <v>60.348398630823908</v>
      </c>
      <c r="AN19" s="19">
        <f>(Gender!CI20/'Total Associates'!AO20)*100</f>
        <v>59.938251001335118</v>
      </c>
      <c r="AO19" s="19">
        <f>(Gender!CJ20/'Total Associates'!AP20)*100</f>
        <v>60.154774015404733</v>
      </c>
      <c r="AP19" s="19">
        <f>(Gender!CK20/'Total Associates'!AQ20)*100</f>
        <v>59.721203228173145</v>
      </c>
      <c r="AQ19" s="19">
        <f>(Gender!CL20/'Total Associates'!AR20)*100</f>
        <v>60.265470958546139</v>
      </c>
      <c r="AR19" s="19">
        <f>(Gender!CM20/'Total Associates'!AS20)*100</f>
        <v>59.746402042711232</v>
      </c>
      <c r="AS19" s="19" t="e">
        <f>(Gender!CN20/'Total Associates'!AT20)*100</f>
        <v>#DIV/0!</v>
      </c>
      <c r="AT19" s="19">
        <f>(Gender!CO20/'Total Associates'!AU20)*100</f>
        <v>60.177236571745517</v>
      </c>
      <c r="AU19" s="19">
        <f>(Gender!CP20/'Total Associates'!AV20)*100</f>
        <v>60.279054762480847</v>
      </c>
      <c r="AV19" s="19">
        <f>(Gender!CQ20/'Total Associates'!AW20)*100</f>
        <v>60.352831940575669</v>
      </c>
    </row>
    <row r="20" spans="1:48">
      <c r="A20" s="64" t="s">
        <v>27</v>
      </c>
      <c r="B20" s="19">
        <f>(Gender!AW21/'Total Associates'!C21)*100</f>
        <v>52.631578947368418</v>
      </c>
      <c r="C20" s="19">
        <f>(Gender!AX21/'Total Associates'!D21)*100</f>
        <v>49.973361747469362</v>
      </c>
      <c r="D20" s="19">
        <f>(Gender!AY21/'Total Associates'!E21)*100</f>
        <v>41.886112986720683</v>
      </c>
      <c r="E20" s="19">
        <f>(Gender!AZ21/'Total Associates'!F21)*100</f>
        <v>42.6473190585737</v>
      </c>
      <c r="F20" s="19">
        <f>(Gender!BA21/'Total Associates'!G21)*100</f>
        <v>43.873393920401128</v>
      </c>
      <c r="G20" s="19">
        <f>(Gender!BB21/'Total Associates'!H21)*100</f>
        <v>46.292863762743281</v>
      </c>
      <c r="H20" s="19">
        <f>(Gender!BC21/'Total Associates'!I21)*100</f>
        <v>48.194362889019374</v>
      </c>
      <c r="I20" s="19">
        <f>(Gender!BD21/'Total Associates'!J21)*100</f>
        <v>50.201042442293378</v>
      </c>
      <c r="J20" s="19">
        <f>(Gender!BE21/'Total Associates'!K21)*100</f>
        <v>52.674157303370784</v>
      </c>
      <c r="K20" s="19">
        <f>(Gender!BF21/'Total Associates'!L21)*100</f>
        <v>55.170278637770899</v>
      </c>
      <c r="L20" s="19">
        <f>(Gender!BG21/'Total Associates'!M21)*100</f>
        <v>55.277572168763875</v>
      </c>
      <c r="M20" s="19">
        <f>(Gender!BH21/'Total Associates'!N21)*100</f>
        <v>55.688448074679108</v>
      </c>
      <c r="N20" s="19">
        <f>(Gender!BI21/'Total Associates'!O21)*100</f>
        <v>57.035770647027881</v>
      </c>
      <c r="O20" s="19">
        <f>(Gender!BJ21/'Total Associates'!P21)*100</f>
        <v>57.844584619514158</v>
      </c>
      <c r="P20" s="19">
        <f>(Gender!BK21/'Total Associates'!Q21)*100</f>
        <v>58.352526757891887</v>
      </c>
      <c r="Q20" s="19">
        <f>(Gender!BL21/'Total Associates'!R21)*100</f>
        <v>59.814733127481254</v>
      </c>
      <c r="R20" s="19">
        <f>(Gender!BM21/'Total Associates'!S21)*100</f>
        <v>59.755577660935053</v>
      </c>
      <c r="S20" s="19">
        <f>(Gender!BN21/'Total Associates'!T21)*100</f>
        <v>60.8154296875</v>
      </c>
      <c r="T20" s="19">
        <f>(Gender!BO21/'Total Associates'!U21)*100</f>
        <v>62.718472707717133</v>
      </c>
      <c r="U20" s="19">
        <f>(Gender!BP21/'Total Associates'!V21)*100</f>
        <v>63.989018858916211</v>
      </c>
      <c r="V20" s="19">
        <f>(Gender!BQ21/'Total Associates'!W21)*100</f>
        <v>63.750985027580775</v>
      </c>
      <c r="W20" s="19">
        <f>(Gender!BR21/'Total Associates'!X21)*100</f>
        <v>63.112480739599384</v>
      </c>
      <c r="X20" s="19">
        <f>(Gender!BS21/'Total Associates'!Y21)*100</f>
        <v>62.715011727912426</v>
      </c>
      <c r="Y20" s="19">
        <f>(Gender!BT21/'Total Associates'!Z21)*100</f>
        <v>63.012611341388123</v>
      </c>
      <c r="Z20" s="19">
        <f>(Gender!BU21/'Total Associates'!AA21)*100</f>
        <v>61.56037493107884</v>
      </c>
      <c r="AA20" s="19">
        <f>(Gender!BV21/'Total Associates'!AB21)*100</f>
        <v>62.311784329636644</v>
      </c>
      <c r="AB20" s="19">
        <f>(Gender!BW21/'Total Associates'!AC21)*100</f>
        <v>62.899347303332185</v>
      </c>
      <c r="AC20" s="19">
        <f>(Gender!BX21/'Total Associates'!AD21)*100</f>
        <v>61.592547020566002</v>
      </c>
      <c r="AD20" s="19">
        <f>(Gender!BY21/'Total Associates'!AE21)*100</f>
        <v>62.957393483709282</v>
      </c>
      <c r="AE20" s="19">
        <f>(Gender!BZ21/'Total Associates'!AF21)*100</f>
        <v>62.405426558831202</v>
      </c>
      <c r="AF20" s="19">
        <f>(Gender!CA21/'Total Associates'!AG21)*100</f>
        <v>62.632585637280471</v>
      </c>
      <c r="AG20" s="19">
        <f>(Gender!CB21/'Total Associates'!AH21)*100</f>
        <v>60.334557323541418</v>
      </c>
      <c r="AH20" s="19">
        <f>(Gender!CC21/'Total Associates'!AI21)*100</f>
        <v>60.507192644223636</v>
      </c>
      <c r="AI20" s="19">
        <f>(Gender!CD21/'Total Associates'!AJ21)*100</f>
        <v>61.032562125107113</v>
      </c>
      <c r="AJ20" s="19">
        <f>(Gender!CE21/'Total Associates'!AK21)*100</f>
        <v>62.416242294291081</v>
      </c>
      <c r="AK20" s="19">
        <f>(Gender!CF21/'Total Associates'!AL21)*100</f>
        <v>63.664227184587475</v>
      </c>
      <c r="AL20" s="19">
        <f>(Gender!CG21/'Total Associates'!AM21)*100</f>
        <v>63.773161808096305</v>
      </c>
      <c r="AM20" s="19">
        <f>(Gender!CH21/'Total Associates'!AN21)*100</f>
        <v>63.581329561527575</v>
      </c>
      <c r="AN20" s="19">
        <f>(Gender!CI21/'Total Associates'!AO21)*100</f>
        <v>63.093398689328154</v>
      </c>
      <c r="AO20" s="19">
        <f>(Gender!CJ21/'Total Associates'!AP21)*100</f>
        <v>61.820908519181458</v>
      </c>
      <c r="AP20" s="19">
        <f>(Gender!CK21/'Total Associates'!AQ21)*100</f>
        <v>62.679287397181007</v>
      </c>
      <c r="AQ20" s="19">
        <f>(Gender!CL21/'Total Associates'!AR21)*100</f>
        <v>61.632123363487153</v>
      </c>
      <c r="AR20" s="19">
        <f>(Gender!CM21/'Total Associates'!AS21)*100</f>
        <v>60.874791577804487</v>
      </c>
      <c r="AS20" s="19" t="e">
        <f>(Gender!CN21/'Total Associates'!AT21)*100</f>
        <v>#DIV/0!</v>
      </c>
      <c r="AT20" s="19">
        <f>(Gender!CO21/'Total Associates'!AU21)*100</f>
        <v>61.137199655631214</v>
      </c>
      <c r="AU20" s="19">
        <f>(Gender!CP21/'Total Associates'!AV21)*100</f>
        <v>61.791983441467977</v>
      </c>
      <c r="AV20" s="19">
        <f>(Gender!CQ21/'Total Associates'!AW21)*100</f>
        <v>61.487575970562702</v>
      </c>
    </row>
    <row r="21" spans="1:48">
      <c r="A21" s="64" t="s">
        <v>28</v>
      </c>
      <c r="B21" s="19">
        <f>(Gender!AW22/'Total Associates'!C22)*100</f>
        <v>52.284263959390863</v>
      </c>
      <c r="C21" s="19">
        <f>(Gender!AX22/'Total Associates'!D22)*100</f>
        <v>54.278074866310156</v>
      </c>
      <c r="D21" s="19">
        <f>(Gender!AY22/'Total Associates'!E22)*100</f>
        <v>56.371490280777536</v>
      </c>
      <c r="E21" s="19">
        <f>(Gender!AZ22/'Total Associates'!F22)*100</f>
        <v>58.349966733200262</v>
      </c>
      <c r="F21" s="19">
        <f>(Gender!BA22/'Total Associates'!G22)*100</f>
        <v>62.130177514792898</v>
      </c>
      <c r="G21" s="19">
        <f>(Gender!BB22/'Total Associates'!H22)*100</f>
        <v>60.675883256528415</v>
      </c>
      <c r="H21" s="19">
        <f>(Gender!BC22/'Total Associates'!I22)*100</f>
        <v>61.727133367399077</v>
      </c>
      <c r="I21" s="19">
        <f>(Gender!BD22/'Total Associates'!J22)*100</f>
        <v>60.117589416952477</v>
      </c>
      <c r="J21" s="19">
        <f>(Gender!BE22/'Total Associates'!K22)*100</f>
        <v>60.028517110266158</v>
      </c>
      <c r="K21" s="19">
        <f>(Gender!BF22/'Total Associates'!L22)*100</f>
        <v>62.00091785222579</v>
      </c>
      <c r="L21" s="19">
        <f>(Gender!BG22/'Total Associates'!M22)*100</f>
        <v>58.801341156747696</v>
      </c>
      <c r="M21" s="19">
        <f>(Gender!BH22/'Total Associates'!N22)*100</f>
        <v>63.693731594446781</v>
      </c>
      <c r="N21" s="19">
        <f>(Gender!BI22/'Total Associates'!O22)*100</f>
        <v>61.720599842146804</v>
      </c>
      <c r="O21" s="19">
        <f>(Gender!BJ22/'Total Associates'!P22)*100</f>
        <v>63.751483973090615</v>
      </c>
      <c r="P21" s="19">
        <f>(Gender!BK22/'Total Associates'!Q22)*100</f>
        <v>62.061784102742102</v>
      </c>
      <c r="Q21" s="19">
        <f>(Gender!BL22/'Total Associates'!R22)*100</f>
        <v>63.704765317090647</v>
      </c>
      <c r="R21" s="19">
        <f>(Gender!BM22/'Total Associates'!S22)*100</f>
        <v>65.158017947717511</v>
      </c>
      <c r="S21" s="19">
        <f>(Gender!BN22/'Total Associates'!T22)*100</f>
        <v>64.117403885903272</v>
      </c>
      <c r="T21" s="19">
        <f>(Gender!BO22/'Total Associates'!U22)*100</f>
        <v>61.325757575757578</v>
      </c>
      <c r="U21" s="19">
        <f>(Gender!BP22/'Total Associates'!V22)*100</f>
        <v>60.858852516719466</v>
      </c>
      <c r="V21" s="19">
        <f>(Gender!BQ22/'Total Associates'!W22)*100</f>
        <v>66.945288753799389</v>
      </c>
      <c r="W21" s="19">
        <f>(Gender!BR22/'Total Associates'!X22)*100</f>
        <v>65.929361398501612</v>
      </c>
      <c r="X21" s="19">
        <f>(Gender!BS22/'Total Associates'!Y22)*100</f>
        <v>65.844467283316206</v>
      </c>
      <c r="Y21" s="19">
        <f>(Gender!BT22/'Total Associates'!Z22)*100</f>
        <v>62.383798140770253</v>
      </c>
      <c r="Z21" s="19">
        <f>(Gender!BU22/'Total Associates'!AA22)*100</f>
        <v>61.971830985915489</v>
      </c>
      <c r="AA21" s="19">
        <f>(Gender!BV22/'Total Associates'!AB22)*100</f>
        <v>65.36273115220483</v>
      </c>
      <c r="AB21" s="19">
        <f>(Gender!BW22/'Total Associates'!AC22)*100</f>
        <v>62.526652452025587</v>
      </c>
      <c r="AC21" s="19">
        <f>(Gender!BX22/'Total Associates'!AD22)*100</f>
        <v>64.701850582590808</v>
      </c>
      <c r="AD21" s="19">
        <f>(Gender!BY22/'Total Associates'!AE22)*100</f>
        <v>66.117647058823522</v>
      </c>
      <c r="AE21" s="19">
        <f>(Gender!BZ22/'Total Associates'!AF22)*100</f>
        <v>64.250573958674977</v>
      </c>
      <c r="AF21" s="19">
        <f>(Gender!CA22/'Total Associates'!AG22)*100</f>
        <v>63.467387630956409</v>
      </c>
      <c r="AG21" s="19">
        <f>(Gender!CB22/'Total Associates'!AH22)*100</f>
        <v>64.490772385509231</v>
      </c>
      <c r="AH21" s="19">
        <f>(Gender!CC22/'Total Associates'!AI22)*100</f>
        <v>63.712686567164177</v>
      </c>
      <c r="AI21" s="19">
        <f>(Gender!CD22/'Total Associates'!AJ22)*100</f>
        <v>68.49659131682813</v>
      </c>
      <c r="AJ21" s="19">
        <f>(Gender!CE22/'Total Associates'!AK22)*100</f>
        <v>68.138041733547354</v>
      </c>
      <c r="AK21" s="19">
        <f>(Gender!CF22/'Total Associates'!AL22)*100</f>
        <v>66.909311495298752</v>
      </c>
      <c r="AL21" s="19">
        <f>(Gender!CG22/'Total Associates'!AM22)*100</f>
        <v>64.056654195617313</v>
      </c>
      <c r="AM21" s="19">
        <f>(Gender!CH22/'Total Associates'!AN22)*100</f>
        <v>66.050988553590003</v>
      </c>
      <c r="AN21" s="19">
        <f>(Gender!CI22/'Total Associates'!AO22)*100</f>
        <v>68.416927899686513</v>
      </c>
      <c r="AO21" s="19">
        <f>(Gender!CJ22/'Total Associates'!AP22)*100</f>
        <v>65.053898220105282</v>
      </c>
      <c r="AP21" s="19">
        <f>(Gender!CK22/'Total Associates'!AQ22)*100</f>
        <v>66.783129523334168</v>
      </c>
      <c r="AQ21" s="19">
        <f>(Gender!CL22/'Total Associates'!AR22)*100</f>
        <v>67.787114845938376</v>
      </c>
      <c r="AR21" s="19">
        <f>(Gender!CM22/'Total Associates'!AS22)*100</f>
        <v>67.37100737100738</v>
      </c>
      <c r="AS21" s="19" t="e">
        <f>(Gender!CN22/'Total Associates'!AT22)*100</f>
        <v>#DIV/0!</v>
      </c>
      <c r="AT21" s="19">
        <f>(Gender!CO22/'Total Associates'!AU22)*100</f>
        <v>65.317139001349517</v>
      </c>
      <c r="AU21" s="19">
        <f>(Gender!CP22/'Total Associates'!AV22)*100</f>
        <v>65.794907088781827</v>
      </c>
      <c r="AV21" s="19">
        <f>(Gender!CQ22/'Total Associates'!AW22)*100</f>
        <v>63.159117305458764</v>
      </c>
    </row>
    <row r="22" spans="1:48">
      <c r="A22" s="154" t="s">
        <v>185</v>
      </c>
      <c r="B22" s="155">
        <f>(Gender!AW23/'Total Associates'!C23)*100</f>
        <v>40.150305191348167</v>
      </c>
      <c r="C22" s="155">
        <f>(Gender!AX23/'Total Associates'!D23)*100</f>
        <v>40.305739897266022</v>
      </c>
      <c r="D22" s="155">
        <f>(Gender!AY23/'Total Associates'!E23)*100</f>
        <v>42.028360322095388</v>
      </c>
      <c r="E22" s="155">
        <f>(Gender!AZ23/'Total Associates'!F23)*100</f>
        <v>42.847295133254853</v>
      </c>
      <c r="F22" s="155">
        <f>(Gender!BA23/'Total Associates'!G23)*100</f>
        <v>44.697165681881678</v>
      </c>
      <c r="G22" s="155">
        <f>(Gender!BB23/'Total Associates'!H23)*100</f>
        <v>44.081099399809432</v>
      </c>
      <c r="H22" s="155">
        <f>(Gender!BC23/'Total Associates'!I23)*100</f>
        <v>46.536528231906694</v>
      </c>
      <c r="I22" s="155">
        <f>(Gender!BD23/'Total Associates'!J23)*100</f>
        <v>48.787222040792088</v>
      </c>
      <c r="J22" s="155">
        <f>(Gender!BE23/'Total Associates'!K23)*100</f>
        <v>50.813904196693514</v>
      </c>
      <c r="K22" s="155">
        <f>(Gender!BF23/'Total Associates'!L23)*100</f>
        <v>52.699234336245013</v>
      </c>
      <c r="L22" s="155">
        <f>(Gender!BG23/'Total Associates'!M23)*100</f>
        <v>53.691458894878707</v>
      </c>
      <c r="M22" s="155">
        <f>(Gender!BH23/'Total Associates'!N23)*100</f>
        <v>53.859240318389901</v>
      </c>
      <c r="N22" s="155">
        <f>(Gender!BI23/'Total Associates'!O23)*100</f>
        <v>53.510923214267393</v>
      </c>
      <c r="O22" s="155">
        <f>(Gender!BJ23/'Total Associates'!P23)*100</f>
        <v>53.76164343236821</v>
      </c>
      <c r="P22" s="155">
        <f>(Gender!BK23/'Total Associates'!Q23)*100</f>
        <v>53.536389394003471</v>
      </c>
      <c r="Q22" s="155">
        <f>(Gender!BL23/'Total Associates'!R23)*100</f>
        <v>54.120537066325667</v>
      </c>
      <c r="R22" s="155">
        <f>(Gender!BM23/'Total Associates'!S23)*100</f>
        <v>54.615524947550853</v>
      </c>
      <c r="S22" s="155">
        <f>(Gender!BN23/'Total Associates'!T23)*100</f>
        <v>55.304084380610405</v>
      </c>
      <c r="T22" s="155">
        <f>(Gender!BO23/'Total Associates'!U23)*100</f>
        <v>55.967214563449986</v>
      </c>
      <c r="U22" s="155">
        <f>(Gender!BP23/'Total Associates'!V23)*100</f>
        <v>56.525068177050549</v>
      </c>
      <c r="V22" s="155">
        <f>(Gender!BQ23/'Total Associates'!W23)*100</f>
        <v>58.377747851981113</v>
      </c>
      <c r="W22" s="155">
        <f>(Gender!BR23/'Total Associates'!X23)*100</f>
        <v>57.348341525093403</v>
      </c>
      <c r="X22" s="155">
        <f>(Gender!BS23/'Total Associates'!Y23)*100</f>
        <v>57.268007191868783</v>
      </c>
      <c r="Y22" s="155">
        <f>(Gender!BT23/'Total Associates'!Z23)*100</f>
        <v>58.331146910146749</v>
      </c>
      <c r="Z22" s="155">
        <f>(Gender!BU23/'Total Associates'!AA23)*100</f>
        <v>58.852542189618319</v>
      </c>
      <c r="AA22" s="155">
        <f>(Gender!BV23/'Total Associates'!AB23)*100</f>
        <v>59.436025439904796</v>
      </c>
      <c r="AB22" s="155">
        <f>(Gender!BW23/'Total Associates'!AC23)*100</f>
        <v>59.689370087328307</v>
      </c>
      <c r="AC22" s="155">
        <f>(Gender!BX23/'Total Associates'!AD23)*100</f>
        <v>59.07828983897835</v>
      </c>
      <c r="AD22" s="155">
        <f>(Gender!BY23/'Total Associates'!AE23)*100</f>
        <v>59.53086773114169</v>
      </c>
      <c r="AE22" s="155">
        <f>(Gender!BZ23/'Total Associates'!AF23)*100</f>
        <v>58.381199991938246</v>
      </c>
      <c r="AF22" s="155">
        <f>(Gender!CA23/'Total Associates'!AG23)*100</f>
        <v>58.439606013478482</v>
      </c>
      <c r="AG22" s="155">
        <f>(Gender!CB23/'Total Associates'!AH23)*100</f>
        <v>58.361892135281167</v>
      </c>
      <c r="AH22" s="155">
        <f>(Gender!CC23/'Total Associates'!AI23)*100</f>
        <v>59.187739009278751</v>
      </c>
      <c r="AI22" s="155">
        <f>(Gender!CD23/'Total Associates'!AJ23)*100</f>
        <v>59.708534464450736</v>
      </c>
      <c r="AJ22" s="155">
        <f>(Gender!CE23/'Total Associates'!AK23)*100</f>
        <v>60.292655682770182</v>
      </c>
      <c r="AK22" s="155">
        <f>(Gender!CF23/'Total Associates'!AL23)*100</f>
        <v>60.654014337318408</v>
      </c>
      <c r="AL22" s="155">
        <f>(Gender!CG23/'Total Associates'!AM23)*100</f>
        <v>60.671781486461555</v>
      </c>
      <c r="AM22" s="155">
        <f>(Gender!CH23/'Total Associates'!AN23)*100</f>
        <v>61.48705929287388</v>
      </c>
      <c r="AN22" s="155">
        <f>(Gender!CI23/'Total Associates'!AO23)*100</f>
        <v>61.374578719306697</v>
      </c>
      <c r="AO22" s="155">
        <f>(Gender!CJ23/'Total Associates'!AP23)*100</f>
        <v>61.695291050657794</v>
      </c>
      <c r="AP22" s="155">
        <f>(Gender!CK23/'Total Associates'!AQ23)*100</f>
        <v>59.737022872419431</v>
      </c>
      <c r="AQ22" s="155">
        <f>(Gender!CL23/'Total Associates'!AR23)*100</f>
        <v>60.959829415587727</v>
      </c>
      <c r="AR22" s="155">
        <f>(Gender!CM23/'Total Associates'!AS23)*100</f>
        <v>60.348442104406921</v>
      </c>
      <c r="AS22" s="155" t="e">
        <f>(Gender!CN23/'Total Associates'!AT23)*100</f>
        <v>#DIV/0!</v>
      </c>
      <c r="AT22" s="155">
        <f>(Gender!CO23/'Total Associates'!AU23)*100</f>
        <v>59.890170316658477</v>
      </c>
      <c r="AU22" s="155">
        <f>(Gender!CP23/'Total Associates'!AV23)*100</f>
        <v>60.070536002005085</v>
      </c>
      <c r="AV22" s="155">
        <f>(Gender!CQ23/'Total Associates'!AW23)*100</f>
        <v>59.994994130441683</v>
      </c>
    </row>
    <row r="23" spans="1:48" ht="7.5" customHeight="1">
      <c r="A23" s="153"/>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row>
    <row r="24" spans="1:48">
      <c r="A24" s="64" t="s">
        <v>112</v>
      </c>
      <c r="B24" s="19">
        <f>(Gender!AW25/'Total Associates'!C25)*100</f>
        <v>24.731182795698924</v>
      </c>
      <c r="C24" s="19">
        <f>(Gender!AX25/'Total Associates'!D25)*100</f>
        <v>27.27272727272727</v>
      </c>
      <c r="D24" s="19">
        <f>(Gender!AY25/'Total Associates'!E25)*100</f>
        <v>36.401673640167367</v>
      </c>
      <c r="E24" s="19">
        <f>(Gender!AZ25/'Total Associates'!F25)*100</f>
        <v>43.260188087774296</v>
      </c>
      <c r="F24" s="19">
        <f>(Gender!BA25/'Total Associates'!G25)*100</f>
        <v>43.07692307692308</v>
      </c>
      <c r="G24" s="19">
        <f>(Gender!BB25/'Total Associates'!H25)*100</f>
        <v>45.945945945945951</v>
      </c>
      <c r="H24" s="19">
        <f>(Gender!BC25/'Total Associates'!I25)*100</f>
        <v>46.633416458852864</v>
      </c>
      <c r="I24" s="19">
        <f>(Gender!BD25/'Total Associates'!J25)*100</f>
        <v>49.870801033591732</v>
      </c>
      <c r="J24" s="19">
        <f>(Gender!BE25/'Total Associates'!K25)*100</f>
        <v>48.96907216494845</v>
      </c>
      <c r="K24" s="19">
        <f>(Gender!BF25/'Total Associates'!L25)*100</f>
        <v>49.227373068432669</v>
      </c>
      <c r="L24" s="19">
        <f>(Gender!BG25/'Total Associates'!M25)*100</f>
        <v>49.8046875</v>
      </c>
      <c r="M24" s="19">
        <f>(Gender!BH25/'Total Associates'!N25)*100</f>
        <v>54.778156996587036</v>
      </c>
      <c r="N24" s="19">
        <f>(Gender!BI25/'Total Associates'!O25)*100</f>
        <v>54.585798816568044</v>
      </c>
      <c r="O24" s="19">
        <f>(Gender!BJ25/'Total Associates'!P25)*100</f>
        <v>52.577319587628871</v>
      </c>
      <c r="P24" s="19">
        <f>(Gender!BK25/'Total Associates'!Q25)*100</f>
        <v>57.283142389525366</v>
      </c>
      <c r="Q24" s="19">
        <f>(Gender!BL25/'Total Associates'!R25)*100</f>
        <v>57.580174927113703</v>
      </c>
      <c r="R24" s="19">
        <f>(Gender!BM25/'Total Associates'!S25)*100</f>
        <v>61.994609164420488</v>
      </c>
      <c r="S24" s="19">
        <f>(Gender!BN25/'Total Associates'!T25)*100</f>
        <v>58.698940998487139</v>
      </c>
      <c r="T24" s="19">
        <f>(Gender!BO25/'Total Associates'!U25)*100</f>
        <v>64.686468646864682</v>
      </c>
      <c r="U24" s="19">
        <f>(Gender!BP25/'Total Associates'!V25)*100</f>
        <v>62.189054726368155</v>
      </c>
      <c r="V24" s="19">
        <f>(Gender!BQ25/'Total Associates'!W25)*100</f>
        <v>62.106918238993714</v>
      </c>
      <c r="W24" s="19">
        <f>(Gender!BR25/'Total Associates'!X25)*100</f>
        <v>63.745019920318725</v>
      </c>
      <c r="X24" s="19">
        <f>(Gender!BS25/'Total Associates'!Y25)*100</f>
        <v>63.510638297872333</v>
      </c>
      <c r="Y24" s="19">
        <f>(Gender!BT25/'Total Associates'!Z25)*100</f>
        <v>60.179640718562879</v>
      </c>
      <c r="Z24" s="19">
        <f>(Gender!BU25/'Total Associates'!AA25)*100</f>
        <v>63.229166666666671</v>
      </c>
      <c r="AA24" s="19">
        <f>(Gender!BV25/'Total Associates'!AB25)*100</f>
        <v>60.978147762747135</v>
      </c>
      <c r="AB24" s="19">
        <f>(Gender!BW25/'Total Associates'!AC25)*100</f>
        <v>65.589155370177266</v>
      </c>
      <c r="AC24" s="19">
        <f>(Gender!BX25/'Total Associates'!AD25)*100</f>
        <v>61.869747899159663</v>
      </c>
      <c r="AD24" s="19">
        <f>(Gender!BY25/'Total Associates'!AE25)*100</f>
        <v>64.616935483870961</v>
      </c>
      <c r="AE24" s="19">
        <f>(Gender!BZ25/'Total Associates'!AF25)*100</f>
        <v>63.687150837988824</v>
      </c>
      <c r="AF24" s="19">
        <f>(Gender!CA25/'Total Associates'!AG25)*100</f>
        <v>64.412070759625394</v>
      </c>
      <c r="AG24" s="19">
        <f>(Gender!CB25/'Total Associates'!AH25)*100</f>
        <v>59.050772626931568</v>
      </c>
      <c r="AH24" s="19">
        <f>(Gender!CC25/'Total Associates'!AI25)*100</f>
        <v>62.394957983193279</v>
      </c>
      <c r="AI24" s="19">
        <f>(Gender!CD25/'Total Associates'!AJ25)*100</f>
        <v>64.401622718052749</v>
      </c>
      <c r="AJ24" s="19">
        <f>(Gender!CE25/'Total Associates'!AK25)*100</f>
        <v>65.984072810011369</v>
      </c>
      <c r="AK24" s="19">
        <f>(Gender!CF25/'Total Associates'!AL25)*100</f>
        <v>63.540669856459331</v>
      </c>
      <c r="AL24" s="19">
        <f>(Gender!CG25/'Total Associates'!AM25)*100</f>
        <v>62.945139557266607</v>
      </c>
      <c r="AM24" s="19">
        <f>(Gender!CH25/'Total Associates'!AN25)*100</f>
        <v>63.82153249272551</v>
      </c>
      <c r="AN24" s="19">
        <f>(Gender!CI25/'Total Associates'!AO25)*100</f>
        <v>63.563563563563562</v>
      </c>
      <c r="AO24" s="19">
        <f>(Gender!CJ25/'Total Associates'!AP25)*100</f>
        <v>64.043993231810489</v>
      </c>
      <c r="AP24" s="19">
        <f>(Gender!CK25/'Total Associates'!AQ25)*100</f>
        <v>63.164806303348655</v>
      </c>
      <c r="AQ24" s="19">
        <f>(Gender!CL25/'Total Associates'!AR25)*100</f>
        <v>65.885111371629549</v>
      </c>
      <c r="AR24" s="19">
        <f>(Gender!CM25/'Total Associates'!AS25)*100</f>
        <v>65.529010238907844</v>
      </c>
      <c r="AS24" s="19" t="e">
        <f>(Gender!CN25/'Total Associates'!AT25)*100</f>
        <v>#DIV/0!</v>
      </c>
      <c r="AT24" s="19">
        <f>(Gender!CO25/'Total Associates'!AU25)*100</f>
        <v>64.664723032069972</v>
      </c>
      <c r="AU24" s="19">
        <f>(Gender!CP25/'Total Associates'!AV25)*100</f>
        <v>65.306122448979593</v>
      </c>
      <c r="AV24" s="19">
        <f>(Gender!CQ25/'Total Associates'!AW25)*100</f>
        <v>62.158167036215815</v>
      </c>
    </row>
    <row r="25" spans="1:48">
      <c r="A25" s="64" t="s">
        <v>113</v>
      </c>
      <c r="B25" s="19">
        <f>(Gender!AW26/'Total Associates'!C26)*100</f>
        <v>38.983679525222556</v>
      </c>
      <c r="C25" s="19">
        <f>(Gender!AX26/'Total Associates'!D26)*100</f>
        <v>43.833439287984746</v>
      </c>
      <c r="D25" s="19">
        <f>(Gender!AY26/'Total Associates'!E26)*100</f>
        <v>44.357611753673019</v>
      </c>
      <c r="E25" s="19">
        <f>(Gender!AZ26/'Total Associates'!F26)*100</f>
        <v>43.740136770120991</v>
      </c>
      <c r="F25" s="19">
        <f>(Gender!BA26/'Total Associates'!G26)*100</f>
        <v>45.704714046422588</v>
      </c>
      <c r="G25" s="19">
        <f>(Gender!BB26/'Total Associates'!H26)*100</f>
        <v>41.542046999417366</v>
      </c>
      <c r="H25" s="19">
        <f>(Gender!BC26/'Total Associates'!I26)*100</f>
        <v>43.363499245852189</v>
      </c>
      <c r="I25" s="19">
        <f>(Gender!BD26/'Total Associates'!J26)*100</f>
        <v>45.761741122565866</v>
      </c>
      <c r="J25" s="19">
        <f>(Gender!BE26/'Total Associates'!K26)*100</f>
        <v>44.931864849729322</v>
      </c>
      <c r="K25" s="19">
        <f>(Gender!BF26/'Total Associates'!L26)*100</f>
        <v>51.344642118328508</v>
      </c>
      <c r="L25" s="19">
        <f>(Gender!BG26/'Total Associates'!M26)*100</f>
        <v>52.123552123552116</v>
      </c>
      <c r="M25" s="19">
        <f>(Gender!BH26/'Total Associates'!N26)*100</f>
        <v>51.5045871559633</v>
      </c>
      <c r="N25" s="19">
        <f>(Gender!BI26/'Total Associates'!O26)*100</f>
        <v>52.582846003898631</v>
      </c>
      <c r="O25" s="19">
        <f>(Gender!BJ26/'Total Associates'!P26)*100</f>
        <v>52.525429673798662</v>
      </c>
      <c r="P25" s="19">
        <f>(Gender!BK26/'Total Associates'!Q26)*100</f>
        <v>51.561152320165604</v>
      </c>
      <c r="Q25" s="19">
        <f>(Gender!BL26/'Total Associates'!R26)*100</f>
        <v>47.573982274297734</v>
      </c>
      <c r="R25" s="19">
        <f>(Gender!BM26/'Total Associates'!S26)*100</f>
        <v>54.384920634920633</v>
      </c>
      <c r="S25" s="19">
        <f>(Gender!BN26/'Total Associates'!T26)*100</f>
        <v>48.682766190998898</v>
      </c>
      <c r="T25" s="19">
        <f>(Gender!BO26/'Total Associates'!U26)*100</f>
        <v>47.300145938057405</v>
      </c>
      <c r="U25" s="19">
        <f>(Gender!BP26/'Total Associates'!V26)*100</f>
        <v>49.033170885080963</v>
      </c>
      <c r="V25" s="19">
        <f>(Gender!BQ26/'Total Associates'!W26)*100</f>
        <v>50.675898450379165</v>
      </c>
      <c r="W25" s="19">
        <f>(Gender!BR26/'Total Associates'!X26)*100</f>
        <v>52.641676505312873</v>
      </c>
      <c r="X25" s="19">
        <f>(Gender!BS26/'Total Associates'!Y26)*100</f>
        <v>52.85796766743649</v>
      </c>
      <c r="Y25" s="19">
        <f>(Gender!BT26/'Total Associates'!Z26)*100</f>
        <v>56.224249558563869</v>
      </c>
      <c r="Z25" s="19">
        <f>(Gender!BU26/'Total Associates'!AA26)*100</f>
        <v>57.688353649581437</v>
      </c>
      <c r="AA25" s="19">
        <f>(Gender!BV26/'Total Associates'!AB26)*100</f>
        <v>58.359931254603481</v>
      </c>
      <c r="AB25" s="19">
        <f>(Gender!BW26/'Total Associates'!AC26)*100</f>
        <v>55.962206776715895</v>
      </c>
      <c r="AC25" s="19">
        <f>(Gender!BX26/'Total Associates'!AD26)*100</f>
        <v>55.959333765952849</v>
      </c>
      <c r="AD25" s="19">
        <f>(Gender!BY26/'Total Associates'!AE26)*100</f>
        <v>56.119011976047908</v>
      </c>
      <c r="AE25" s="19">
        <f>(Gender!BZ26/'Total Associates'!AF26)*100</f>
        <v>54.034528054043903</v>
      </c>
      <c r="AF25" s="19">
        <f>(Gender!CA26/'Total Associates'!AG26)*100</f>
        <v>48.387580620968947</v>
      </c>
      <c r="AG25" s="19">
        <f>(Gender!CB26/'Total Associates'!AH26)*100</f>
        <v>49.638683886838869</v>
      </c>
      <c r="AH25" s="19">
        <f>(Gender!CC26/'Total Associates'!AI26)*100</f>
        <v>56.884238498588282</v>
      </c>
      <c r="AI25" s="19">
        <f>(Gender!CD26/'Total Associates'!AJ26)*100</f>
        <v>56.460593946316393</v>
      </c>
      <c r="AJ25" s="19">
        <f>(Gender!CE26/'Total Associates'!AK26)*100</f>
        <v>56.835029526322401</v>
      </c>
      <c r="AK25" s="19">
        <f>(Gender!CF26/'Total Associates'!AL26)*100</f>
        <v>59.013390601313795</v>
      </c>
      <c r="AL25" s="19">
        <f>(Gender!CG26/'Total Associates'!AM26)*100</f>
        <v>58.180760279286268</v>
      </c>
      <c r="AM25" s="19">
        <f>(Gender!CH26/'Total Associates'!AN26)*100</f>
        <v>61.665416354088521</v>
      </c>
      <c r="AN25" s="19">
        <f>(Gender!CI26/'Total Associates'!AO26)*100</f>
        <v>63.588277340957823</v>
      </c>
      <c r="AO25" s="19">
        <f>(Gender!CJ26/'Total Associates'!AP26)*100</f>
        <v>65.533990285634331</v>
      </c>
      <c r="AP25" s="19">
        <f>(Gender!CK26/'Total Associates'!AQ26)*100</f>
        <v>54.071742605915261</v>
      </c>
      <c r="AQ25" s="19">
        <f>(Gender!CL26/'Total Associates'!AR26)*100</f>
        <v>65.172413793103445</v>
      </c>
      <c r="AR25" s="19">
        <f>(Gender!CM26/'Total Associates'!AS26)*100</f>
        <v>63.638976127429849</v>
      </c>
      <c r="AS25" s="19" t="e">
        <f>(Gender!CN26/'Total Associates'!AT26)*100</f>
        <v>#DIV/0!</v>
      </c>
      <c r="AT25" s="19">
        <f>(Gender!CO26/'Total Associates'!AU26)*100</f>
        <v>61.154890938920417</v>
      </c>
      <c r="AU25" s="19">
        <f>(Gender!CP26/'Total Associates'!AV26)*100</f>
        <v>60.552809811458907</v>
      </c>
      <c r="AV25" s="19">
        <f>(Gender!CQ26/'Total Associates'!AW26)*100</f>
        <v>59.256218139518971</v>
      </c>
    </row>
    <row r="26" spans="1:48">
      <c r="A26" s="64" t="s">
        <v>114</v>
      </c>
      <c r="B26" s="19">
        <f>(Gender!AW27/'Total Associates'!C27)*100</f>
        <v>40.229697009358027</v>
      </c>
      <c r="C26" s="19">
        <f>(Gender!AX27/'Total Associates'!D27)*100</f>
        <v>40.126223634701006</v>
      </c>
      <c r="D26" s="19">
        <f>(Gender!AY27/'Total Associates'!E27)*100</f>
        <v>42.030714404361028</v>
      </c>
      <c r="E26" s="19">
        <f>(Gender!AZ27/'Total Associates'!F27)*100</f>
        <v>42.865161071148989</v>
      </c>
      <c r="F26" s="19">
        <f>(Gender!BA27/'Total Associates'!G27)*100</f>
        <v>44.528219655698408</v>
      </c>
      <c r="G26" s="19">
        <f>(Gender!BB27/'Total Associates'!H27)*100</f>
        <v>44.272617440125082</v>
      </c>
      <c r="H26" s="19">
        <f>(Gender!BC27/'Total Associates'!I27)*100</f>
        <v>46.776675786593707</v>
      </c>
      <c r="I26" s="19">
        <f>(Gender!BD27/'Total Associates'!J27)*100</f>
        <v>49.763338426050744</v>
      </c>
      <c r="J26" s="19">
        <f>(Gender!BE27/'Total Associates'!K27)*100</f>
        <v>52.182093677672881</v>
      </c>
      <c r="K26" s="19">
        <f>(Gender!BF27/'Total Associates'!L27)*100</f>
        <v>53.50472050533179</v>
      </c>
      <c r="L26" s="19">
        <f>(Gender!BG27/'Total Associates'!M27)*100</f>
        <v>54.968902336527151</v>
      </c>
      <c r="M26" s="19">
        <f>(Gender!BH27/'Total Associates'!N27)*100</f>
        <v>55.391081254430674</v>
      </c>
      <c r="N26" s="19">
        <f>(Gender!BI27/'Total Associates'!O27)*100</f>
        <v>55.247053886771333</v>
      </c>
      <c r="O26" s="19">
        <f>(Gender!BJ27/'Total Associates'!P27)*100</f>
        <v>55.670027631891962</v>
      </c>
      <c r="P26" s="19">
        <f>(Gender!BK27/'Total Associates'!Q27)*100</f>
        <v>55.421250067958169</v>
      </c>
      <c r="Q26" s="19">
        <f>(Gender!BL27/'Total Associates'!R27)*100</f>
        <v>56.970105547011606</v>
      </c>
      <c r="R26" s="19">
        <f>(Gender!BM27/'Total Associates'!S27)*100</f>
        <v>56.296549952914987</v>
      </c>
      <c r="S26" s="19">
        <f>(Gender!BN27/'Total Associates'!T27)*100</f>
        <v>57.383744184577814</v>
      </c>
      <c r="T26" s="19">
        <f>(Gender!BO27/'Total Associates'!U27)*100</f>
        <v>57.617976592111283</v>
      </c>
      <c r="U26" s="19">
        <f>(Gender!BP27/'Total Associates'!V27)*100</f>
        <v>58.875354166235802</v>
      </c>
      <c r="V26" s="19">
        <f>(Gender!BQ27/'Total Associates'!W27)*100</f>
        <v>60.694027360694022</v>
      </c>
      <c r="W26" s="19">
        <f>(Gender!BR27/'Total Associates'!X27)*100</f>
        <v>58.840175067914281</v>
      </c>
      <c r="X26" s="19">
        <f>(Gender!BS27/'Total Associates'!Y27)*100</f>
        <v>58.018212404915161</v>
      </c>
      <c r="Y26" s="19">
        <f>(Gender!BT27/'Total Associates'!Z27)*100</f>
        <v>59.459028307070561</v>
      </c>
      <c r="Z26" s="19">
        <f>(Gender!BU27/'Total Associates'!AA27)*100</f>
        <v>59.737533676016064</v>
      </c>
      <c r="AA26" s="19">
        <f>(Gender!BV27/'Total Associates'!AB27)*100</f>
        <v>60.341325290080327</v>
      </c>
      <c r="AB26" s="19">
        <f>(Gender!BW27/'Total Associates'!AC27)*100</f>
        <v>60.908057749779019</v>
      </c>
      <c r="AC26" s="19">
        <f>(Gender!BX27/'Total Associates'!AD27)*100</f>
        <v>59.970845481049565</v>
      </c>
      <c r="AD26" s="19">
        <f>(Gender!BY27/'Total Associates'!AE27)*100</f>
        <v>60.63854519153773</v>
      </c>
      <c r="AE26" s="19">
        <f>(Gender!BZ27/'Total Associates'!AF27)*100</f>
        <v>60.336906584992342</v>
      </c>
      <c r="AF26" s="19">
        <f>(Gender!CA27/'Total Associates'!AG27)*100</f>
        <v>61.101323803291898</v>
      </c>
      <c r="AG26" s="19">
        <f>(Gender!CB27/'Total Associates'!AH27)*100</f>
        <v>60.924604258452185</v>
      </c>
      <c r="AH26" s="19">
        <f>(Gender!CC27/'Total Associates'!AI27)*100</f>
        <v>61.539059636339402</v>
      </c>
      <c r="AI26" s="19">
        <f>(Gender!CD27/'Total Associates'!AJ27)*100</f>
        <v>62.066574202496525</v>
      </c>
      <c r="AJ26" s="19">
        <f>(Gender!CE27/'Total Associates'!AK27)*100</f>
        <v>62.400336616785523</v>
      </c>
      <c r="AK26" s="19">
        <f>(Gender!CF27/'Total Associates'!AL27)*100</f>
        <v>62.294693023606925</v>
      </c>
      <c r="AL26" s="19">
        <f>(Gender!CG27/'Total Associates'!AM27)*100</f>
        <v>62.205497040617139</v>
      </c>
      <c r="AM26" s="19">
        <f>(Gender!CH27/'Total Associates'!AN27)*100</f>
        <v>62.2832697660035</v>
      </c>
      <c r="AN26" s="19">
        <f>(Gender!CI27/'Total Associates'!AO27)*100</f>
        <v>61.87227822273654</v>
      </c>
      <c r="AO26" s="19">
        <f>(Gender!CJ27/'Total Associates'!AP27)*100</f>
        <v>61.403077044226364</v>
      </c>
      <c r="AP26" s="19">
        <f>(Gender!CK27/'Total Associates'!AQ27)*100</f>
        <v>61.638564072056667</v>
      </c>
      <c r="AQ26" s="19">
        <f>(Gender!CL27/'Total Associates'!AR27)*100</f>
        <v>60.841553906591002</v>
      </c>
      <c r="AR26" s="19">
        <f>(Gender!CM27/'Total Associates'!AS27)*100</f>
        <v>60.442491110298761</v>
      </c>
      <c r="AS26" s="19" t="e">
        <f>(Gender!CN27/'Total Associates'!AT27)*100</f>
        <v>#DIV/0!</v>
      </c>
      <c r="AT26" s="19">
        <f>(Gender!CO27/'Total Associates'!AU27)*100</f>
        <v>59.986192302208487</v>
      </c>
      <c r="AU26" s="19">
        <f>(Gender!CP27/'Total Associates'!AV27)*100</f>
        <v>60.418409458479729</v>
      </c>
      <c r="AV26" s="19">
        <f>(Gender!CQ27/'Total Associates'!AW27)*100</f>
        <v>60.48522048561734</v>
      </c>
    </row>
    <row r="27" spans="1:48">
      <c r="A27" s="64" t="s">
        <v>115</v>
      </c>
      <c r="B27" s="19">
        <f>(Gender!AW28/'Total Associates'!C28)*100</f>
        <v>36.640060813378945</v>
      </c>
      <c r="C27" s="19">
        <f>(Gender!AX28/'Total Associates'!D28)*100</f>
        <v>40.859504132231407</v>
      </c>
      <c r="D27" s="19">
        <f>(Gender!AY28/'Total Associates'!E28)*100</f>
        <v>42.143765903307887</v>
      </c>
      <c r="E27" s="19">
        <f>(Gender!AZ28/'Total Associates'!F28)*100</f>
        <v>41.005967604433081</v>
      </c>
      <c r="F27" s="19">
        <f>(Gender!BA28/'Total Associates'!G28)*100</f>
        <v>41.861126920887877</v>
      </c>
      <c r="G27" s="19">
        <f>(Gender!BB28/'Total Associates'!H28)*100</f>
        <v>38.408393039918117</v>
      </c>
      <c r="H27" s="19">
        <f>(Gender!BC28/'Total Associates'!I28)*100</f>
        <v>39.580451821115723</v>
      </c>
      <c r="I27" s="19">
        <f>(Gender!BD28/'Total Associates'!J28)*100</f>
        <v>39.294605809128633</v>
      </c>
      <c r="J27" s="19">
        <f>(Gender!BE28/'Total Associates'!K28)*100</f>
        <v>40.821152192605332</v>
      </c>
      <c r="K27" s="19">
        <f>(Gender!BF28/'Total Associates'!L28)*100</f>
        <v>46.49438202247191</v>
      </c>
      <c r="L27" s="19">
        <f>(Gender!BG28/'Total Associates'!M28)*100</f>
        <v>44.612982377871965</v>
      </c>
      <c r="M27" s="19">
        <f>(Gender!BH28/'Total Associates'!N28)*100</f>
        <v>47.638648180242633</v>
      </c>
      <c r="N27" s="19">
        <f>(Gender!BI28/'Total Associates'!O28)*100</f>
        <v>45.802678739860404</v>
      </c>
      <c r="O27" s="19">
        <f>(Gender!BJ28/'Total Associates'!P28)*100</f>
        <v>47.827736672358185</v>
      </c>
      <c r="P27" s="19">
        <f>(Gender!BK28/'Total Associates'!Q28)*100</f>
        <v>47.717287488061125</v>
      </c>
      <c r="Q27" s="19">
        <f>(Gender!BL28/'Total Associates'!R28)*100</f>
        <v>47.444149943203335</v>
      </c>
      <c r="R27" s="19">
        <f>(Gender!BM28/'Total Associates'!S28)*100</f>
        <v>47.689367616400283</v>
      </c>
      <c r="S27" s="19">
        <f>(Gender!BN28/'Total Associates'!T28)*100</f>
        <v>48.70386266094421</v>
      </c>
      <c r="T27" s="19">
        <f>(Gender!BO28/'Total Associates'!U28)*100</f>
        <v>52.246340232205959</v>
      </c>
      <c r="U27" s="19">
        <f>(Gender!BP28/'Total Associates'!V28)*100</f>
        <v>50.390625</v>
      </c>
      <c r="V27" s="19">
        <f>(Gender!BQ28/'Total Associates'!W28)*100</f>
        <v>55.086808372545839</v>
      </c>
      <c r="W27" s="19">
        <f>(Gender!BR28/'Total Associates'!X28)*100</f>
        <v>54.832566259323912</v>
      </c>
      <c r="X27" s="19">
        <f>(Gender!BS28/'Total Associates'!Y28)*100</f>
        <v>56.974896727041624</v>
      </c>
      <c r="Y27" s="19">
        <f>(Gender!BT28/'Total Associates'!Z28)*100</f>
        <v>57.545211977468128</v>
      </c>
      <c r="Z27" s="19">
        <f>(Gender!BU28/'Total Associates'!AA28)*100</f>
        <v>57.517182130584189</v>
      </c>
      <c r="AA27" s="19">
        <f>(Gender!BV28/'Total Associates'!AB28)*100</f>
        <v>59.048280653004511</v>
      </c>
      <c r="AB27" s="19">
        <f>(Gender!BW28/'Total Associates'!AC28)*100</f>
        <v>57.907149950347566</v>
      </c>
      <c r="AC27" s="19">
        <f>(Gender!BX28/'Total Associates'!AD28)*100</f>
        <v>57.241467467723382</v>
      </c>
      <c r="AD27" s="19">
        <f>(Gender!BY28/'Total Associates'!AE28)*100</f>
        <v>57.729620763512656</v>
      </c>
      <c r="AE27" s="19">
        <f>(Gender!BZ28/'Total Associates'!AF28)*100</f>
        <v>55.945595854922281</v>
      </c>
      <c r="AF27" s="19">
        <f>(Gender!CA28/'Total Associates'!AG28)*100</f>
        <v>57.040841894262087</v>
      </c>
      <c r="AG27" s="19">
        <f>(Gender!CB28/'Total Associates'!AH28)*100</f>
        <v>57.317979197622584</v>
      </c>
      <c r="AH27" s="19">
        <f>(Gender!CC28/'Total Associates'!AI28)*100</f>
        <v>58.069977426636562</v>
      </c>
      <c r="AI27" s="19">
        <f>(Gender!CD28/'Total Associates'!AJ28)*100</f>
        <v>60.128650193996322</v>
      </c>
      <c r="AJ27" s="19">
        <f>(Gender!CE28/'Total Associates'!AK28)*100</f>
        <v>59.859011033919089</v>
      </c>
      <c r="AK27" s="19">
        <f>(Gender!CF28/'Total Associates'!AL28)*100</f>
        <v>60.362882322446865</v>
      </c>
      <c r="AL27" s="19">
        <f>(Gender!CG28/'Total Associates'!AM28)*100</f>
        <v>60.07334148238693</v>
      </c>
      <c r="AM27" s="19">
        <f>(Gender!CH28/'Total Associates'!AN28)*100</f>
        <v>62.019787859880559</v>
      </c>
      <c r="AN27" s="19">
        <f>(Gender!CI28/'Total Associates'!AO28)*100</f>
        <v>60.125103106956281</v>
      </c>
      <c r="AO27" s="19">
        <f>(Gender!CJ28/'Total Associates'!AP28)*100</f>
        <v>62.857339197361185</v>
      </c>
      <c r="AP27" s="19">
        <f>(Gender!CK28/'Total Associates'!AQ28)*100</f>
        <v>59.078590785907856</v>
      </c>
      <c r="AQ27" s="19">
        <f>(Gender!CL28/'Total Associates'!AR28)*100</f>
        <v>59.17754886852137</v>
      </c>
      <c r="AR27" s="19">
        <f>(Gender!CM28/'Total Associates'!AS28)*100</f>
        <v>57.379780386217341</v>
      </c>
      <c r="AS27" s="19" t="e">
        <f>(Gender!CN28/'Total Associates'!AT28)*100</f>
        <v>#DIV/0!</v>
      </c>
      <c r="AT27" s="19">
        <f>(Gender!CO28/'Total Associates'!AU28)*100</f>
        <v>57.801275324884983</v>
      </c>
      <c r="AU27" s="19">
        <f>(Gender!CP28/'Total Associates'!AV28)*100</f>
        <v>59.690420144090162</v>
      </c>
      <c r="AV27" s="19">
        <f>(Gender!CQ28/'Total Associates'!AW28)*100</f>
        <v>59.755826859045499</v>
      </c>
    </row>
    <row r="28" spans="1:48">
      <c r="A28" s="64" t="s">
        <v>117</v>
      </c>
      <c r="B28" s="19">
        <f>(Gender!AW29/'Total Associates'!C29)*100</f>
        <v>46.122026887280249</v>
      </c>
      <c r="C28" s="19">
        <f>(Gender!AX29/'Total Associates'!D29)*100</f>
        <v>44.102564102564102</v>
      </c>
      <c r="D28" s="19">
        <f>(Gender!AY29/'Total Associates'!E29)*100</f>
        <v>45.032051282051285</v>
      </c>
      <c r="E28" s="19">
        <f>(Gender!AZ29/'Total Associates'!F29)*100</f>
        <v>42.046250875963558</v>
      </c>
      <c r="F28" s="19">
        <f>(Gender!BA29/'Total Associates'!G29)*100</f>
        <v>45.190562613430131</v>
      </c>
      <c r="G28" s="19">
        <f>(Gender!BB29/'Total Associates'!H29)*100</f>
        <v>46.813069094804497</v>
      </c>
      <c r="H28" s="19">
        <f>(Gender!BC29/'Total Associates'!I29)*100</f>
        <v>46.811740890688256</v>
      </c>
      <c r="I28" s="19">
        <f>(Gender!BD29/'Total Associates'!J29)*100</f>
        <v>43.931930138826694</v>
      </c>
      <c r="J28" s="19">
        <f>(Gender!BE29/'Total Associates'!K29)*100</f>
        <v>42.900042900042898</v>
      </c>
      <c r="K28" s="19">
        <f>(Gender!BF29/'Total Associates'!L29)*100</f>
        <v>46.039833256137101</v>
      </c>
      <c r="L28" s="19">
        <f>(Gender!BG29/'Total Associates'!M29)*100</f>
        <v>46.962616822429908</v>
      </c>
      <c r="M28" s="19">
        <f>(Gender!BH29/'Total Associates'!N29)*100</f>
        <v>46.873652436394998</v>
      </c>
      <c r="N28" s="19">
        <f>(Gender!BI29/'Total Associates'!O29)*100</f>
        <v>45.581014729950901</v>
      </c>
      <c r="O28" s="19">
        <f>(Gender!BJ29/'Total Associates'!P29)*100</f>
        <v>47.563897763578275</v>
      </c>
      <c r="P28" s="19">
        <f>(Gender!BK29/'Total Associates'!Q29)*100</f>
        <v>46.369922212618839</v>
      </c>
      <c r="Q28" s="19">
        <f>(Gender!BL29/'Total Associates'!R29)*100</f>
        <v>47.709451093685509</v>
      </c>
      <c r="R28" s="19">
        <f>(Gender!BM29/'Total Associates'!S29)*100</f>
        <v>50.085106382978729</v>
      </c>
      <c r="S28" s="19">
        <f>(Gender!BN29/'Total Associates'!T29)*100</f>
        <v>50.801212646167173</v>
      </c>
      <c r="T28" s="19">
        <f>(Gender!BO29/'Total Associates'!U29)*100</f>
        <v>53.066037735849058</v>
      </c>
      <c r="U28" s="19">
        <f>(Gender!BP29/'Total Associates'!V29)*100</f>
        <v>55.273698264352468</v>
      </c>
      <c r="V28" s="19">
        <f>(Gender!BQ29/'Total Associates'!W29)*100</f>
        <v>56.797583081570998</v>
      </c>
      <c r="W28" s="19">
        <f>(Gender!BR29/'Total Associates'!X29)*100</f>
        <v>54.744525547445257</v>
      </c>
      <c r="X28" s="19">
        <f>(Gender!BS29/'Total Associates'!Y29)*100</f>
        <v>56.461232604373755</v>
      </c>
      <c r="Y28" s="19">
        <f>(Gender!BT29/'Total Associates'!Z29)*100</f>
        <v>56.670849017147638</v>
      </c>
      <c r="Z28" s="19">
        <f>(Gender!BU29/'Total Associates'!AA29)*100</f>
        <v>55.886049434436536</v>
      </c>
      <c r="AA28" s="19">
        <f>(Gender!BV29/'Total Associates'!AB29)*100</f>
        <v>56.733630952380956</v>
      </c>
      <c r="AB28" s="19">
        <f>(Gender!BW29/'Total Associates'!AC29)*100</f>
        <v>58.072916666666664</v>
      </c>
      <c r="AC28" s="19">
        <f>(Gender!BX29/'Total Associates'!AD29)*100</f>
        <v>55.247181266261926</v>
      </c>
      <c r="AD28" s="19">
        <f>(Gender!BY29/'Total Associates'!AE29)*100</f>
        <v>56.130711393869291</v>
      </c>
      <c r="AE28" s="19">
        <f>(Gender!BZ29/'Total Associates'!AF29)*100</f>
        <v>54.40906307409675</v>
      </c>
      <c r="AF28" s="19">
        <f>(Gender!CA29/'Total Associates'!AG29)*100</f>
        <v>53.423831070889896</v>
      </c>
      <c r="AG28" s="19">
        <f>(Gender!CB29/'Total Associates'!AH29)*100</f>
        <v>55.364158355998796</v>
      </c>
      <c r="AH28" s="19">
        <f>(Gender!CC29/'Total Associates'!AI29)*100</f>
        <v>53.004005340453944</v>
      </c>
      <c r="AI28" s="19">
        <f>(Gender!CD29/'Total Associates'!AJ29)*100</f>
        <v>56.923918992884516</v>
      </c>
      <c r="AJ28" s="19">
        <f>(Gender!CE29/'Total Associates'!AK29)*100</f>
        <v>58.428279287174988</v>
      </c>
      <c r="AK28" s="19">
        <f>(Gender!CF29/'Total Associates'!AL29)*100</f>
        <v>58.707865168539328</v>
      </c>
      <c r="AL28" s="19">
        <f>(Gender!CG29/'Total Associates'!AM29)*100</f>
        <v>58.635525507068223</v>
      </c>
      <c r="AM28" s="19">
        <f>(Gender!CH29/'Total Associates'!AN29)*100</f>
        <v>58.056265984654729</v>
      </c>
      <c r="AN28" s="19">
        <f>(Gender!CI29/'Total Associates'!AO29)*100</f>
        <v>58.335920521577144</v>
      </c>
      <c r="AO28" s="19">
        <f>(Gender!CJ29/'Total Associates'!AP29)*100</f>
        <v>58.874458874458881</v>
      </c>
      <c r="AP28" s="19">
        <f>(Gender!CK29/'Total Associates'!AQ29)*100</f>
        <v>58.629845990440785</v>
      </c>
      <c r="AQ28" s="19">
        <f>(Gender!CL29/'Total Associates'!AR29)*100</f>
        <v>58.966420576327693</v>
      </c>
      <c r="AR28" s="19">
        <f>(Gender!CM29/'Total Associates'!AS29)*100</f>
        <v>58.473421172194463</v>
      </c>
      <c r="AS28" s="19" t="e">
        <f>(Gender!CN29/'Total Associates'!AT29)*100</f>
        <v>#DIV/0!</v>
      </c>
      <c r="AT28" s="19">
        <f>(Gender!CO29/'Total Associates'!AU29)*100</f>
        <v>58.839467148340482</v>
      </c>
      <c r="AU28" s="19">
        <f>(Gender!CP29/'Total Associates'!AV29)*100</f>
        <v>56.158389849048348</v>
      </c>
      <c r="AV28" s="19">
        <f>(Gender!CQ29/'Total Associates'!AW29)*100</f>
        <v>57.434860736747531</v>
      </c>
    </row>
    <row r="29" spans="1:48">
      <c r="A29" s="64" t="s">
        <v>119</v>
      </c>
      <c r="B29" s="19">
        <f>(Gender!AW30/'Total Associates'!C30)*100</f>
        <v>56.751652502360713</v>
      </c>
      <c r="C29" s="19">
        <f>(Gender!AX30/'Total Associates'!D30)*100</f>
        <v>55.444305381727155</v>
      </c>
      <c r="D29" s="19">
        <f>(Gender!AY30/'Total Associates'!E30)*100</f>
        <v>58.088235294117652</v>
      </c>
      <c r="E29" s="19">
        <f>(Gender!AZ30/'Total Associates'!F30)*100</f>
        <v>62.361623616236159</v>
      </c>
      <c r="F29" s="19">
        <f>(Gender!BA30/'Total Associates'!G30)*100</f>
        <v>59.222661396574438</v>
      </c>
      <c r="G29" s="19">
        <f>(Gender!BB30/'Total Associates'!H30)*100</f>
        <v>62.451108213820085</v>
      </c>
      <c r="H29" s="19">
        <f>(Gender!BC30/'Total Associates'!I30)*100</f>
        <v>64.232673267326732</v>
      </c>
      <c r="I29" s="19">
        <f>(Gender!BD30/'Total Associates'!J30)*100</f>
        <v>66.082265677680368</v>
      </c>
      <c r="J29" s="19">
        <f>(Gender!BE30/'Total Associates'!K30)*100</f>
        <v>64.576457645764577</v>
      </c>
      <c r="K29" s="19">
        <f>(Gender!BF30/'Total Associates'!L30)*100</f>
        <v>59.706959706959708</v>
      </c>
      <c r="L29" s="19">
        <f>(Gender!BG30/'Total Associates'!M30)*100</f>
        <v>60.694789081885858</v>
      </c>
      <c r="M29" s="19">
        <f>(Gender!BH30/'Total Associates'!N30)*100</f>
        <v>58.541458541458546</v>
      </c>
      <c r="N29" s="19">
        <f>(Gender!BI30/'Total Associates'!O30)*100</f>
        <v>54.395824969891613</v>
      </c>
      <c r="O29" s="19">
        <f>(Gender!BJ30/'Total Associates'!P30)*100</f>
        <v>55.409073284218692</v>
      </c>
      <c r="P29" s="19">
        <f>(Gender!BK30/'Total Associates'!Q30)*100</f>
        <v>50.598431696244326</v>
      </c>
      <c r="Q29" s="19">
        <f>(Gender!BL30/'Total Associates'!R30)*100</f>
        <v>55.390659100829332</v>
      </c>
      <c r="R29" s="19">
        <f>(Gender!BM30/'Total Associates'!S30)*100</f>
        <v>58.51110143665651</v>
      </c>
      <c r="S29" s="19">
        <f>(Gender!BN30/'Total Associates'!T30)*100</f>
        <v>56.730769230769226</v>
      </c>
      <c r="T29" s="19">
        <f>(Gender!BO30/'Total Associates'!U30)*100</f>
        <v>57.937427578215527</v>
      </c>
      <c r="U29" s="19">
        <f>(Gender!BP30/'Total Associates'!V30)*100</f>
        <v>57.703927492447129</v>
      </c>
      <c r="V29" s="19">
        <f>(Gender!BQ30/'Total Associates'!W30)*100</f>
        <v>59.897337183188959</v>
      </c>
      <c r="W29" s="19">
        <f>(Gender!BR30/'Total Associates'!X30)*100</f>
        <v>59.081097748997848</v>
      </c>
      <c r="X29" s="19">
        <f>(Gender!BS30/'Total Associates'!Y30)*100</f>
        <v>60.29909706546276</v>
      </c>
      <c r="Y29" s="19">
        <f>(Gender!BT30/'Total Associates'!Z30)*100</f>
        <v>59.218289085545727</v>
      </c>
      <c r="Z29" s="19">
        <f>(Gender!BU30/'Total Associates'!AA30)*100</f>
        <v>62.186079885194935</v>
      </c>
      <c r="AA29" s="19">
        <f>(Gender!BV30/'Total Associates'!AB30)*100</f>
        <v>62.13683223992502</v>
      </c>
      <c r="AB29" s="19">
        <f>(Gender!BW30/'Total Associates'!AC30)*100</f>
        <v>59.864738805970156</v>
      </c>
      <c r="AC29" s="19">
        <f>(Gender!BX30/'Total Associates'!AD30)*100</f>
        <v>58.492047908894563</v>
      </c>
      <c r="AD29" s="19">
        <f>(Gender!BY30/'Total Associates'!AE30)*100</f>
        <v>58.935854653318501</v>
      </c>
      <c r="AE29" s="19">
        <f>(Gender!BZ30/'Total Associates'!AF30)*100</f>
        <v>58.432539682539684</v>
      </c>
      <c r="AF29" s="19">
        <f>(Gender!CA30/'Total Associates'!AG30)*100</f>
        <v>59.708931419457734</v>
      </c>
      <c r="AG29" s="19">
        <f>(Gender!CB30/'Total Associates'!AH30)*100</f>
        <v>59.938904647610734</v>
      </c>
      <c r="AH29" s="19">
        <f>(Gender!CC30/'Total Associates'!AI30)*100</f>
        <v>61.524212754697004</v>
      </c>
      <c r="AI29" s="19">
        <f>(Gender!CD30/'Total Associates'!AJ30)*100</f>
        <v>62.664222425908953</v>
      </c>
      <c r="AJ29" s="19">
        <f>(Gender!CE30/'Total Associates'!AK30)*100</f>
        <v>63.468171840702411</v>
      </c>
      <c r="AK29" s="19">
        <f>(Gender!CF30/'Total Associates'!AL30)*100</f>
        <v>68.221859706362153</v>
      </c>
      <c r="AL29" s="19">
        <f>(Gender!CG30/'Total Associates'!AM30)*100</f>
        <v>66.078098471986408</v>
      </c>
      <c r="AM29" s="19">
        <f>(Gender!CH30/'Total Associates'!AN30)*100</f>
        <v>67.715458276333777</v>
      </c>
      <c r="AN29" s="19">
        <f>(Gender!CI30/'Total Associates'!AO30)*100</f>
        <v>66.597201548079781</v>
      </c>
      <c r="AO29" s="19">
        <f>(Gender!CJ30/'Total Associates'!AP30)*100</f>
        <v>65.644699140401144</v>
      </c>
      <c r="AP29" s="19">
        <f>(Gender!CK30/'Total Associates'!AQ30)*100</f>
        <v>64.429701454452669</v>
      </c>
      <c r="AQ29" s="19">
        <f>(Gender!CL30/'Total Associates'!AR30)*100</f>
        <v>62.489878542510127</v>
      </c>
      <c r="AR29" s="19">
        <f>(Gender!CM30/'Total Associates'!AS30)*100</f>
        <v>62.443595973620269</v>
      </c>
      <c r="AS29" s="19" t="e">
        <f>(Gender!CN30/'Total Associates'!AT30)*100</f>
        <v>#DIV/0!</v>
      </c>
      <c r="AT29" s="19">
        <f>(Gender!CO30/'Total Associates'!AU30)*100</f>
        <v>65.314440993788821</v>
      </c>
      <c r="AU29" s="19">
        <f>(Gender!CP30/'Total Associates'!AV30)*100</f>
        <v>64.835361488904795</v>
      </c>
      <c r="AV29" s="19">
        <f>(Gender!CQ30/'Total Associates'!AW30)*100</f>
        <v>65.122410546139363</v>
      </c>
    </row>
    <row r="30" spans="1:48">
      <c r="A30" s="64" t="s">
        <v>128</v>
      </c>
      <c r="B30" s="19">
        <f>(Gender!AW31/'Total Associates'!C31)*100</f>
        <v>45.867768595041326</v>
      </c>
      <c r="C30" s="19">
        <f>(Gender!AX31/'Total Associates'!D31)*100</f>
        <v>42.372881355932201</v>
      </c>
      <c r="D30" s="19">
        <f>(Gender!AY31/'Total Associates'!E31)*100</f>
        <v>44.021739130434781</v>
      </c>
      <c r="E30" s="19">
        <f>(Gender!AZ31/'Total Associates'!F31)*100</f>
        <v>53.46534653465347</v>
      </c>
      <c r="F30" s="19">
        <f>(Gender!BA31/'Total Associates'!G31)*100</f>
        <v>50.135501355013545</v>
      </c>
      <c r="G30" s="19">
        <f>(Gender!BB31/'Total Associates'!H31)*100</f>
        <v>46.783625730994146</v>
      </c>
      <c r="H30" s="19">
        <f>(Gender!BC31/'Total Associates'!I31)*100</f>
        <v>48.558758314855879</v>
      </c>
      <c r="I30" s="19">
        <f>(Gender!BD31/'Total Associates'!J31)*100</f>
        <v>50.614754098360656</v>
      </c>
      <c r="J30" s="19">
        <f>(Gender!BE31/'Total Associates'!K31)*100</f>
        <v>52.155172413793103</v>
      </c>
      <c r="K30" s="19">
        <f>(Gender!BF31/'Total Associates'!L31)*100</f>
        <v>56.000000000000007</v>
      </c>
      <c r="L30" s="19">
        <f>(Gender!BG31/'Total Associates'!M31)*100</f>
        <v>52.621722846441941</v>
      </c>
      <c r="M30" s="19">
        <f>(Gender!BH31/'Total Associates'!N31)*100</f>
        <v>55.667144906743182</v>
      </c>
      <c r="N30" s="19">
        <f>(Gender!BI31/'Total Associates'!O31)*100</f>
        <v>55.384615384615387</v>
      </c>
      <c r="O30" s="19">
        <f>(Gender!BJ31/'Total Associates'!P31)*100</f>
        <v>55.523672883787654</v>
      </c>
      <c r="P30" s="19">
        <f>(Gender!BK31/'Total Associates'!Q31)*100</f>
        <v>56.328233657858142</v>
      </c>
      <c r="Q30" s="19">
        <f>(Gender!BL31/'Total Associates'!R31)*100</f>
        <v>60.030165912518854</v>
      </c>
      <c r="R30" s="19">
        <f>(Gender!BM31/'Total Associates'!S31)*100</f>
        <v>61.03542234332425</v>
      </c>
      <c r="S30" s="19">
        <f>(Gender!BN31/'Total Associates'!T31)*100</f>
        <v>58.263305322128858</v>
      </c>
      <c r="T30" s="19">
        <f>(Gender!BO31/'Total Associates'!U31)*100</f>
        <v>63.982430453879942</v>
      </c>
      <c r="U30" s="19">
        <f>(Gender!BP31/'Total Associates'!V31)*100</f>
        <v>68.286445012787723</v>
      </c>
      <c r="V30" s="19">
        <f>(Gender!BQ31/'Total Associates'!W31)*100</f>
        <v>67.865168539325836</v>
      </c>
      <c r="W30" s="19">
        <f>(Gender!BR31/'Total Associates'!X31)*100</f>
        <v>68.969422423556054</v>
      </c>
      <c r="X30" s="19">
        <f>(Gender!BS31/'Total Associates'!Y31)*100</f>
        <v>71.161048689138568</v>
      </c>
      <c r="Y30" s="19">
        <f>(Gender!BT31/'Total Associates'!Z31)*100</f>
        <v>69.156159068865179</v>
      </c>
      <c r="Z30" s="19">
        <f>(Gender!BU31/'Total Associates'!AA31)*100</f>
        <v>62.30248306997742</v>
      </c>
      <c r="AA30" s="19">
        <f>(Gender!BV31/'Total Associates'!AB31)*100</f>
        <v>66.21621621621621</v>
      </c>
      <c r="AB30" s="19">
        <f>(Gender!BW31/'Total Associates'!AC31)*100</f>
        <v>65.139584824624194</v>
      </c>
      <c r="AC30" s="19">
        <f>(Gender!BX31/'Total Associates'!AD31)*100</f>
        <v>64.320388349514573</v>
      </c>
      <c r="AD30" s="19">
        <f>(Gender!BY31/'Total Associates'!AE31)*100</f>
        <v>61.088709677419352</v>
      </c>
      <c r="AE30" s="19">
        <f>(Gender!BZ31/'Total Associates'!AF31)*100</f>
        <v>61.267605633802816</v>
      </c>
      <c r="AF30" s="19">
        <f>(Gender!CA31/'Total Associates'!AG31)*100</f>
        <v>61.454792658055744</v>
      </c>
      <c r="AG30" s="19">
        <f>(Gender!CB31/'Total Associates'!AH31)*100</f>
        <v>61.780104712041883</v>
      </c>
      <c r="AH30" s="19">
        <f>(Gender!CC31/'Total Associates'!AI31)*100</f>
        <v>61.224489795918366</v>
      </c>
      <c r="AI30" s="19">
        <f>(Gender!CD31/'Total Associates'!AJ31)*100</f>
        <v>60.629486471562679</v>
      </c>
      <c r="AJ30" s="19">
        <f>(Gender!CE31/'Total Associates'!AK31)*100</f>
        <v>64.141414141414145</v>
      </c>
      <c r="AK30" s="19">
        <f>(Gender!CF31/'Total Associates'!AL31)*100</f>
        <v>64.695945945945937</v>
      </c>
      <c r="AL30" s="19">
        <f>(Gender!CG31/'Total Associates'!AM31)*100</f>
        <v>64.893617021276597</v>
      </c>
      <c r="AM30" s="19">
        <f>(Gender!CH31/'Total Associates'!AN31)*100</f>
        <v>60.399750156152407</v>
      </c>
      <c r="AN30" s="19">
        <f>(Gender!CI31/'Total Associates'!AO31)*100</f>
        <v>63.987730061349687</v>
      </c>
      <c r="AO30" s="19">
        <f>(Gender!CJ31/'Total Associates'!AP31)*100</f>
        <v>64.240687679083095</v>
      </c>
      <c r="AP30" s="19">
        <f>(Gender!CK31/'Total Associates'!AQ31)*100</f>
        <v>60.932944606413997</v>
      </c>
      <c r="AQ30" s="19">
        <f>(Gender!CL31/'Total Associates'!AR31)*100</f>
        <v>60.532994923857864</v>
      </c>
      <c r="AR30" s="19">
        <f>(Gender!CM31/'Total Associates'!AS31)*100</f>
        <v>61.585365853658537</v>
      </c>
      <c r="AS30" s="19" t="e">
        <f>(Gender!CN31/'Total Associates'!AT31)*100</f>
        <v>#DIV/0!</v>
      </c>
      <c r="AT30" s="19">
        <f>(Gender!CO31/'Total Associates'!AU31)*100</f>
        <v>63.50423899878885</v>
      </c>
      <c r="AU30" s="19">
        <f>(Gender!CP31/'Total Associates'!AV31)*100</f>
        <v>61.522017956391615</v>
      </c>
      <c r="AV30" s="19">
        <f>(Gender!CQ31/'Total Associates'!AW31)*100</f>
        <v>61.987522281639926</v>
      </c>
    </row>
    <row r="31" spans="1:48">
      <c r="A31" s="64" t="s">
        <v>135</v>
      </c>
      <c r="B31" s="19">
        <f>(Gender!AW32/'Total Associates'!C32)*100</f>
        <v>47.916666666666671</v>
      </c>
      <c r="C31" s="19">
        <f>(Gender!AX32/'Total Associates'!D32)*100</f>
        <v>49.738219895287962</v>
      </c>
      <c r="D31" s="19">
        <f>(Gender!AY32/'Total Associates'!E32)*100</f>
        <v>49.789029535864984</v>
      </c>
      <c r="E31" s="19">
        <f>(Gender!AZ32/'Total Associates'!F32)*100</f>
        <v>42.577030812324928</v>
      </c>
      <c r="F31" s="19">
        <f>(Gender!BA32/'Total Associates'!G32)*100</f>
        <v>45.990566037735846</v>
      </c>
      <c r="G31" s="19">
        <f>(Gender!BB32/'Total Associates'!H32)*100</f>
        <v>37.56805807622505</v>
      </c>
      <c r="H31" s="19">
        <f>(Gender!BC32/'Total Associates'!I32)*100</f>
        <v>39.703153988868273</v>
      </c>
      <c r="I31" s="19">
        <f>(Gender!BD32/'Total Associates'!J32)*100</f>
        <v>35.646687697160885</v>
      </c>
      <c r="J31" s="19">
        <f>(Gender!BE32/'Total Associates'!K32)*100</f>
        <v>38.407821229050285</v>
      </c>
      <c r="K31" s="19">
        <f>(Gender!BF32/'Total Associates'!L32)*100</f>
        <v>44.329896907216494</v>
      </c>
      <c r="L31" s="19">
        <f>(Gender!BG32/'Total Associates'!M32)*100</f>
        <v>45.241809672386893</v>
      </c>
      <c r="M31" s="19">
        <f>(Gender!BH32/'Total Associates'!N32)*100</f>
        <v>51.285347043701805</v>
      </c>
      <c r="N31" s="19">
        <f>(Gender!BI32/'Total Associates'!O32)*100</f>
        <v>49.39626783754116</v>
      </c>
      <c r="O31" s="19">
        <f>(Gender!BJ32/'Total Associates'!P32)*100</f>
        <v>51.582867783985101</v>
      </c>
      <c r="P31" s="19">
        <f>(Gender!BK32/'Total Associates'!Q32)*100</f>
        <v>52.858683926645092</v>
      </c>
      <c r="Q31" s="19">
        <f>(Gender!BL32/'Total Associates'!R32)*100</f>
        <v>56.944444444444443</v>
      </c>
      <c r="R31" s="19">
        <f>(Gender!BM32/'Total Associates'!S32)*100</f>
        <v>55.203619909502265</v>
      </c>
      <c r="S31" s="19">
        <f>(Gender!BN32/'Total Associates'!T32)*100</f>
        <v>59.043173862310383</v>
      </c>
      <c r="T31" s="19">
        <f>(Gender!BO32/'Total Associates'!U32)*100</f>
        <v>61.24293785310735</v>
      </c>
      <c r="U31" s="19">
        <f>(Gender!BP32/'Total Associates'!V32)*100</f>
        <v>57.850368809272922</v>
      </c>
      <c r="V31" s="19">
        <f>(Gender!BQ32/'Total Associates'!W32)*100</f>
        <v>63.770977295162879</v>
      </c>
      <c r="W31" s="19">
        <f>(Gender!BR32/'Total Associates'!X32)*100</f>
        <v>60.119555935098198</v>
      </c>
      <c r="X31" s="19">
        <f>(Gender!BS32/'Total Associates'!Y32)*100</f>
        <v>60.106788710907701</v>
      </c>
      <c r="Y31" s="19">
        <f>(Gender!BT32/'Total Associates'!Z32)*100</f>
        <v>61.930501930501933</v>
      </c>
      <c r="Z31" s="19">
        <f>(Gender!BU32/'Total Associates'!AA32)*100</f>
        <v>62.154500354358611</v>
      </c>
      <c r="AA31" s="19">
        <f>(Gender!BV32/'Total Associates'!AB32)*100</f>
        <v>62.526315789473685</v>
      </c>
      <c r="AB31" s="19">
        <f>(Gender!BW32/'Total Associates'!AC32)*100</f>
        <v>64.382785956964895</v>
      </c>
      <c r="AC31" s="19">
        <f>(Gender!BX32/'Total Associates'!AD32)*100</f>
        <v>64.859813084112147</v>
      </c>
      <c r="AD31" s="19">
        <f>(Gender!BY32/'Total Associates'!AE32)*100</f>
        <v>66.702644360496492</v>
      </c>
      <c r="AE31" s="19">
        <f>(Gender!BZ32/'Total Associates'!AF32)*100</f>
        <v>62.474849094567411</v>
      </c>
      <c r="AF31" s="19">
        <f>(Gender!CA32/'Total Associates'!AG32)*100</f>
        <v>61.044362292051758</v>
      </c>
      <c r="AG31" s="19">
        <f>(Gender!CB32/'Total Associates'!AH32)*100</f>
        <v>62.834448160535118</v>
      </c>
      <c r="AH31" s="19">
        <f>(Gender!CC32/'Total Associates'!AI32)*100</f>
        <v>60.626757734029738</v>
      </c>
      <c r="AI31" s="19">
        <f>(Gender!CD32/'Total Associates'!AJ32)*100</f>
        <v>63.370473537604454</v>
      </c>
      <c r="AJ31" s="19">
        <f>(Gender!CE32/'Total Associates'!AK32)*100</f>
        <v>61.248454882571082</v>
      </c>
      <c r="AK31" s="19">
        <f>(Gender!CF32/'Total Associates'!AL32)*100</f>
        <v>61.939492166396533</v>
      </c>
      <c r="AL31" s="19">
        <f>(Gender!CG32/'Total Associates'!AM32)*100</f>
        <v>61.596752368064955</v>
      </c>
      <c r="AM31" s="19">
        <f>(Gender!CH32/'Total Associates'!AN32)*100</f>
        <v>61.815519765739381</v>
      </c>
      <c r="AN31" s="19">
        <f>(Gender!CI32/'Total Associates'!AO32)*100</f>
        <v>59.209809264305179</v>
      </c>
      <c r="AO31" s="19">
        <f>(Gender!CJ32/'Total Associates'!AP32)*100</f>
        <v>58.816056910569102</v>
      </c>
      <c r="AP31" s="19">
        <f>(Gender!CK32/'Total Associates'!AQ32)*100</f>
        <v>61.156694016409844</v>
      </c>
      <c r="AQ31" s="19">
        <f>(Gender!CL32/'Total Associates'!AR32)*100</f>
        <v>60.504672897196265</v>
      </c>
      <c r="AR31" s="19">
        <f>(Gender!CM32/'Total Associates'!AS32)*100</f>
        <v>59.426763446863951</v>
      </c>
      <c r="AS31" s="19" t="e">
        <f>(Gender!CN32/'Total Associates'!AT32)*100</f>
        <v>#DIV/0!</v>
      </c>
      <c r="AT31" s="19">
        <f>(Gender!CO32/'Total Associates'!AU32)*100</f>
        <v>59.135170820267369</v>
      </c>
      <c r="AU31" s="19">
        <f>(Gender!CP32/'Total Associates'!AV32)*100</f>
        <v>61.604067574216828</v>
      </c>
      <c r="AV31" s="19">
        <f>(Gender!CQ32/'Total Associates'!AW32)*100</f>
        <v>61.663154482087855</v>
      </c>
    </row>
    <row r="32" spans="1:48">
      <c r="A32" s="64" t="s">
        <v>134</v>
      </c>
      <c r="B32" s="19">
        <f>(Gender!AW33/'Total Associates'!C33)*100</f>
        <v>43.303571428571431</v>
      </c>
      <c r="C32" s="19">
        <f>(Gender!AX33/'Total Associates'!D33)*100</f>
        <v>47.717842323651453</v>
      </c>
      <c r="D32" s="19">
        <f>(Gender!AY33/'Total Associates'!E33)*100</f>
        <v>52.027027027027032</v>
      </c>
      <c r="E32" s="19">
        <f>(Gender!AZ33/'Total Associates'!F33)*100</f>
        <v>48.826291079812208</v>
      </c>
      <c r="F32" s="19">
        <f>(Gender!BA33/'Total Associates'!G33)*100</f>
        <v>49.148694665153236</v>
      </c>
      <c r="G32" s="19">
        <f>(Gender!BB33/'Total Associates'!H33)*100</f>
        <v>52.210526315789473</v>
      </c>
      <c r="H32" s="19">
        <f>(Gender!BC33/'Total Associates'!I33)*100</f>
        <v>50.142993326978072</v>
      </c>
      <c r="I32" s="19">
        <f>(Gender!BD33/'Total Associates'!J33)*100</f>
        <v>55.059760956175296</v>
      </c>
      <c r="J32" s="19">
        <f>(Gender!BE33/'Total Associates'!K33)*100</f>
        <v>52.184273232724387</v>
      </c>
      <c r="K32" s="19">
        <f>(Gender!BF33/'Total Associates'!L33)*100</f>
        <v>56.493506493506494</v>
      </c>
      <c r="L32" s="19">
        <f>(Gender!BG33/'Total Associates'!M33)*100</f>
        <v>55.976243504083143</v>
      </c>
      <c r="M32" s="19">
        <f>(Gender!BH33/'Total Associates'!N33)*100</f>
        <v>55.683355886332883</v>
      </c>
      <c r="N32" s="19">
        <f>(Gender!BI33/'Total Associates'!O33)*100</f>
        <v>51.315789473684212</v>
      </c>
      <c r="O32" s="19">
        <f>(Gender!BJ33/'Total Associates'!P33)*100</f>
        <v>51.806588735387884</v>
      </c>
      <c r="P32" s="19">
        <f>(Gender!BK33/'Total Associates'!Q33)*100</f>
        <v>54.561101549053362</v>
      </c>
      <c r="Q32" s="19">
        <f>(Gender!BL33/'Total Associates'!R33)*100</f>
        <v>56.942102304665539</v>
      </c>
      <c r="R32" s="19">
        <f>(Gender!BM33/'Total Associates'!S33)*100</f>
        <v>58.154020385050963</v>
      </c>
      <c r="S32" s="19">
        <f>(Gender!BN33/'Total Associates'!T33)*100</f>
        <v>60.511363636363633</v>
      </c>
      <c r="T32" s="19">
        <f>(Gender!BO33/'Total Associates'!U33)*100</f>
        <v>62.485276796230863</v>
      </c>
      <c r="U32" s="19">
        <f>(Gender!BP33/'Total Associates'!V33)*100</f>
        <v>61.955193482688387</v>
      </c>
      <c r="V32" s="19">
        <f>(Gender!BQ33/'Total Associates'!W33)*100</f>
        <v>62.081484469544165</v>
      </c>
      <c r="W32" s="19">
        <f>(Gender!BR33/'Total Associates'!X33)*100</f>
        <v>60.681976339596375</v>
      </c>
      <c r="X32" s="19">
        <f>(Gender!BS33/'Total Associates'!Y33)*100</f>
        <v>60.392417692051879</v>
      </c>
      <c r="Y32" s="19">
        <f>(Gender!BT33/'Total Associates'!Z33)*100</f>
        <v>58.988580750407827</v>
      </c>
      <c r="Z32" s="19">
        <f>(Gender!BU33/'Total Associates'!AA33)*100</f>
        <v>63.960939884040279</v>
      </c>
      <c r="AA32" s="19">
        <f>(Gender!BV33/'Total Associates'!AB33)*100</f>
        <v>62.485615650172612</v>
      </c>
      <c r="AB32" s="19">
        <f>(Gender!BW33/'Total Associates'!AC33)*100</f>
        <v>61.926983255558611</v>
      </c>
      <c r="AC32" s="19">
        <f>(Gender!BX33/'Total Associates'!AD33)*100</f>
        <v>63.813340967649587</v>
      </c>
      <c r="AD32" s="19">
        <f>(Gender!BY33/'Total Associates'!AE33)*100</f>
        <v>63.479230554781154</v>
      </c>
      <c r="AE32" s="19">
        <f>(Gender!BZ33/'Total Associates'!AF33)*100</f>
        <v>60.005286809410521</v>
      </c>
      <c r="AF32" s="19">
        <f>(Gender!CA33/'Total Associates'!AG33)*100</f>
        <v>62.858926342072408</v>
      </c>
      <c r="AG32" s="19">
        <f>(Gender!CB33/'Total Associates'!AH33)*100</f>
        <v>63.21533138142135</v>
      </c>
      <c r="AH32" s="19">
        <f>(Gender!CC33/'Total Associates'!AI33)*100</f>
        <v>63.962800309997412</v>
      </c>
      <c r="AI32" s="19">
        <f>(Gender!CD33/'Total Associates'!AJ33)*100</f>
        <v>62.701943338796539</v>
      </c>
      <c r="AJ32" s="19">
        <f>(Gender!CE33/'Total Associates'!AK33)*100</f>
        <v>65.925925925925924</v>
      </c>
      <c r="AK32" s="19">
        <f>(Gender!CF33/'Total Associates'!AL33)*100</f>
        <v>65.811443697821218</v>
      </c>
      <c r="AL32" s="19">
        <f>(Gender!CG33/'Total Associates'!AM33)*100</f>
        <v>65.634674922600624</v>
      </c>
      <c r="AM32" s="19">
        <f>(Gender!CH33/'Total Associates'!AN33)*100</f>
        <v>65.426479319216298</v>
      </c>
      <c r="AN32" s="19">
        <f>(Gender!CI33/'Total Associates'!AO33)*100</f>
        <v>65.974693554764727</v>
      </c>
      <c r="AO32" s="19">
        <f>(Gender!CJ33/'Total Associates'!AP33)*100</f>
        <v>63.430357491697599</v>
      </c>
      <c r="AP32" s="19">
        <f>(Gender!CK33/'Total Associates'!AQ33)*100</f>
        <v>63.110500610500608</v>
      </c>
      <c r="AQ32" s="19">
        <f>(Gender!CL33/'Total Associates'!AR33)*100</f>
        <v>61.953560773122327</v>
      </c>
      <c r="AR32" s="19">
        <f>(Gender!CM33/'Total Associates'!AS33)*100</f>
        <v>65.104574432390123</v>
      </c>
      <c r="AS32" s="19" t="e">
        <f>(Gender!CN33/'Total Associates'!AT33)*100</f>
        <v>#DIV/0!</v>
      </c>
      <c r="AT32" s="19">
        <f>(Gender!CO33/'Total Associates'!AU33)*100</f>
        <v>63.67606569828159</v>
      </c>
      <c r="AU32" s="19">
        <f>(Gender!CP33/'Total Associates'!AV33)*100</f>
        <v>63.020667726550087</v>
      </c>
      <c r="AV32" s="19">
        <f>(Gender!CQ33/'Total Associates'!AW33)*100</f>
        <v>63.947594912498808</v>
      </c>
    </row>
    <row r="33" spans="1:48">
      <c r="A33" s="64" t="s">
        <v>138</v>
      </c>
      <c r="B33" s="19">
        <f>(Gender!AW34/'Total Associates'!C34)*100</f>
        <v>29.137931034482762</v>
      </c>
      <c r="C33" s="19">
        <f>(Gender!AX34/'Total Associates'!D34)*100</f>
        <v>30.107889413351312</v>
      </c>
      <c r="D33" s="19">
        <f>(Gender!AY34/'Total Associates'!E34)*100</f>
        <v>33.786776336602344</v>
      </c>
      <c r="E33" s="19">
        <f>(Gender!AZ34/'Total Associates'!F34)*100</f>
        <v>35.484857754665036</v>
      </c>
      <c r="F33" s="19">
        <f>(Gender!BA34/'Total Associates'!G34)*100</f>
        <v>40.239778665846906</v>
      </c>
      <c r="G33" s="19">
        <f>(Gender!BB34/'Total Associates'!H34)*100</f>
        <v>39.243498817966902</v>
      </c>
      <c r="H33" s="19">
        <f>(Gender!BC34/'Total Associates'!I34)*100</f>
        <v>43.41317365269461</v>
      </c>
      <c r="I33" s="19">
        <f>(Gender!BD34/'Total Associates'!J34)*100</f>
        <v>44.110854503464203</v>
      </c>
      <c r="J33" s="19">
        <f>(Gender!BE34/'Total Associates'!K34)*100</f>
        <v>47.153110047846894</v>
      </c>
      <c r="K33" s="19">
        <f>(Gender!BF34/'Total Associates'!L34)*100</f>
        <v>48.895976447497546</v>
      </c>
      <c r="L33" s="19">
        <f>(Gender!BG34/'Total Associates'!M34)*100</f>
        <v>49.47783708517057</v>
      </c>
      <c r="M33" s="19">
        <f>(Gender!BH34/'Total Associates'!N34)*100</f>
        <v>49.038461538461533</v>
      </c>
      <c r="N33" s="19">
        <f>(Gender!BI34/'Total Associates'!O34)*100</f>
        <v>47.733792312105564</v>
      </c>
      <c r="O33" s="19">
        <f>(Gender!BJ34/'Total Associates'!P34)*100</f>
        <v>46.624228395061728</v>
      </c>
      <c r="P33" s="19">
        <f>(Gender!BK34/'Total Associates'!Q34)*100</f>
        <v>46.810160946286601</v>
      </c>
      <c r="Q33" s="19">
        <f>(Gender!BL34/'Total Associates'!R34)*100</f>
        <v>47.249589490968802</v>
      </c>
      <c r="R33" s="19">
        <f>(Gender!BM34/'Total Associates'!S34)*100</f>
        <v>49.090520008559814</v>
      </c>
      <c r="S33" s="19">
        <f>(Gender!BN34/'Total Associates'!T34)*100</f>
        <v>50.632386481443078</v>
      </c>
      <c r="T33" s="19">
        <f>(Gender!BO34/'Total Associates'!U34)*100</f>
        <v>50.987432675044886</v>
      </c>
      <c r="U33" s="19">
        <f>(Gender!BP34/'Total Associates'!V34)*100</f>
        <v>53.742923044663449</v>
      </c>
      <c r="V33" s="19">
        <f>(Gender!BQ34/'Total Associates'!W34)*100</f>
        <v>54.438480594549951</v>
      </c>
      <c r="W33" s="19">
        <f>(Gender!BR34/'Total Associates'!X34)*100</f>
        <v>54.54545454545454</v>
      </c>
      <c r="X33" s="19">
        <f>(Gender!BS34/'Total Associates'!Y34)*100</f>
        <v>55.144467935165608</v>
      </c>
      <c r="Y33" s="19">
        <f>(Gender!BT34/'Total Associates'!Z34)*100</f>
        <v>53.508185766789175</v>
      </c>
      <c r="Z33" s="19">
        <f>(Gender!BU34/'Total Associates'!AA34)*100</f>
        <v>54.378118011353862</v>
      </c>
      <c r="AA33" s="19">
        <f>(Gender!BV34/'Total Associates'!AB34)*100</f>
        <v>57.612880644032202</v>
      </c>
      <c r="AB33" s="19">
        <f>(Gender!BW34/'Total Associates'!AC34)*100</f>
        <v>58.183103570166139</v>
      </c>
      <c r="AC33" s="19">
        <f>(Gender!BX34/'Total Associates'!AD34)*100</f>
        <v>58.615384615384613</v>
      </c>
      <c r="AD33" s="19">
        <f>(Gender!BY34/'Total Associates'!AE34)*100</f>
        <v>58.617657404150549</v>
      </c>
      <c r="AE33" s="19">
        <f>(Gender!BZ34/'Total Associates'!AF34)*100</f>
        <v>53.860465116279066</v>
      </c>
      <c r="AF33" s="19">
        <f>(Gender!CA34/'Total Associates'!AG34)*100</f>
        <v>56.543092522179975</v>
      </c>
      <c r="AG33" s="19">
        <f>(Gender!CB34/'Total Associates'!AH34)*100</f>
        <v>54.786744400122735</v>
      </c>
      <c r="AH33" s="19">
        <f>(Gender!CC34/'Total Associates'!AI34)*100</f>
        <v>54.270196877121521</v>
      </c>
      <c r="AI33" s="19">
        <f>(Gender!CD34/'Total Associates'!AJ34)*100</f>
        <v>56.932899650644501</v>
      </c>
      <c r="AJ33" s="19">
        <f>(Gender!CE34/'Total Associates'!AK34)*100</f>
        <v>58.241241476604756</v>
      </c>
      <c r="AK33" s="19">
        <f>(Gender!CF34/'Total Associates'!AL34)*100</f>
        <v>59.300648882480175</v>
      </c>
      <c r="AL33" s="19">
        <f>(Gender!CG34/'Total Associates'!AM34)*100</f>
        <v>59.458794587945881</v>
      </c>
      <c r="AM33" s="19">
        <f>(Gender!CH34/'Total Associates'!AN34)*100</f>
        <v>60.800199426648383</v>
      </c>
      <c r="AN33" s="19">
        <f>(Gender!CI34/'Total Associates'!AO34)*100</f>
        <v>59.309162175404218</v>
      </c>
      <c r="AO33" s="19">
        <f>(Gender!CJ34/'Total Associates'!AP34)*100</f>
        <v>59.612224778179424</v>
      </c>
      <c r="AP33" s="19">
        <f>(Gender!CK34/'Total Associates'!AQ34)*100</f>
        <v>57.423481041571492</v>
      </c>
      <c r="AQ33" s="19">
        <f>(Gender!CL34/'Total Associates'!AR34)*100</f>
        <v>57.288779792540979</v>
      </c>
      <c r="AR33" s="19">
        <f>(Gender!CM34/'Total Associates'!AS34)*100</f>
        <v>57.573844102995864</v>
      </c>
      <c r="AS33" s="19" t="e">
        <f>(Gender!CN34/'Total Associates'!AT34)*100</f>
        <v>#DIV/0!</v>
      </c>
      <c r="AT33" s="19">
        <f>(Gender!CO34/'Total Associates'!AU34)*100</f>
        <v>57.90090024152822</v>
      </c>
      <c r="AU33" s="19">
        <f>(Gender!CP34/'Total Associates'!AV34)*100</f>
        <v>57.697663623704166</v>
      </c>
      <c r="AV33" s="19">
        <f>(Gender!CQ34/'Total Associates'!AW34)*100</f>
        <v>58.036875525973528</v>
      </c>
    </row>
    <row r="34" spans="1:48">
      <c r="A34" s="64" t="s">
        <v>142</v>
      </c>
      <c r="B34" s="19">
        <f>(Gender!AW35/'Total Associates'!C35)*100</f>
        <v>44.519621109607577</v>
      </c>
      <c r="C34" s="19">
        <f>(Gender!AX35/'Total Associates'!D35)*100</f>
        <v>48.284466625077975</v>
      </c>
      <c r="D34" s="19">
        <f>(Gender!AY35/'Total Associates'!E35)*100</f>
        <v>50.307881773399011</v>
      </c>
      <c r="E34" s="19">
        <f>(Gender!AZ35/'Total Associates'!F35)*100</f>
        <v>52.151162790697668</v>
      </c>
      <c r="F34" s="19">
        <f>(Gender!BA35/'Total Associates'!G35)*100</f>
        <v>53.003363767419508</v>
      </c>
      <c r="G34" s="19">
        <f>(Gender!BB35/'Total Associates'!H35)*100</f>
        <v>52.708860759493668</v>
      </c>
      <c r="H34" s="19">
        <f>(Gender!BC35/'Total Associates'!I35)*100</f>
        <v>54.967548676984521</v>
      </c>
      <c r="I34" s="19">
        <f>(Gender!BD35/'Total Associates'!J35)*100</f>
        <v>52.551724137931032</v>
      </c>
      <c r="J34" s="19">
        <f>(Gender!BE35/'Total Associates'!K35)*100</f>
        <v>55.586080586080591</v>
      </c>
      <c r="K34" s="19">
        <f>(Gender!BF35/'Total Associates'!L35)*100</f>
        <v>56.23281393217232</v>
      </c>
      <c r="L34" s="19">
        <f>(Gender!BG35/'Total Associates'!M35)*100</f>
        <v>55.941422594142267</v>
      </c>
      <c r="M34" s="19">
        <f>(Gender!BH35/'Total Associates'!N35)*100</f>
        <v>55.179363160016123</v>
      </c>
      <c r="N34" s="19">
        <f>(Gender!BI35/'Total Associates'!O35)*100</f>
        <v>52.78833967046895</v>
      </c>
      <c r="O34" s="19">
        <f>(Gender!BJ35/'Total Associates'!P35)*100</f>
        <v>50.592216582064296</v>
      </c>
      <c r="P34" s="19">
        <f>(Gender!BK35/'Total Associates'!Q35)*100</f>
        <v>51.087331722471518</v>
      </c>
      <c r="Q34" s="19">
        <f>(Gender!BL35/'Total Associates'!R35)*100</f>
        <v>48.622917375042505</v>
      </c>
      <c r="R34" s="19">
        <f>(Gender!BM35/'Total Associates'!S35)*100</f>
        <v>48.238654395430018</v>
      </c>
      <c r="S34" s="19">
        <f>(Gender!BN35/'Total Associates'!T35)*100</f>
        <v>49.802927927927925</v>
      </c>
      <c r="T34" s="19">
        <f>(Gender!BO35/'Total Associates'!U35)*100</f>
        <v>53.891377379619264</v>
      </c>
      <c r="U34" s="19">
        <f>(Gender!BP35/'Total Associates'!V35)*100</f>
        <v>53.573333333333331</v>
      </c>
      <c r="V34" s="19">
        <f>(Gender!BQ35/'Total Associates'!W35)*100</f>
        <v>57.965357404244934</v>
      </c>
      <c r="W34" s="19">
        <f>(Gender!BR35/'Total Associates'!X35)*100</f>
        <v>55.114135206321336</v>
      </c>
      <c r="X34" s="19">
        <f>(Gender!BS35/'Total Associates'!Y35)*100</f>
        <v>55.65199421368051</v>
      </c>
      <c r="Y34" s="19">
        <f>(Gender!BT35/'Total Associates'!Z35)*100</f>
        <v>57.164347499059801</v>
      </c>
      <c r="Z34" s="19">
        <f>(Gender!BU35/'Total Associates'!AA35)*100</f>
        <v>58.086717136958022</v>
      </c>
      <c r="AA34" s="19">
        <f>(Gender!BV35/'Total Associates'!AB35)*100</f>
        <v>56.889855522759049</v>
      </c>
      <c r="AB34" s="19">
        <f>(Gender!BW35/'Total Associates'!AC35)*100</f>
        <v>57.531569452796148</v>
      </c>
      <c r="AC34" s="19">
        <f>(Gender!BX35/'Total Associates'!AD35)*100</f>
        <v>56.918511190800047</v>
      </c>
      <c r="AD34" s="19">
        <f>(Gender!BY35/'Total Associates'!AE35)*100</f>
        <v>57.490259304044066</v>
      </c>
      <c r="AE34" s="19">
        <f>(Gender!BZ35/'Total Associates'!AF35)*100</f>
        <v>56.260327952205415</v>
      </c>
      <c r="AF34" s="19">
        <f>(Gender!CA35/'Total Associates'!AG35)*100</f>
        <v>55.495664401218662</v>
      </c>
      <c r="AG34" s="19">
        <f>(Gender!CB35/'Total Associates'!AH35)*100</f>
        <v>53.569868995633186</v>
      </c>
      <c r="AH34" s="19">
        <f>(Gender!CC35/'Total Associates'!AI35)*100</f>
        <v>54.139108171538297</v>
      </c>
      <c r="AI34" s="19">
        <f>(Gender!CD35/'Total Associates'!AJ35)*100</f>
        <v>54.272959183673478</v>
      </c>
      <c r="AJ34" s="19">
        <f>(Gender!CE35/'Total Associates'!AK35)*100</f>
        <v>53.847705496722142</v>
      </c>
      <c r="AK34" s="19">
        <f>(Gender!CF35/'Total Associates'!AL35)*100</f>
        <v>53.393896090639991</v>
      </c>
      <c r="AL34" s="19">
        <f>(Gender!CG35/'Total Associates'!AM35)*100</f>
        <v>56.054905948144388</v>
      </c>
      <c r="AM34" s="19">
        <f>(Gender!CH35/'Total Associates'!AN35)*100</f>
        <v>56.239903069466877</v>
      </c>
      <c r="AN34" s="19">
        <f>(Gender!CI35/'Total Associates'!AO35)*100</f>
        <v>54.831460674157306</v>
      </c>
      <c r="AO34" s="19">
        <f>(Gender!CJ35/'Total Associates'!AP35)*100</f>
        <v>56.567758277546588</v>
      </c>
      <c r="AP34" s="19">
        <f>(Gender!CK35/'Total Associates'!AQ35)*100</f>
        <v>57.549604774963704</v>
      </c>
      <c r="AQ34" s="19">
        <f>(Gender!CL35/'Total Associates'!AR35)*100</f>
        <v>57.581920903954796</v>
      </c>
      <c r="AR34" s="19">
        <f>(Gender!CM35/'Total Associates'!AS35)*100</f>
        <v>58.587492298213185</v>
      </c>
      <c r="AS34" s="19" t="e">
        <f>(Gender!CN35/'Total Associates'!AT35)*100</f>
        <v>#DIV/0!</v>
      </c>
      <c r="AT34" s="19">
        <f>(Gender!CO35/'Total Associates'!AU35)*100</f>
        <v>58.345551354271166</v>
      </c>
      <c r="AU34" s="19">
        <f>(Gender!CP35/'Total Associates'!AV35)*100</f>
        <v>58.902365977837675</v>
      </c>
      <c r="AV34" s="19">
        <f>(Gender!CQ35/'Total Associates'!AW35)*100</f>
        <v>59.455315420560751</v>
      </c>
    </row>
    <row r="35" spans="1:48">
      <c r="A35" s="64" t="s">
        <v>66</v>
      </c>
      <c r="B35" s="19">
        <f>(Gender!AW36/'Total Associates'!C36)*100</f>
        <v>36.501706484641637</v>
      </c>
      <c r="C35" s="19">
        <f>(Gender!AX36/'Total Associates'!D36)*100</f>
        <v>37.434590097947137</v>
      </c>
      <c r="D35" s="19">
        <f>(Gender!AY36/'Total Associates'!E36)*100</f>
        <v>38.46338824095227</v>
      </c>
      <c r="E35" s="19">
        <f>(Gender!AZ36/'Total Associates'!F36)*100</f>
        <v>39.755248680812841</v>
      </c>
      <c r="F35" s="19">
        <f>(Gender!BA36/'Total Associates'!G36)*100</f>
        <v>42.887712580245527</v>
      </c>
      <c r="G35" s="19">
        <f>(Gender!BB36/'Total Associates'!H36)*100</f>
        <v>42.080729941485664</v>
      </c>
      <c r="H35" s="19">
        <f>(Gender!BC36/'Total Associates'!I36)*100</f>
        <v>45.699471329808866</v>
      </c>
      <c r="I35" s="19">
        <f>(Gender!BD36/'Total Associates'!J36)*100</f>
        <v>47.897128492700375</v>
      </c>
      <c r="J35" s="19">
        <f>(Gender!BE36/'Total Associates'!K36)*100</f>
        <v>50.609212481426447</v>
      </c>
      <c r="K35" s="19">
        <f>(Gender!BF36/'Total Associates'!L36)*100</f>
        <v>51.785376912903835</v>
      </c>
      <c r="L35" s="19">
        <f>(Gender!BG36/'Total Associates'!M36)*100</f>
        <v>52.671893304496706</v>
      </c>
      <c r="M35" s="19">
        <f>(Gender!BH36/'Total Associates'!N36)*100</f>
        <v>51.353448275862071</v>
      </c>
      <c r="N35" s="19">
        <f>(Gender!BI36/'Total Associates'!O36)*100</f>
        <v>53.481707899512841</v>
      </c>
      <c r="O35" s="19">
        <f>(Gender!BJ36/'Total Associates'!P36)*100</f>
        <v>53.082097116004789</v>
      </c>
      <c r="P35" s="19">
        <f>(Gender!BK36/'Total Associates'!Q36)*100</f>
        <v>53.161884655983116</v>
      </c>
      <c r="Q35" s="19">
        <f>(Gender!BL36/'Total Associates'!R36)*100</f>
        <v>53.036061143484503</v>
      </c>
      <c r="R35" s="19">
        <f>(Gender!BM36/'Total Associates'!S36)*100</f>
        <v>54.29223000488679</v>
      </c>
      <c r="S35" s="19">
        <f>(Gender!BN36/'Total Associates'!T36)*100</f>
        <v>56.164266117969817</v>
      </c>
      <c r="T35" s="19">
        <f>(Gender!BO36/'Total Associates'!U36)*100</f>
        <v>56.170628459785085</v>
      </c>
      <c r="U35" s="19">
        <f>(Gender!BP36/'Total Associates'!V36)*100</f>
        <v>54.612752287170899</v>
      </c>
      <c r="V35" s="19">
        <f>(Gender!BQ36/'Total Associates'!W36)*100</f>
        <v>53.909222091040277</v>
      </c>
      <c r="W35" s="19">
        <f>(Gender!BR36/'Total Associates'!X36)*100</f>
        <v>55.51229009491361</v>
      </c>
      <c r="X35" s="19">
        <f>(Gender!BS36/'Total Associates'!Y36)*100</f>
        <v>55.960045730790064</v>
      </c>
      <c r="Y35" s="19">
        <f>(Gender!BT36/'Total Associates'!Z36)*100</f>
        <v>56.809147835556765</v>
      </c>
      <c r="Z35" s="19">
        <f>(Gender!BU36/'Total Associates'!AA36)*100</f>
        <v>56.549052455240286</v>
      </c>
      <c r="AA35" s="19">
        <f>(Gender!BV36/'Total Associates'!AB36)*100</f>
        <v>57.103726290764378</v>
      </c>
      <c r="AB35" s="19">
        <f>(Gender!BW36/'Total Associates'!AC36)*100</f>
        <v>57.945310503450045</v>
      </c>
      <c r="AC35" s="19">
        <f>(Gender!BX36/'Total Associates'!AD36)*100</f>
        <v>57.957628887497393</v>
      </c>
      <c r="AD35" s="19">
        <f>(Gender!BY36/'Total Associates'!AE36)*100</f>
        <v>58.076902565196519</v>
      </c>
      <c r="AE35" s="19">
        <f>(Gender!BZ36/'Total Associates'!AF36)*100</f>
        <v>56.264272368694215</v>
      </c>
      <c r="AF35" s="19">
        <f>(Gender!CA36/'Total Associates'!AG36)*100</f>
        <v>56.226616782469264</v>
      </c>
      <c r="AG35" s="19">
        <f>(Gender!CB36/'Total Associates'!AH36)*100</f>
        <v>56.955328175692543</v>
      </c>
      <c r="AH35" s="19">
        <f>(Gender!CC36/'Total Associates'!AI36)*100</f>
        <v>56.537913930096906</v>
      </c>
      <c r="AI35" s="19">
        <f>(Gender!CD36/'Total Associates'!AJ36)*100</f>
        <v>55.835308056872037</v>
      </c>
      <c r="AJ35" s="19">
        <f>(Gender!CE36/'Total Associates'!AK36)*100</f>
        <v>57.52529322231176</v>
      </c>
      <c r="AK35" s="19">
        <f>(Gender!CF36/'Total Associates'!AL36)*100</f>
        <v>57.998619737750168</v>
      </c>
      <c r="AL35" s="19">
        <f>(Gender!CG36/'Total Associates'!AM36)*100</f>
        <v>58.638818525068103</v>
      </c>
      <c r="AM35" s="19">
        <f>(Gender!CH36/'Total Associates'!AN36)*100</f>
        <v>59.474379541379641</v>
      </c>
      <c r="AN35" s="19">
        <f>(Gender!CI36/'Total Associates'!AO36)*100</f>
        <v>58.994418519535188</v>
      </c>
      <c r="AO35" s="19">
        <f>(Gender!CJ36/'Total Associates'!AP36)*100</f>
        <v>57.554676290273491</v>
      </c>
      <c r="AP35" s="19">
        <f>(Gender!CK36/'Total Associates'!AQ36)*100</f>
        <v>57.219449066370863</v>
      </c>
      <c r="AQ35" s="19">
        <f>(Gender!CL36/'Total Associates'!AR36)*100</f>
        <v>55.920212582392935</v>
      </c>
      <c r="AR35" s="19">
        <f>(Gender!CM36/'Total Associates'!AS36)*100</f>
        <v>56.401762234896346</v>
      </c>
      <c r="AS35" s="19" t="e">
        <f>(Gender!CN36/'Total Associates'!AT36)*100</f>
        <v>#DIV/0!</v>
      </c>
      <c r="AT35" s="19">
        <f>(Gender!CO36/'Total Associates'!AU36)*100</f>
        <v>57.72384825655044</v>
      </c>
      <c r="AU35" s="19">
        <f>(Gender!CP36/'Total Associates'!AV36)*100</f>
        <v>57.592102252296428</v>
      </c>
      <c r="AV35" s="19">
        <f>(Gender!CQ36/'Total Associates'!AW36)*100</f>
        <v>57.057285633914681</v>
      </c>
    </row>
    <row r="36" spans="1:48">
      <c r="A36" s="64" t="s">
        <v>145</v>
      </c>
      <c r="B36" s="19">
        <f>(Gender!AW37/'Total Associates'!C37)*100</f>
        <v>47.222222222222221</v>
      </c>
      <c r="C36" s="19">
        <f>(Gender!AX37/'Total Associates'!D37)*100</f>
        <v>48.822605965463104</v>
      </c>
      <c r="D36" s="19">
        <f>(Gender!AY37/'Total Associates'!E37)*100</f>
        <v>45.321637426900587</v>
      </c>
      <c r="E36" s="19">
        <f>(Gender!AZ37/'Total Associates'!F37)*100</f>
        <v>47.040971168437025</v>
      </c>
      <c r="F36" s="19">
        <f>(Gender!BA37/'Total Associates'!G37)*100</f>
        <v>47.245179063360879</v>
      </c>
      <c r="G36" s="19">
        <f>(Gender!BB37/'Total Associates'!H37)*100</f>
        <v>49.255751014884979</v>
      </c>
      <c r="H36" s="19">
        <f>(Gender!BC37/'Total Associates'!I37)*100</f>
        <v>51.583113456464382</v>
      </c>
      <c r="I36" s="19">
        <f>(Gender!BD37/'Total Associates'!J37)*100</f>
        <v>51.054384017758046</v>
      </c>
      <c r="J36" s="19">
        <f>(Gender!BE37/'Total Associates'!K37)*100</f>
        <v>54.831199068684519</v>
      </c>
      <c r="K36" s="19">
        <f>(Gender!BF37/'Total Associates'!L37)*100</f>
        <v>58.942065491183882</v>
      </c>
      <c r="L36" s="19">
        <f>(Gender!BG37/'Total Associates'!M37)*100</f>
        <v>56.205250596658708</v>
      </c>
      <c r="M36" s="19">
        <f>(Gender!BH37/'Total Associates'!N37)*100</f>
        <v>58.044164037854898</v>
      </c>
      <c r="N36" s="19">
        <f>(Gender!BI37/'Total Associates'!O37)*100</f>
        <v>56.015399422521654</v>
      </c>
      <c r="O36" s="19">
        <f>(Gender!BJ37/'Total Associates'!P37)*100</f>
        <v>57.575757575757578</v>
      </c>
      <c r="P36" s="19">
        <f>(Gender!BK37/'Total Associates'!Q37)*100</f>
        <v>55.11607910576096</v>
      </c>
      <c r="Q36" s="19">
        <f>(Gender!BL37/'Total Associates'!R37)*100</f>
        <v>57.730388423457732</v>
      </c>
      <c r="R36" s="19">
        <f>(Gender!BM37/'Total Associates'!S37)*100</f>
        <v>52.406417112299465</v>
      </c>
      <c r="S36" s="19">
        <f>(Gender!BN37/'Total Associates'!T37)*100</f>
        <v>53.751803751803749</v>
      </c>
      <c r="T36" s="19">
        <f>(Gender!BO37/'Total Associates'!U37)*100</f>
        <v>54.611811546118119</v>
      </c>
      <c r="U36" s="19">
        <f>(Gender!BP37/'Total Associates'!V37)*100</f>
        <v>53.775322283609569</v>
      </c>
      <c r="V36" s="19">
        <f>(Gender!BQ37/'Total Associates'!W37)*100</f>
        <v>56.827924066135949</v>
      </c>
      <c r="W36" s="19">
        <f>(Gender!BR37/'Total Associates'!X37)*100</f>
        <v>54.944473823373876</v>
      </c>
      <c r="X36" s="19">
        <f>(Gender!BS37/'Total Associates'!Y37)*100</f>
        <v>54.108108108108112</v>
      </c>
      <c r="Y36" s="19">
        <f>(Gender!BT37/'Total Associates'!Z37)*100</f>
        <v>58.163265306122447</v>
      </c>
      <c r="Z36" s="19">
        <f>(Gender!BU37/'Total Associates'!AA37)*100</f>
        <v>59.53096812988575</v>
      </c>
      <c r="AA36" s="19">
        <f>(Gender!BV37/'Total Associates'!AB37)*100</f>
        <v>57.142857142857139</v>
      </c>
      <c r="AB36" s="19">
        <f>(Gender!BW37/'Total Associates'!AC37)*100</f>
        <v>56.331658291457288</v>
      </c>
      <c r="AC36" s="19">
        <f>(Gender!BX37/'Total Associates'!AD37)*100</f>
        <v>58.925049309664686</v>
      </c>
      <c r="AD36" s="19">
        <f>(Gender!BY37/'Total Associates'!AE37)*100</f>
        <v>55.992141453831046</v>
      </c>
      <c r="AE36" s="19">
        <f>(Gender!BZ37/'Total Associates'!AF37)*100</f>
        <v>52.206619859578737</v>
      </c>
      <c r="AF36" s="19">
        <f>(Gender!CA37/'Total Associates'!AG37)*100</f>
        <v>51.935914552736982</v>
      </c>
      <c r="AG36" s="19">
        <f>(Gender!CB37/'Total Associates'!AH37)*100</f>
        <v>45.728435823359469</v>
      </c>
      <c r="AH36" s="19">
        <f>(Gender!CC37/'Total Associates'!AI37)*100</f>
        <v>41.911764705882355</v>
      </c>
      <c r="AI36" s="19">
        <f>(Gender!CD37/'Total Associates'!AJ37)*100</f>
        <v>48.024207903168389</v>
      </c>
      <c r="AJ36" s="19">
        <f>(Gender!CE37/'Total Associates'!AK37)*100</f>
        <v>46.909610575205427</v>
      </c>
      <c r="AK36" s="19">
        <f>(Gender!CF37/'Total Associates'!AL37)*100</f>
        <v>47.478034493979827</v>
      </c>
      <c r="AL36" s="19">
        <f>(Gender!CG37/'Total Associates'!AM37)*100</f>
        <v>51.622103386809272</v>
      </c>
      <c r="AM36" s="19">
        <f>(Gender!CH37/'Total Associates'!AN37)*100</f>
        <v>54.75397706252312</v>
      </c>
      <c r="AN36" s="19">
        <f>(Gender!CI37/'Total Associates'!AO37)*100</f>
        <v>55.11669658886894</v>
      </c>
      <c r="AO36" s="19">
        <f>(Gender!CJ37/'Total Associates'!AP37)*100</f>
        <v>55.485674353598881</v>
      </c>
      <c r="AP36" s="19">
        <f>(Gender!CK37/'Total Associates'!AQ37)*100</f>
        <v>55.317164179104473</v>
      </c>
      <c r="AQ36" s="19">
        <f>(Gender!CL37/'Total Associates'!AR37)*100</f>
        <v>59.541723666210665</v>
      </c>
      <c r="AR36" s="19">
        <f>(Gender!CM37/'Total Associates'!AS37)*100</f>
        <v>57.855999999999995</v>
      </c>
      <c r="AS36" s="19" t="e">
        <f>(Gender!CN37/'Total Associates'!AT37)*100</f>
        <v>#DIV/0!</v>
      </c>
      <c r="AT36" s="19">
        <f>(Gender!CO37/'Total Associates'!AU37)*100</f>
        <v>60.733512786002699</v>
      </c>
      <c r="AU36" s="19">
        <f>(Gender!CP37/'Total Associates'!AV37)*100</f>
        <v>61.949458483754519</v>
      </c>
      <c r="AV36" s="19">
        <f>(Gender!CQ37/'Total Associates'!AW37)*100</f>
        <v>59.132007233273058</v>
      </c>
    </row>
    <row r="37" spans="1:48">
      <c r="A37" s="154" t="s">
        <v>186</v>
      </c>
      <c r="B37" s="155">
        <f>(Gender!AW38/'Total Associates'!C38)*100</f>
        <v>41.347942103986419</v>
      </c>
      <c r="C37" s="155">
        <f>(Gender!AX38/'Total Associates'!D38)*100</f>
        <v>41.691446417595564</v>
      </c>
      <c r="D37" s="155">
        <f>(Gender!AY38/'Total Associates'!E38)*100</f>
        <v>43.085475021657523</v>
      </c>
      <c r="E37" s="155">
        <f>(Gender!AZ38/'Total Associates'!F38)*100</f>
        <v>44.578616019468839</v>
      </c>
      <c r="F37" s="155">
        <f>(Gender!BA38/'Total Associates'!G38)*100</f>
        <v>45.938543503545567</v>
      </c>
      <c r="G37" s="155">
        <f>(Gender!BB38/'Total Associates'!H38)*100</f>
        <v>45.977173785151194</v>
      </c>
      <c r="H37" s="155">
        <f>(Gender!BC38/'Total Associates'!I38)*100</f>
        <v>47.504903271819558</v>
      </c>
      <c r="I37" s="155">
        <f>(Gender!BD38/'Total Associates'!J38)*100</f>
        <v>50.648334329655995</v>
      </c>
      <c r="J37" s="155">
        <f>(Gender!BE38/'Total Associates'!K38)*100</f>
        <v>52.443315089914002</v>
      </c>
      <c r="K37" s="155">
        <f>(Gender!BF38/'Total Associates'!L38)*100</f>
        <v>54.347231790396833</v>
      </c>
      <c r="L37" s="155">
        <f>(Gender!BG38/'Total Associates'!M38)*100</f>
        <v>54.460620014466322</v>
      </c>
      <c r="M37" s="155">
        <f>(Gender!BH38/'Total Associates'!N38)*100</f>
        <v>54.144701657880667</v>
      </c>
      <c r="N37" s="155">
        <f>(Gender!BI38/'Total Associates'!O38)*100</f>
        <v>53.808183706314452</v>
      </c>
      <c r="O37" s="155">
        <f>(Gender!BJ38/'Total Associates'!P38)*100</f>
        <v>54.347316615889383</v>
      </c>
      <c r="P37" s="155">
        <f>(Gender!BK38/'Total Associates'!Q38)*100</f>
        <v>54.844597458543461</v>
      </c>
      <c r="Q37" s="155">
        <f>(Gender!BL38/'Total Associates'!R38)*100</f>
        <v>56.013189766438586</v>
      </c>
      <c r="R37" s="155">
        <f>(Gender!BM38/'Total Associates'!S38)*100</f>
        <v>56.179180812133502</v>
      </c>
      <c r="S37" s="155">
        <f>(Gender!BN38/'Total Associates'!T38)*100</f>
        <v>55.773806831033703</v>
      </c>
      <c r="T37" s="155">
        <f>(Gender!BO38/'Total Associates'!U38)*100</f>
        <v>56.991134672784781</v>
      </c>
      <c r="U37" s="155">
        <f>(Gender!BP38/'Total Associates'!V38)*100</f>
        <v>58.531118493909197</v>
      </c>
      <c r="V37" s="155">
        <f>(Gender!BQ38/'Total Associates'!W38)*100</f>
        <v>58.990520285912226</v>
      </c>
      <c r="W37" s="155">
        <f>(Gender!BR38/'Total Associates'!X38)*100</f>
        <v>59.266416943032787</v>
      </c>
      <c r="X37" s="155">
        <f>(Gender!BS38/'Total Associates'!Y38)*100</f>
        <v>59.418284713754176</v>
      </c>
      <c r="Y37" s="155">
        <f>(Gender!BT38/'Total Associates'!Z38)*100</f>
        <v>60.424353529962325</v>
      </c>
      <c r="Z37" s="155">
        <f>(Gender!BU38/'Total Associates'!AA38)*100</f>
        <v>60.179533759491655</v>
      </c>
      <c r="AA37" s="155">
        <f>(Gender!BV38/'Total Associates'!AB38)*100</f>
        <v>61.369955409000632</v>
      </c>
      <c r="AB37" s="155">
        <f>(Gender!BW38/'Total Associates'!AC38)*100</f>
        <v>61.981269479514914</v>
      </c>
      <c r="AC37" s="155">
        <f>(Gender!BX38/'Total Associates'!AD38)*100</f>
        <v>61.314655172413794</v>
      </c>
      <c r="AD37" s="155">
        <f>(Gender!BY38/'Total Associates'!AE38)*100</f>
        <v>61.288351057327951</v>
      </c>
      <c r="AE37" s="155">
        <f>(Gender!BZ38/'Total Associates'!AF38)*100</f>
        <v>60.516644474034621</v>
      </c>
      <c r="AF37" s="155">
        <f>(Gender!CA38/'Total Associates'!AG38)*100</f>
        <v>60.506342631791732</v>
      </c>
      <c r="AG37" s="155">
        <f>(Gender!CB38/'Total Associates'!AH38)*100</f>
        <v>59.788583509513735</v>
      </c>
      <c r="AH37" s="155">
        <f>(Gender!CC38/'Total Associates'!AI38)*100</f>
        <v>59.483483317944405</v>
      </c>
      <c r="AI37" s="155">
        <f>(Gender!CD38/'Total Associates'!AJ38)*100</f>
        <v>60.386505249568579</v>
      </c>
      <c r="AJ37" s="155">
        <f>(Gender!CE38/'Total Associates'!AK38)*100</f>
        <v>61.251670919917366</v>
      </c>
      <c r="AK37" s="155">
        <f>(Gender!CF38/'Total Associates'!AL38)*100</f>
        <v>62.031559969368622</v>
      </c>
      <c r="AL37" s="155">
        <f>(Gender!CG38/'Total Associates'!AM38)*100</f>
        <v>62.428545675523225</v>
      </c>
      <c r="AM37" s="155">
        <f>(Gender!CH38/'Total Associates'!AN38)*100</f>
        <v>61.836238461582262</v>
      </c>
      <c r="AN37" s="155">
        <f>(Gender!CI38/'Total Associates'!AO38)*100</f>
        <v>61.748292359171487</v>
      </c>
      <c r="AO37" s="155">
        <f>(Gender!CJ38/'Total Associates'!AP38)*100</f>
        <v>61.513359693575076</v>
      </c>
      <c r="AP37" s="155">
        <f>(Gender!CK38/'Total Associates'!AQ38)*100</f>
        <v>61.100028903240478</v>
      </c>
      <c r="AQ37" s="155">
        <f>(Gender!CL38/'Total Associates'!AR38)*100</f>
        <v>60.927376742900208</v>
      </c>
      <c r="AR37" s="155">
        <f>(Gender!CM38/'Total Associates'!AS38)*100</f>
        <v>61.561157712460925</v>
      </c>
      <c r="AS37" s="155" t="e">
        <f>(Gender!CN38/'Total Associates'!AT38)*100</f>
        <v>#DIV/0!</v>
      </c>
      <c r="AT37" s="155">
        <f>(Gender!CO38/'Total Associates'!AU38)*100</f>
        <v>60.761334713170925</v>
      </c>
      <c r="AU37" s="155">
        <f>(Gender!CP38/'Total Associates'!AV38)*100</f>
        <v>60.709369619166495</v>
      </c>
      <c r="AV37" s="155">
        <f>(Gender!CQ38/'Total Associates'!AW38)*100</f>
        <v>59.756638182735379</v>
      </c>
    </row>
    <row r="38" spans="1:48" ht="7.5" customHeight="1">
      <c r="A38" s="153"/>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row>
    <row r="39" spans="1:48">
      <c r="A39" s="64" t="s">
        <v>120</v>
      </c>
      <c r="B39" s="19">
        <f>(Gender!AW40/'Total Associates'!C40)*100</f>
        <v>40.370370370370374</v>
      </c>
      <c r="C39" s="19">
        <f>(Gender!AX40/'Total Associates'!D40)*100</f>
        <v>41.429893897315388</v>
      </c>
      <c r="D39" s="19">
        <f>(Gender!AY40/'Total Associates'!E40)*100</f>
        <v>42.96466532605573</v>
      </c>
      <c r="E39" s="19">
        <f>(Gender!AZ40/'Total Associates'!F40)*100</f>
        <v>44.868937705613924</v>
      </c>
      <c r="F39" s="19">
        <f>(Gender!BA40/'Total Associates'!G40)*100</f>
        <v>48.024393993747758</v>
      </c>
      <c r="G39" s="19">
        <f>(Gender!BB40/'Total Associates'!H40)*100</f>
        <v>47.897384305835011</v>
      </c>
      <c r="H39" s="19">
        <f>(Gender!BC40/'Total Associates'!I40)*100</f>
        <v>47.821309125656953</v>
      </c>
      <c r="I39" s="19">
        <f>(Gender!BD40/'Total Associates'!J40)*100</f>
        <v>52.228445593374509</v>
      </c>
      <c r="J39" s="19">
        <f>(Gender!BE40/'Total Associates'!K40)*100</f>
        <v>52.830657587355233</v>
      </c>
      <c r="K39" s="19">
        <f>(Gender!BF40/'Total Associates'!L40)*100</f>
        <v>54.345103931880786</v>
      </c>
      <c r="L39" s="19">
        <f>(Gender!BG40/'Total Associates'!M40)*100</f>
        <v>55.244425588082777</v>
      </c>
      <c r="M39" s="19">
        <f>(Gender!BH40/'Total Associates'!N40)*100</f>
        <v>54.446163221300338</v>
      </c>
      <c r="N39" s="19">
        <f>(Gender!BI40/'Total Associates'!O40)*100</f>
        <v>54.399672920546948</v>
      </c>
      <c r="O39" s="19">
        <f>(Gender!BJ40/'Total Associates'!P40)*100</f>
        <v>55.127135391506741</v>
      </c>
      <c r="P39" s="19">
        <f>(Gender!BK40/'Total Associates'!Q40)*100</f>
        <v>55.895624042227141</v>
      </c>
      <c r="Q39" s="19">
        <f>(Gender!BL40/'Total Associates'!R40)*100</f>
        <v>55.831638877592518</v>
      </c>
      <c r="R39" s="19">
        <f>(Gender!BM40/'Total Associates'!S40)*100</f>
        <v>56.28312674763157</v>
      </c>
      <c r="S39" s="19">
        <f>(Gender!BN40/'Total Associates'!T40)*100</f>
        <v>55.283171521035598</v>
      </c>
      <c r="T39" s="19">
        <f>(Gender!BO40/'Total Associates'!U40)*100</f>
        <v>56.858435681965091</v>
      </c>
      <c r="U39" s="19">
        <f>(Gender!BP40/'Total Associates'!V40)*100</f>
        <v>59.321815921464392</v>
      </c>
      <c r="V39" s="19">
        <f>(Gender!BQ40/'Total Associates'!W40)*100</f>
        <v>59.458796599084373</v>
      </c>
      <c r="W39" s="19">
        <f>(Gender!BR40/'Total Associates'!X40)*100</f>
        <v>59.168062109910181</v>
      </c>
      <c r="X39" s="19">
        <f>(Gender!BS40/'Total Associates'!Y40)*100</f>
        <v>59.522085445329473</v>
      </c>
      <c r="Y39" s="19">
        <f>(Gender!BT40/'Total Associates'!Z40)*100</f>
        <v>60.173192213751761</v>
      </c>
      <c r="Z39" s="19">
        <f>(Gender!BU40/'Total Associates'!AA40)*100</f>
        <v>61.05581361055814</v>
      </c>
      <c r="AA39" s="19">
        <f>(Gender!BV40/'Total Associates'!AB40)*100</f>
        <v>61.906181303327244</v>
      </c>
      <c r="AB39" s="19">
        <f>(Gender!BW40/'Total Associates'!AC40)*100</f>
        <v>62.078226660614312</v>
      </c>
      <c r="AC39" s="19">
        <f>(Gender!BX40/'Total Associates'!AD40)*100</f>
        <v>62.08640047587182</v>
      </c>
      <c r="AD39" s="19">
        <f>(Gender!BY40/'Total Associates'!AE40)*100</f>
        <v>61.915887850467286</v>
      </c>
      <c r="AE39" s="19">
        <f>(Gender!BZ40/'Total Associates'!AF40)*100</f>
        <v>62.41105380068521</v>
      </c>
      <c r="AF39" s="19">
        <f>(Gender!CA40/'Total Associates'!AG40)*100</f>
        <v>61.825614129806027</v>
      </c>
      <c r="AG39" s="19">
        <f>(Gender!CB40/'Total Associates'!AH40)*100</f>
        <v>61.282981021447306</v>
      </c>
      <c r="AH39" s="19">
        <f>(Gender!CC40/'Total Associates'!AI40)*100</f>
        <v>60.804254860387395</v>
      </c>
      <c r="AI39" s="19">
        <f>(Gender!CD40/'Total Associates'!AJ40)*100</f>
        <v>61.810146843900057</v>
      </c>
      <c r="AJ39" s="19">
        <f>(Gender!CE40/'Total Associates'!AK40)*100</f>
        <v>61.984732824427482</v>
      </c>
      <c r="AK39" s="19">
        <f>(Gender!CF40/'Total Associates'!AL40)*100</f>
        <v>61.927939110835261</v>
      </c>
      <c r="AL39" s="19">
        <f>(Gender!CG40/'Total Associates'!AM40)*100</f>
        <v>62.720295622512786</v>
      </c>
      <c r="AM39" s="19">
        <f>(Gender!CH40/'Total Associates'!AN40)*100</f>
        <v>61.514714961926323</v>
      </c>
      <c r="AN39" s="19">
        <f>(Gender!CI40/'Total Associates'!AO40)*100</f>
        <v>61.568453944639543</v>
      </c>
      <c r="AO39" s="19">
        <f>(Gender!CJ40/'Total Associates'!AP40)*100</f>
        <v>61.675033992260218</v>
      </c>
      <c r="AP39" s="19">
        <f>(Gender!CK40/'Total Associates'!AQ40)*100</f>
        <v>59.831022653171161</v>
      </c>
      <c r="AQ39" s="19">
        <f>(Gender!CL40/'Total Associates'!AR40)*100</f>
        <v>59.478201706180975</v>
      </c>
      <c r="AR39" s="19">
        <f>(Gender!CM40/'Total Associates'!AS40)*100</f>
        <v>59.430677861970103</v>
      </c>
      <c r="AS39" s="19" t="e">
        <f>(Gender!CN40/'Total Associates'!AT40)*100</f>
        <v>#DIV/0!</v>
      </c>
      <c r="AT39" s="19">
        <f>(Gender!CO40/'Total Associates'!AU40)*100</f>
        <v>59.11943319838057</v>
      </c>
      <c r="AU39" s="19">
        <f>(Gender!CP40/'Total Associates'!AV40)*100</f>
        <v>59.567370868290716</v>
      </c>
      <c r="AV39" s="19">
        <f>(Gender!CQ40/'Total Associates'!AW40)*100</f>
        <v>59.472354757227052</v>
      </c>
    </row>
    <row r="40" spans="1:48">
      <c r="A40" s="64" t="s">
        <v>121</v>
      </c>
      <c r="B40" s="19">
        <f>(Gender!AW41/'Total Associates'!C41)*100</f>
        <v>40.051347881899872</v>
      </c>
      <c r="C40" s="19">
        <f>(Gender!AX41/'Total Associates'!D41)*100</f>
        <v>37.913741223671011</v>
      </c>
      <c r="D40" s="19">
        <f>(Gender!AY41/'Total Associates'!E41)*100</f>
        <v>46.718844069837445</v>
      </c>
      <c r="E40" s="19">
        <f>(Gender!AZ41/'Total Associates'!F41)*100</f>
        <v>46.851248642779588</v>
      </c>
      <c r="F40" s="19">
        <f>(Gender!BA41/'Total Associates'!G41)*100</f>
        <v>48.680996580361501</v>
      </c>
      <c r="G40" s="19">
        <f>(Gender!BB41/'Total Associates'!H41)*100</f>
        <v>47.352162400706085</v>
      </c>
      <c r="H40" s="19">
        <f>(Gender!BC41/'Total Associates'!I41)*100</f>
        <v>48.829891838741396</v>
      </c>
      <c r="I40" s="19">
        <f>(Gender!BD41/'Total Associates'!J41)*100</f>
        <v>49.785330948121647</v>
      </c>
      <c r="J40" s="19">
        <f>(Gender!BE41/'Total Associates'!K41)*100</f>
        <v>52.594960511470475</v>
      </c>
      <c r="K40" s="19">
        <f>(Gender!BF41/'Total Associates'!L41)*100</f>
        <v>54.481893151667258</v>
      </c>
      <c r="L40" s="19">
        <f>(Gender!BG41/'Total Associates'!M41)*100</f>
        <v>48.413156376226198</v>
      </c>
      <c r="M40" s="19">
        <f>(Gender!BH41/'Total Associates'!N41)*100</f>
        <v>47.185473411154341</v>
      </c>
      <c r="N40" s="19">
        <f>(Gender!BI41/'Total Associates'!O41)*100</f>
        <v>45.968725740268383</v>
      </c>
      <c r="O40" s="19">
        <f>(Gender!BJ41/'Total Associates'!P41)*100</f>
        <v>45.299793993277675</v>
      </c>
      <c r="P40" s="19">
        <f>(Gender!BK41/'Total Associates'!Q41)*100</f>
        <v>46.201165551478525</v>
      </c>
      <c r="Q40" s="19">
        <f>(Gender!BL41/'Total Associates'!R41)*100</f>
        <v>48.939585005158776</v>
      </c>
      <c r="R40" s="19">
        <f>(Gender!BM41/'Total Associates'!S41)*100</f>
        <v>46.941596590254584</v>
      </c>
      <c r="S40" s="19">
        <f>(Gender!BN41/'Total Associates'!T41)*100</f>
        <v>45.759302715387193</v>
      </c>
      <c r="T40" s="19">
        <f>(Gender!BO41/'Total Associates'!U41)*100</f>
        <v>48.303751965850374</v>
      </c>
      <c r="U40" s="19">
        <f>(Gender!BP41/'Total Associates'!V41)*100</f>
        <v>51.24622778585001</v>
      </c>
      <c r="V40" s="19">
        <f>(Gender!BQ41/'Total Associates'!W41)*100</f>
        <v>50.559258840808951</v>
      </c>
      <c r="W40" s="19">
        <f>(Gender!BR41/'Total Associates'!X41)*100</f>
        <v>52.234891676168758</v>
      </c>
      <c r="X40" s="19">
        <f>(Gender!BS41/'Total Associates'!Y41)*100</f>
        <v>53.616284105673451</v>
      </c>
      <c r="Y40" s="19">
        <f>(Gender!BT41/'Total Associates'!Z41)*100</f>
        <v>54.437376160183547</v>
      </c>
      <c r="Z40" s="19">
        <f>(Gender!BU41/'Total Associates'!AA41)*100</f>
        <v>54.248236112491298</v>
      </c>
      <c r="AA40" s="19">
        <f>(Gender!BV41/'Total Associates'!AB41)*100</f>
        <v>57.849925149700596</v>
      </c>
      <c r="AB40" s="19">
        <f>(Gender!BW41/'Total Associates'!AC41)*100</f>
        <v>59.62745293355912</v>
      </c>
      <c r="AC40" s="19">
        <f>(Gender!BX41/'Total Associates'!AD41)*100</f>
        <v>56.29477993858751</v>
      </c>
      <c r="AD40" s="19">
        <f>(Gender!BY41/'Total Associates'!AE41)*100</f>
        <v>57.401065449010659</v>
      </c>
      <c r="AE40" s="19">
        <f>(Gender!BZ41/'Total Associates'!AF41)*100</f>
        <v>55.942366207266872</v>
      </c>
      <c r="AF40" s="19">
        <f>(Gender!CA41/'Total Associates'!AG41)*100</f>
        <v>55.71942114480597</v>
      </c>
      <c r="AG40" s="19">
        <f>(Gender!CB41/'Total Associates'!AH41)*100</f>
        <v>53.048524093852492</v>
      </c>
      <c r="AH40" s="19">
        <f>(Gender!CC41/'Total Associates'!AI41)*100</f>
        <v>53.295241077019405</v>
      </c>
      <c r="AI40" s="19">
        <f>(Gender!CD41/'Total Associates'!AJ41)*100</f>
        <v>54.900777182524706</v>
      </c>
      <c r="AJ40" s="19">
        <f>(Gender!CE41/'Total Associates'!AK41)*100</f>
        <v>56.034981208441749</v>
      </c>
      <c r="AK40" s="19">
        <f>(Gender!CF41/'Total Associates'!AL41)*100</f>
        <v>58.56699919115664</v>
      </c>
      <c r="AL40" s="19">
        <f>(Gender!CG41/'Total Associates'!AM41)*100</f>
        <v>58.136073706591077</v>
      </c>
      <c r="AM40" s="19">
        <f>(Gender!CH41/'Total Associates'!AN41)*100</f>
        <v>59.946568023016852</v>
      </c>
      <c r="AN40" s="19">
        <f>(Gender!CI41/'Total Associates'!AO41)*100</f>
        <v>61.586137954015328</v>
      </c>
      <c r="AO40" s="19">
        <f>(Gender!CJ41/'Total Associates'!AP41)*100</f>
        <v>61.737257717157213</v>
      </c>
      <c r="AP40" s="19">
        <f>(Gender!CK41/'Total Associates'!AQ41)*100</f>
        <v>61.48470676772564</v>
      </c>
      <c r="AQ40" s="19">
        <f>(Gender!CL41/'Total Associates'!AR41)*100</f>
        <v>61.091096242923314</v>
      </c>
      <c r="AR40" s="19">
        <f>(Gender!CM41/'Total Associates'!AS41)*100</f>
        <v>64.545068478607064</v>
      </c>
      <c r="AS40" s="19" t="e">
        <f>(Gender!CN41/'Total Associates'!AT41)*100</f>
        <v>#DIV/0!</v>
      </c>
      <c r="AT40" s="19">
        <f>(Gender!CO41/'Total Associates'!AU41)*100</f>
        <v>63.509830075972864</v>
      </c>
      <c r="AU40" s="19">
        <f>(Gender!CP41/'Total Associates'!AV41)*100</f>
        <v>63.388424131129703</v>
      </c>
      <c r="AV40" s="19">
        <f>(Gender!CQ41/'Total Associates'!AW41)*100</f>
        <v>61.963147686339703</v>
      </c>
    </row>
    <row r="41" spans="1:48">
      <c r="A41" s="64" t="s">
        <v>118</v>
      </c>
      <c r="B41" s="19">
        <f>(Gender!AW42/'Total Associates'!C42)*100</f>
        <v>35.977421271538915</v>
      </c>
      <c r="C41" s="19">
        <f>(Gender!AX42/'Total Associates'!D42)*100</f>
        <v>38.156723063223509</v>
      </c>
      <c r="D41" s="19">
        <f>(Gender!AY42/'Total Associates'!E42)*100</f>
        <v>35.435212660731949</v>
      </c>
      <c r="E41" s="19">
        <f>(Gender!AZ42/'Total Associates'!F42)*100</f>
        <v>37.162326600146024</v>
      </c>
      <c r="F41" s="19">
        <f>(Gender!BA42/'Total Associates'!G42)*100</f>
        <v>40.736342042755346</v>
      </c>
      <c r="G41" s="19">
        <f>(Gender!BB42/'Total Associates'!H42)*100</f>
        <v>43.07692307692308</v>
      </c>
      <c r="H41" s="19">
        <f>(Gender!BC42/'Total Associates'!I42)*100</f>
        <v>44.286636539703032</v>
      </c>
      <c r="I41" s="19">
        <f>(Gender!BD42/'Total Associates'!J42)*100</f>
        <v>46.27467628953513</v>
      </c>
      <c r="J41" s="19">
        <f>(Gender!BE42/'Total Associates'!K42)*100</f>
        <v>48.776371308016877</v>
      </c>
      <c r="K41" s="19">
        <f>(Gender!BF42/'Total Associates'!L42)*100</f>
        <v>51.999219816656918</v>
      </c>
      <c r="L41" s="19">
        <f>(Gender!BG42/'Total Associates'!M42)*100</f>
        <v>52.739603783687308</v>
      </c>
      <c r="M41" s="19">
        <f>(Gender!BH42/'Total Associates'!N42)*100</f>
        <v>51.838709677419359</v>
      </c>
      <c r="N41" s="19">
        <f>(Gender!BI42/'Total Associates'!O42)*100</f>
        <v>52.30589608873322</v>
      </c>
      <c r="O41" s="19">
        <f>(Gender!BJ42/'Total Associates'!P42)*100</f>
        <v>52.964426877470359</v>
      </c>
      <c r="P41" s="19">
        <f>(Gender!BK42/'Total Associates'!Q42)*100</f>
        <v>49.587020648967552</v>
      </c>
      <c r="Q41" s="19">
        <f>(Gender!BL42/'Total Associates'!R42)*100</f>
        <v>52.345958168456754</v>
      </c>
      <c r="R41" s="19">
        <f>(Gender!BM42/'Total Associates'!S42)*100</f>
        <v>51.174682144831394</v>
      </c>
      <c r="S41" s="19">
        <f>(Gender!BN42/'Total Associates'!T42)*100</f>
        <v>51.019535149008988</v>
      </c>
      <c r="T41" s="19">
        <f>(Gender!BO42/'Total Associates'!U42)*100</f>
        <v>51.503990178023329</v>
      </c>
      <c r="U41" s="19">
        <f>(Gender!BP42/'Total Associates'!V42)*100</f>
        <v>53.473630831643007</v>
      </c>
      <c r="V41" s="19">
        <f>(Gender!BQ42/'Total Associates'!W42)*100</f>
        <v>55.972273796261916</v>
      </c>
      <c r="W41" s="19">
        <f>(Gender!BR42/'Total Associates'!X42)*100</f>
        <v>56.789705384354896</v>
      </c>
      <c r="X41" s="19">
        <f>(Gender!BS42/'Total Associates'!Y42)*100</f>
        <v>55.836529242569512</v>
      </c>
      <c r="Y41" s="19">
        <f>(Gender!BT42/'Total Associates'!Z42)*100</f>
        <v>59.30959826798172</v>
      </c>
      <c r="Z41" s="19">
        <f>(Gender!BU42/'Total Associates'!AA42)*100</f>
        <v>60.06592601635942</v>
      </c>
      <c r="AA41" s="19">
        <f>(Gender!BV42/'Total Associates'!AB42)*100</f>
        <v>60.283772505067368</v>
      </c>
      <c r="AB41" s="19">
        <f>(Gender!BW42/'Total Associates'!AC42)*100</f>
        <v>59.963541073259648</v>
      </c>
      <c r="AC41" s="19">
        <f>(Gender!BX42/'Total Associates'!AD42)*100</f>
        <v>59.359910162829863</v>
      </c>
      <c r="AD41" s="19">
        <f>(Gender!BY42/'Total Associates'!AE42)*100</f>
        <v>58.916478555304742</v>
      </c>
      <c r="AE41" s="19">
        <f>(Gender!BZ42/'Total Associates'!AF42)*100</f>
        <v>59.250560478274792</v>
      </c>
      <c r="AF41" s="19">
        <f>(Gender!CA42/'Total Associates'!AG42)*100</f>
        <v>58.048364759774152</v>
      </c>
      <c r="AG41" s="19">
        <f>(Gender!CB42/'Total Associates'!AH42)*100</f>
        <v>57.359895361706414</v>
      </c>
      <c r="AH41" s="19">
        <f>(Gender!CC42/'Total Associates'!AI42)*100</f>
        <v>57.919756607720096</v>
      </c>
      <c r="AI41" s="19">
        <f>(Gender!CD42/'Total Associates'!AJ42)*100</f>
        <v>58.739617190321411</v>
      </c>
      <c r="AJ41" s="19">
        <f>(Gender!CE42/'Total Associates'!AK42)*100</f>
        <v>59.168784326584145</v>
      </c>
      <c r="AK41" s="19">
        <f>(Gender!CF42/'Total Associates'!AL42)*100</f>
        <v>62.918262629182628</v>
      </c>
      <c r="AL41" s="19">
        <f>(Gender!CG42/'Total Associates'!AM42)*100</f>
        <v>63.669265033407576</v>
      </c>
      <c r="AM41" s="19">
        <f>(Gender!CH42/'Total Associates'!AN42)*100</f>
        <v>62.362414124252055</v>
      </c>
      <c r="AN41" s="19">
        <f>(Gender!CI42/'Total Associates'!AO42)*100</f>
        <v>61.551433389544684</v>
      </c>
      <c r="AO41" s="19">
        <f>(Gender!CJ42/'Total Associates'!AP42)*100</f>
        <v>63.464696223316906</v>
      </c>
      <c r="AP41" s="19">
        <f>(Gender!CK42/'Total Associates'!AQ42)*100</f>
        <v>63.758424053913942</v>
      </c>
      <c r="AQ41" s="19">
        <f>(Gender!CL42/'Total Associates'!AR42)*100</f>
        <v>64.806239337070437</v>
      </c>
      <c r="AR41" s="19">
        <f>(Gender!CM42/'Total Associates'!AS42)*100</f>
        <v>64.714658709436776</v>
      </c>
      <c r="AS41" s="19" t="e">
        <f>(Gender!CN42/'Total Associates'!AT42)*100</f>
        <v>#DIV/0!</v>
      </c>
      <c r="AT41" s="19">
        <f>(Gender!CO42/'Total Associates'!AU42)*100</f>
        <v>60.523491533508235</v>
      </c>
      <c r="AU41" s="19">
        <f>(Gender!CP42/'Total Associates'!AV42)*100</f>
        <v>59.812008440437367</v>
      </c>
      <c r="AV41" s="19">
        <f>(Gender!CQ42/'Total Associates'!AW42)*100</f>
        <v>56.88327078807032</v>
      </c>
    </row>
    <row r="42" spans="1:48">
      <c r="A42" s="64" t="s">
        <v>122</v>
      </c>
      <c r="B42" s="19">
        <f>(Gender!AW43/'Total Associates'!C43)*100</f>
        <v>42.297725309530662</v>
      </c>
      <c r="C42" s="19">
        <f>(Gender!AX43/'Total Associates'!D43)*100</f>
        <v>41.587645624492012</v>
      </c>
      <c r="D42" s="19">
        <f>(Gender!AY43/'Total Associates'!E43)*100</f>
        <v>42.886439374519355</v>
      </c>
      <c r="E42" s="19">
        <f>(Gender!AZ43/'Total Associates'!F43)*100</f>
        <v>43.999003984063748</v>
      </c>
      <c r="F42" s="19">
        <f>(Gender!BA43/'Total Associates'!G43)*100</f>
        <v>45.900846432889963</v>
      </c>
      <c r="G42" s="19">
        <f>(Gender!BB43/'Total Associates'!H43)*100</f>
        <v>47.244872745243391</v>
      </c>
      <c r="H42" s="19">
        <f>(Gender!BC43/'Total Associates'!I43)*100</f>
        <v>49.215640365254039</v>
      </c>
      <c r="I42" s="19">
        <f>(Gender!BD43/'Total Associates'!J43)*100</f>
        <v>50.772833723653399</v>
      </c>
      <c r="J42" s="19">
        <f>(Gender!BE43/'Total Associates'!K43)*100</f>
        <v>51.830357142857139</v>
      </c>
      <c r="K42" s="19">
        <f>(Gender!BF43/'Total Associates'!L43)*100</f>
        <v>53.334830451381087</v>
      </c>
      <c r="L42" s="19">
        <f>(Gender!BG43/'Total Associates'!M43)*100</f>
        <v>56.485539000876429</v>
      </c>
      <c r="M42" s="19">
        <f>(Gender!BH43/'Total Associates'!N43)*100</f>
        <v>54.996019108280258</v>
      </c>
      <c r="N42" s="19">
        <f>(Gender!BI43/'Total Associates'!O43)*100</f>
        <v>56.237049316203894</v>
      </c>
      <c r="O42" s="19">
        <f>(Gender!BJ43/'Total Associates'!P43)*100</f>
        <v>54.548865128493716</v>
      </c>
      <c r="P42" s="19">
        <f>(Gender!BK43/'Total Associates'!Q43)*100</f>
        <v>57.571727151814557</v>
      </c>
      <c r="Q42" s="19">
        <f>(Gender!BL43/'Total Associates'!R43)*100</f>
        <v>59.118116520351158</v>
      </c>
      <c r="R42" s="19">
        <f>(Gender!BM43/'Total Associates'!S43)*100</f>
        <v>57.319778188539736</v>
      </c>
      <c r="S42" s="19">
        <f>(Gender!BN43/'Total Associates'!T43)*100</f>
        <v>56.713595293128805</v>
      </c>
      <c r="T42" s="19">
        <f>(Gender!BO43/'Total Associates'!U43)*100</f>
        <v>59.00212724811449</v>
      </c>
      <c r="U42" s="19">
        <f>(Gender!BP43/'Total Associates'!V43)*100</f>
        <v>59.293311700018023</v>
      </c>
      <c r="V42" s="19">
        <f>(Gender!BQ43/'Total Associates'!W43)*100</f>
        <v>60.367634427074393</v>
      </c>
      <c r="W42" s="19">
        <f>(Gender!BR43/'Total Associates'!X43)*100</f>
        <v>59.441218019149268</v>
      </c>
      <c r="X42" s="19">
        <f>(Gender!BS43/'Total Associates'!Y43)*100</f>
        <v>58.71356147021546</v>
      </c>
      <c r="Y42" s="19">
        <f>(Gender!BT43/'Total Associates'!Z43)*100</f>
        <v>60.035735556879096</v>
      </c>
      <c r="Z42" s="19">
        <f>(Gender!BU43/'Total Associates'!AA43)*100</f>
        <v>59.890820284441894</v>
      </c>
      <c r="AA42" s="19">
        <f>(Gender!BV43/'Total Associates'!AB43)*100</f>
        <v>60.47246257382227</v>
      </c>
      <c r="AB42" s="19">
        <f>(Gender!BW43/'Total Associates'!AC43)*100</f>
        <v>59.510250569476085</v>
      </c>
      <c r="AC42" s="19">
        <f>(Gender!BX43/'Total Associates'!AD43)*100</f>
        <v>60.002792126204106</v>
      </c>
      <c r="AD42" s="19">
        <f>(Gender!BY43/'Total Associates'!AE43)*100</f>
        <v>59.359012940114354</v>
      </c>
      <c r="AE42" s="19">
        <f>(Gender!BZ43/'Total Associates'!AF43)*100</f>
        <v>59.700878155872672</v>
      </c>
      <c r="AF42" s="19">
        <f>(Gender!CA43/'Total Associates'!AG43)*100</f>
        <v>59.857417055113793</v>
      </c>
      <c r="AG42" s="19">
        <f>(Gender!CB43/'Total Associates'!AH43)*100</f>
        <v>59.980579830767098</v>
      </c>
      <c r="AH42" s="19">
        <f>(Gender!CC43/'Total Associates'!AI43)*100</f>
        <v>59.688962290118361</v>
      </c>
      <c r="AI42" s="19">
        <f>(Gender!CD43/'Total Associates'!AJ43)*100</f>
        <v>60.256078634247281</v>
      </c>
      <c r="AJ42" s="19">
        <f>(Gender!CE43/'Total Associates'!AK43)*100</f>
        <v>61.39049534825245</v>
      </c>
      <c r="AK42" s="19">
        <f>(Gender!CF43/'Total Associates'!AL43)*100</f>
        <v>60.585987261146499</v>
      </c>
      <c r="AL42" s="19">
        <f>(Gender!CG43/'Total Associates'!AM43)*100</f>
        <v>61.453154875717019</v>
      </c>
      <c r="AM42" s="19">
        <f>(Gender!CH43/'Total Associates'!AN43)*100</f>
        <v>61.749235474006113</v>
      </c>
      <c r="AN42" s="19">
        <f>(Gender!CI43/'Total Associates'!AO43)*100</f>
        <v>61.897475133894417</v>
      </c>
      <c r="AO42" s="19">
        <f>(Gender!CJ43/'Total Associates'!AP43)*100</f>
        <v>60.458214624881293</v>
      </c>
      <c r="AP42" s="19">
        <f>(Gender!CK43/'Total Associates'!AQ43)*100</f>
        <v>61.225134196400376</v>
      </c>
      <c r="AQ42" s="19">
        <f>(Gender!CL43/'Total Associates'!AR43)*100</f>
        <v>61.743981209630064</v>
      </c>
      <c r="AR42" s="19">
        <f>(Gender!CM43/'Total Associates'!AS43)*100</f>
        <v>61.050061050061053</v>
      </c>
      <c r="AS42" s="19" t="e">
        <f>(Gender!CN43/'Total Associates'!AT43)*100</f>
        <v>#DIV/0!</v>
      </c>
      <c r="AT42" s="19">
        <f>(Gender!CO43/'Total Associates'!AU43)*100</f>
        <v>60.311039194534345</v>
      </c>
      <c r="AU42" s="19">
        <f>(Gender!CP43/'Total Associates'!AV43)*100</f>
        <v>58.955516362923767</v>
      </c>
      <c r="AV42" s="19">
        <f>(Gender!CQ43/'Total Associates'!AW43)*100</f>
        <v>58.836553945249591</v>
      </c>
    </row>
    <row r="43" spans="1:48">
      <c r="A43" s="64" t="s">
        <v>125</v>
      </c>
      <c r="B43" s="19">
        <f>(Gender!AW44/'Total Associates'!C44)*100</f>
        <v>41.605025838484146</v>
      </c>
      <c r="C43" s="19">
        <f>(Gender!AX44/'Total Associates'!D44)*100</f>
        <v>40.795081967213115</v>
      </c>
      <c r="D43" s="19">
        <f>(Gender!AY44/'Total Associates'!E44)*100</f>
        <v>42.862345229424619</v>
      </c>
      <c r="E43" s="19">
        <f>(Gender!AZ44/'Total Associates'!F44)*100</f>
        <v>44.182544359326911</v>
      </c>
      <c r="F43" s="19">
        <f>(Gender!BA44/'Total Associates'!G44)*100</f>
        <v>44.171854774086171</v>
      </c>
      <c r="G43" s="19">
        <f>(Gender!BB44/'Total Associates'!H44)*100</f>
        <v>45.401043562674431</v>
      </c>
      <c r="H43" s="19">
        <f>(Gender!BC44/'Total Associates'!I44)*100</f>
        <v>47.25374489332728</v>
      </c>
      <c r="I43" s="19">
        <f>(Gender!BD44/'Total Associates'!J44)*100</f>
        <v>50.542202347680266</v>
      </c>
      <c r="J43" s="19">
        <f>(Gender!BE44/'Total Associates'!K44)*100</f>
        <v>52.666199385345337</v>
      </c>
      <c r="K43" s="19">
        <f>(Gender!BF44/'Total Associates'!L44)*100</f>
        <v>53.811708169506332</v>
      </c>
      <c r="L43" s="19">
        <f>(Gender!BG44/'Total Associates'!M44)*100</f>
        <v>54.84211637976555</v>
      </c>
      <c r="M43" s="19">
        <f>(Gender!BH44/'Total Associates'!N44)*100</f>
        <v>56.193798830524301</v>
      </c>
      <c r="N43" s="19">
        <f>(Gender!BI44/'Total Associates'!O44)*100</f>
        <v>55.826261520211695</v>
      </c>
      <c r="O43" s="19">
        <f>(Gender!BJ44/'Total Associates'!P44)*100</f>
        <v>56.46639062637653</v>
      </c>
      <c r="P43" s="19">
        <f>(Gender!BK44/'Total Associates'!Q44)*100</f>
        <v>59.083949429108884</v>
      </c>
      <c r="Q43" s="19">
        <f>(Gender!BL44/'Total Associates'!R44)*100</f>
        <v>60.727646838757956</v>
      </c>
      <c r="R43" s="19">
        <f>(Gender!BM44/'Total Associates'!S44)*100</f>
        <v>61.788953009068429</v>
      </c>
      <c r="S43" s="19">
        <f>(Gender!BN44/'Total Associates'!T44)*100</f>
        <v>61.446782049953363</v>
      </c>
      <c r="T43" s="19">
        <f>(Gender!BO44/'Total Associates'!U44)*100</f>
        <v>61.488496628322096</v>
      </c>
      <c r="U43" s="19">
        <f>(Gender!BP44/'Total Associates'!V44)*100</f>
        <v>61.826432217810549</v>
      </c>
      <c r="V43" s="19">
        <f>(Gender!BQ44/'Total Associates'!W44)*100</f>
        <v>62.505574881812507</v>
      </c>
      <c r="W43" s="19">
        <f>(Gender!BR44/'Total Associates'!X44)*100</f>
        <v>62.454561190929546</v>
      </c>
      <c r="X43" s="19">
        <f>(Gender!BS44/'Total Associates'!Y44)*100</f>
        <v>61.751475382774132</v>
      </c>
      <c r="Y43" s="19">
        <f>(Gender!BT44/'Total Associates'!Z44)*100</f>
        <v>63.146809828618622</v>
      </c>
      <c r="Z43" s="19">
        <f>(Gender!BU44/'Total Associates'!AA44)*100</f>
        <v>64.302079661614385</v>
      </c>
      <c r="AA43" s="19">
        <f>(Gender!BV44/'Total Associates'!AB44)*100</f>
        <v>64.217768747691167</v>
      </c>
      <c r="AB43" s="19">
        <f>(Gender!BW44/'Total Associates'!AC44)*100</f>
        <v>64.265523844260059</v>
      </c>
      <c r="AC43" s="19">
        <f>(Gender!BX44/'Total Associates'!AD44)*100</f>
        <v>63.654551517172386</v>
      </c>
      <c r="AD43" s="19">
        <f>(Gender!BY44/'Total Associates'!AE44)*100</f>
        <v>63.200036813768342</v>
      </c>
      <c r="AE43" s="19">
        <f>(Gender!BZ44/'Total Associates'!AF44)*100</f>
        <v>63.116015065513764</v>
      </c>
      <c r="AF43" s="19">
        <f>(Gender!CA44/'Total Associates'!AG44)*100</f>
        <v>63.724787549912975</v>
      </c>
      <c r="AG43" s="19">
        <f>(Gender!CB44/'Total Associates'!AH44)*100</f>
        <v>63.304560954816715</v>
      </c>
      <c r="AH43" s="19">
        <f>(Gender!CC44/'Total Associates'!AI44)*100</f>
        <v>63.459086831295153</v>
      </c>
      <c r="AI43" s="19">
        <f>(Gender!CD44/'Total Associates'!AJ44)*100</f>
        <v>64.714233376076209</v>
      </c>
      <c r="AJ43" s="19">
        <f>(Gender!CE44/'Total Associates'!AK44)*100</f>
        <v>65.217576247394618</v>
      </c>
      <c r="AK43" s="19">
        <f>(Gender!CF44/'Total Associates'!AL44)*100</f>
        <v>63.968325606203592</v>
      </c>
      <c r="AL43" s="19">
        <f>(Gender!CG44/'Total Associates'!AM44)*100</f>
        <v>63.328172760112743</v>
      </c>
      <c r="AM43" s="19">
        <f>(Gender!CH44/'Total Associates'!AN44)*100</f>
        <v>62.470218961539913</v>
      </c>
      <c r="AN43" s="19">
        <f>(Gender!CI44/'Total Associates'!AO44)*100</f>
        <v>62.05880185690075</v>
      </c>
      <c r="AO43" s="19">
        <f>(Gender!CJ44/'Total Associates'!AP44)*100</f>
        <v>61.414769041685155</v>
      </c>
      <c r="AP43" s="19">
        <f>(Gender!CK44/'Total Associates'!AQ44)*100</f>
        <v>61.379176253281052</v>
      </c>
      <c r="AQ43" s="19">
        <f>(Gender!CL44/'Total Associates'!AR44)*100</f>
        <v>61.079767120821082</v>
      </c>
      <c r="AR43" s="19">
        <f>(Gender!CM44/'Total Associates'!AS44)*100</f>
        <v>61.628451099672446</v>
      </c>
      <c r="AS43" s="19" t="e">
        <f>(Gender!CN44/'Total Associates'!AT44)*100</f>
        <v>#DIV/0!</v>
      </c>
      <c r="AT43" s="19">
        <f>(Gender!CO44/'Total Associates'!AU44)*100</f>
        <v>61.549797371975934</v>
      </c>
      <c r="AU43" s="19">
        <f>(Gender!CP44/'Total Associates'!AV44)*100</f>
        <v>62.006915768623891</v>
      </c>
      <c r="AV43" s="19">
        <f>(Gender!CQ44/'Total Associates'!AW44)*100</f>
        <v>60.384696980411569</v>
      </c>
    </row>
    <row r="44" spans="1:48">
      <c r="A44" s="64" t="s">
        <v>126</v>
      </c>
      <c r="B44" s="19">
        <f>(Gender!AW45/'Total Associates'!C45)*100</f>
        <v>44.683364839319474</v>
      </c>
      <c r="C44" s="19">
        <f>(Gender!AX45/'Total Associates'!D45)*100</f>
        <v>48.954918032786885</v>
      </c>
      <c r="D44" s="19">
        <f>(Gender!AY45/'Total Associates'!E45)*100</f>
        <v>49.24670433145009</v>
      </c>
      <c r="E44" s="19">
        <f>(Gender!AZ45/'Total Associates'!F45)*100</f>
        <v>51.305903398926652</v>
      </c>
      <c r="F44" s="19">
        <f>(Gender!BA45/'Total Associates'!G45)*100</f>
        <v>52.853460972017672</v>
      </c>
      <c r="G44" s="19">
        <f>(Gender!BB45/'Total Associates'!H45)*100</f>
        <v>53.031120705162806</v>
      </c>
      <c r="H44" s="19">
        <f>(Gender!BC45/'Total Associates'!I45)*100</f>
        <v>55.009650815932623</v>
      </c>
      <c r="I44" s="19">
        <f>(Gender!BD45/'Total Associates'!J45)*100</f>
        <v>58.465387823185985</v>
      </c>
      <c r="J44" s="19">
        <f>(Gender!BE45/'Total Associates'!K45)*100</f>
        <v>62.229965156794421</v>
      </c>
      <c r="K44" s="19">
        <f>(Gender!BF45/'Total Associates'!L45)*100</f>
        <v>62.474029087422089</v>
      </c>
      <c r="L44" s="19">
        <f>(Gender!BG45/'Total Associates'!M45)*100</f>
        <v>60.940819423368744</v>
      </c>
      <c r="M44" s="19">
        <f>(Gender!BH45/'Total Associates'!N45)*100</f>
        <v>58.866960102229157</v>
      </c>
      <c r="N44" s="19">
        <f>(Gender!BI45/'Total Associates'!O45)*100</f>
        <v>58.281665190434019</v>
      </c>
      <c r="O44" s="19">
        <f>(Gender!BJ45/'Total Associates'!P45)*100</f>
        <v>58.777633289986994</v>
      </c>
      <c r="P44" s="19">
        <f>(Gender!BK45/'Total Associates'!Q45)*100</f>
        <v>58.743877845001435</v>
      </c>
      <c r="Q44" s="19">
        <f>(Gender!BL45/'Total Associates'!R45)*100</f>
        <v>57.054167313363337</v>
      </c>
      <c r="R44" s="19">
        <f>(Gender!BM45/'Total Associates'!S45)*100</f>
        <v>58.589079314467917</v>
      </c>
      <c r="S44" s="19">
        <f>(Gender!BN45/'Total Associates'!T45)*100</f>
        <v>58.556184955868794</v>
      </c>
      <c r="T44" s="19">
        <f>(Gender!BO45/'Total Associates'!U45)*100</f>
        <v>59.421332949474589</v>
      </c>
      <c r="U44" s="19">
        <f>(Gender!BP45/'Total Associates'!V45)*100</f>
        <v>61.232733906697945</v>
      </c>
      <c r="V44" s="19">
        <f>(Gender!BQ45/'Total Associates'!W45)*100</f>
        <v>60.514485514485514</v>
      </c>
      <c r="W44" s="19">
        <f>(Gender!BR45/'Total Associates'!X45)*100</f>
        <v>60.383316998802137</v>
      </c>
      <c r="X44" s="19">
        <f>(Gender!BS45/'Total Associates'!Y45)*100</f>
        <v>60.413680114683601</v>
      </c>
      <c r="Y44" s="19">
        <f>(Gender!BT45/'Total Associates'!Z45)*100</f>
        <v>61.186650185414095</v>
      </c>
      <c r="Z44" s="19">
        <f>(Gender!BU45/'Total Associates'!AA45)*100</f>
        <v>54.780615586116568</v>
      </c>
      <c r="AA44" s="19">
        <f>(Gender!BV45/'Total Associates'!AB45)*100</f>
        <v>57.760792148006601</v>
      </c>
      <c r="AB44" s="19">
        <f>(Gender!BW45/'Total Associates'!AC45)*100</f>
        <v>62.542277339346107</v>
      </c>
      <c r="AC44" s="19">
        <f>(Gender!BX45/'Total Associates'!AD45)*100</f>
        <v>62.812160694896846</v>
      </c>
      <c r="AD44" s="19">
        <f>(Gender!BY45/'Total Associates'!AE45)*100</f>
        <v>63.405555025293502</v>
      </c>
      <c r="AE44" s="19">
        <f>(Gender!BZ45/'Total Associates'!AF45)*100</f>
        <v>59.936536718041701</v>
      </c>
      <c r="AF44" s="19">
        <f>(Gender!CA45/'Total Associates'!AG45)*100</f>
        <v>59.442099467792254</v>
      </c>
      <c r="AG44" s="19">
        <f>(Gender!CB45/'Total Associates'!AH45)*100</f>
        <v>59.626752237797668</v>
      </c>
      <c r="AH44" s="19">
        <f>(Gender!CC45/'Total Associates'!AI45)*100</f>
        <v>58.968576153961806</v>
      </c>
      <c r="AI44" s="19">
        <f>(Gender!CD45/'Total Associates'!AJ45)*100</f>
        <v>59.324781505497604</v>
      </c>
      <c r="AJ44" s="19">
        <f>(Gender!CE45/'Total Associates'!AK45)*100</f>
        <v>60.36589307647553</v>
      </c>
      <c r="AK44" s="19">
        <f>(Gender!CF45/'Total Associates'!AL45)*100</f>
        <v>62.737190082644624</v>
      </c>
      <c r="AL44" s="19">
        <f>(Gender!CG45/'Total Associates'!AM45)*100</f>
        <v>63.121957387620917</v>
      </c>
      <c r="AM44" s="19">
        <f>(Gender!CH45/'Total Associates'!AN45)*100</f>
        <v>61.975650916104144</v>
      </c>
      <c r="AN44" s="19">
        <f>(Gender!CI45/'Total Associates'!AO45)*100</f>
        <v>61.709101551068187</v>
      </c>
      <c r="AO44" s="19">
        <f>(Gender!CJ45/'Total Associates'!AP45)*100</f>
        <v>62.244621470763562</v>
      </c>
      <c r="AP44" s="19">
        <f>(Gender!CK45/'Total Associates'!AQ45)*100</f>
        <v>61.220703125</v>
      </c>
      <c r="AQ44" s="19">
        <f>(Gender!CL45/'Total Associates'!AR45)*100</f>
        <v>60.556640625</v>
      </c>
      <c r="AR44" s="19">
        <f>(Gender!CM45/'Total Associates'!AS45)*100</f>
        <v>62.172267355982278</v>
      </c>
      <c r="AS44" s="19" t="e">
        <f>(Gender!CN45/'Total Associates'!AT45)*100</f>
        <v>#DIV/0!</v>
      </c>
      <c r="AT44" s="19">
        <f>(Gender!CO45/'Total Associates'!AU45)*100</f>
        <v>61.446800059579964</v>
      </c>
      <c r="AU44" s="19">
        <f>(Gender!CP45/'Total Associates'!AV45)*100</f>
        <v>62.106934343951657</v>
      </c>
      <c r="AV44" s="19">
        <f>(Gender!CQ45/'Total Associates'!AW45)*100</f>
        <v>60.924861940090366</v>
      </c>
    </row>
    <row r="45" spans="1:48">
      <c r="A45" s="64" t="s">
        <v>127</v>
      </c>
      <c r="B45" s="19">
        <f>(Gender!AW46/'Total Associates'!C46)*100</f>
        <v>56.296119971435374</v>
      </c>
      <c r="C45" s="19">
        <f>(Gender!AX46/'Total Associates'!D46)*100</f>
        <v>51.641856392294216</v>
      </c>
      <c r="D45" s="19">
        <f>(Gender!AY46/'Total Associates'!E46)*100</f>
        <v>48.485436893203882</v>
      </c>
      <c r="E45" s="19">
        <f>(Gender!AZ46/'Total Associates'!F46)*100</f>
        <v>49.764243614931239</v>
      </c>
      <c r="F45" s="19">
        <f>(Gender!BA46/'Total Associates'!G46)*100</f>
        <v>49.157853505679597</v>
      </c>
      <c r="G45" s="19">
        <f>(Gender!BB46/'Total Associates'!H46)*100</f>
        <v>41.988365943945006</v>
      </c>
      <c r="H45" s="19">
        <f>(Gender!BC46/'Total Associates'!I46)*100</f>
        <v>43.895226024503593</v>
      </c>
      <c r="I45" s="19">
        <f>(Gender!BD46/'Total Associates'!J46)*100</f>
        <v>48.534008036910251</v>
      </c>
      <c r="J45" s="19">
        <f>(Gender!BE46/'Total Associates'!K46)*100</f>
        <v>52.012616401321722</v>
      </c>
      <c r="K45" s="19">
        <f>(Gender!BF46/'Total Associates'!L46)*100</f>
        <v>53.969580478021065</v>
      </c>
      <c r="L45" s="19">
        <f>(Gender!BG46/'Total Associates'!M46)*100</f>
        <v>54.350567465321561</v>
      </c>
      <c r="M45" s="19">
        <f>(Gender!BH46/'Total Associates'!N46)*100</f>
        <v>53.326309452137266</v>
      </c>
      <c r="N45" s="19">
        <f>(Gender!BI46/'Total Associates'!O46)*100</f>
        <v>54.054054054054056</v>
      </c>
      <c r="O45" s="19">
        <f>(Gender!BJ46/'Total Associates'!P46)*100</f>
        <v>55.094286518435119</v>
      </c>
      <c r="P45" s="19">
        <f>(Gender!BK46/'Total Associates'!Q46)*100</f>
        <v>55.265713889274316</v>
      </c>
      <c r="Q45" s="19">
        <f>(Gender!BL46/'Total Associates'!R46)*100</f>
        <v>55.426299514062727</v>
      </c>
      <c r="R45" s="19">
        <f>(Gender!BM46/'Total Associates'!S46)*100</f>
        <v>56.561922365988913</v>
      </c>
      <c r="S45" s="19">
        <f>(Gender!BN46/'Total Associates'!T46)*100</f>
        <v>56.489345850096853</v>
      </c>
      <c r="T45" s="19">
        <f>(Gender!BO46/'Total Associates'!U46)*100</f>
        <v>57.30646564221513</v>
      </c>
      <c r="U45" s="19">
        <f>(Gender!BP46/'Total Associates'!V46)*100</f>
        <v>57.59814573373896</v>
      </c>
      <c r="V45" s="19">
        <f>(Gender!BQ46/'Total Associates'!W46)*100</f>
        <v>56.617744281369831</v>
      </c>
      <c r="W45" s="19">
        <f>(Gender!BR46/'Total Associates'!X46)*100</f>
        <v>58.045535942696347</v>
      </c>
      <c r="X45" s="19">
        <f>(Gender!BS46/'Total Associates'!Y46)*100</f>
        <v>59.66596036395363</v>
      </c>
      <c r="Y45" s="19">
        <f>(Gender!BT46/'Total Associates'!Z46)*100</f>
        <v>59.567901234567898</v>
      </c>
      <c r="Z45" s="19">
        <f>(Gender!BU46/'Total Associates'!AA46)*100</f>
        <v>61.167114695340494</v>
      </c>
      <c r="AA45" s="19">
        <f>(Gender!BV46/'Total Associates'!AB46)*100</f>
        <v>61.781039270130897</v>
      </c>
      <c r="AB45" s="19">
        <f>(Gender!BW46/'Total Associates'!AC46)*100</f>
        <v>62.344784768211923</v>
      </c>
      <c r="AC45" s="19">
        <f>(Gender!BX46/'Total Associates'!AD46)*100</f>
        <v>59.870676986381902</v>
      </c>
      <c r="AD45" s="19">
        <f>(Gender!BY46/'Total Associates'!AE46)*100</f>
        <v>62.195828505214365</v>
      </c>
      <c r="AE45" s="19">
        <f>(Gender!BZ46/'Total Associates'!AF46)*100</f>
        <v>59.341695746486842</v>
      </c>
      <c r="AF45" s="19">
        <f>(Gender!CA46/'Total Associates'!AG46)*100</f>
        <v>60.472308124824295</v>
      </c>
      <c r="AG45" s="19">
        <f>(Gender!CB46/'Total Associates'!AH46)*100</f>
        <v>60.147972232371202</v>
      </c>
      <c r="AH45" s="19">
        <f>(Gender!CC46/'Total Associates'!AI46)*100</f>
        <v>60.096634455181608</v>
      </c>
      <c r="AI45" s="19">
        <f>(Gender!CD46/'Total Associates'!AJ46)*100</f>
        <v>61.333548595414925</v>
      </c>
      <c r="AJ45" s="19">
        <f>(Gender!CE46/'Total Associates'!AK46)*100</f>
        <v>63.66812876366069</v>
      </c>
      <c r="AK45" s="19">
        <f>(Gender!CF46/'Total Associates'!AL46)*100</f>
        <v>64.59453645945365</v>
      </c>
      <c r="AL45" s="19">
        <f>(Gender!CG46/'Total Associates'!AM46)*100</f>
        <v>63.927397456052596</v>
      </c>
      <c r="AM45" s="19">
        <f>(Gender!CH46/'Total Associates'!AN46)*100</f>
        <v>63.482173762547589</v>
      </c>
      <c r="AN45" s="19">
        <f>(Gender!CI46/'Total Associates'!AO46)*100</f>
        <v>62.238998843773373</v>
      </c>
      <c r="AO45" s="19">
        <f>(Gender!CJ46/'Total Associates'!AP46)*100</f>
        <v>61.392566191446029</v>
      </c>
      <c r="AP45" s="19">
        <f>(Gender!CK46/'Total Associates'!AQ46)*100</f>
        <v>61.468144044321328</v>
      </c>
      <c r="AQ45" s="19">
        <f>(Gender!CL46/'Total Associates'!AR46)*100</f>
        <v>60.765027322404372</v>
      </c>
      <c r="AR45" s="19">
        <f>(Gender!CM46/'Total Associates'!AS46)*100</f>
        <v>60.955570673504631</v>
      </c>
      <c r="AS45" s="19" t="e">
        <f>(Gender!CN46/'Total Associates'!AT46)*100</f>
        <v>#DIV/0!</v>
      </c>
      <c r="AT45" s="19">
        <f>(Gender!CO46/'Total Associates'!AU46)*100</f>
        <v>59.855999999999995</v>
      </c>
      <c r="AU45" s="19">
        <f>(Gender!CP46/'Total Associates'!AV46)*100</f>
        <v>60.445468509984636</v>
      </c>
      <c r="AV45" s="19">
        <f>(Gender!CQ46/'Total Associates'!AW46)*100</f>
        <v>60.383590219028861</v>
      </c>
    </row>
    <row r="46" spans="1:48">
      <c r="A46" s="64" t="s">
        <v>131</v>
      </c>
      <c r="B46" s="19">
        <f>(Gender!AW47/'Total Associates'!C47)*100</f>
        <v>36.23789764868603</v>
      </c>
      <c r="C46" s="19">
        <f>(Gender!AX47/'Total Associates'!D47)*100</f>
        <v>46.050096339113679</v>
      </c>
      <c r="D46" s="19">
        <f>(Gender!AY47/'Total Associates'!E47)*100</f>
        <v>44.537815126050425</v>
      </c>
      <c r="E46" s="19">
        <f>(Gender!AZ47/'Total Associates'!F47)*100</f>
        <v>43.976897689768975</v>
      </c>
      <c r="F46" s="19">
        <f>(Gender!BA47/'Total Associates'!G47)*100</f>
        <v>33.792240300375468</v>
      </c>
      <c r="G46" s="19">
        <f>(Gender!BB47/'Total Associates'!H47)*100</f>
        <v>36.509695290858723</v>
      </c>
      <c r="H46" s="19">
        <f>(Gender!BC47/'Total Associates'!I47)*100</f>
        <v>38.473360655737707</v>
      </c>
      <c r="I46" s="19">
        <f>(Gender!BD47/'Total Associates'!J47)*100</f>
        <v>39.331135186057466</v>
      </c>
      <c r="J46" s="19">
        <f>(Gender!BE47/'Total Associates'!K47)*100</f>
        <v>40.595903165735571</v>
      </c>
      <c r="K46" s="19">
        <f>(Gender!BF47/'Total Associates'!L47)*100</f>
        <v>41.934046345811048</v>
      </c>
      <c r="L46" s="19">
        <f>(Gender!BG47/'Total Associates'!M47)*100</f>
        <v>44.530244530244531</v>
      </c>
      <c r="M46" s="19">
        <f>(Gender!BH47/'Total Associates'!N47)*100</f>
        <v>44.804425128407743</v>
      </c>
      <c r="N46" s="19">
        <f>(Gender!BI47/'Total Associates'!O47)*100</f>
        <v>41.663704230359052</v>
      </c>
      <c r="O46" s="19">
        <f>(Gender!BJ47/'Total Associates'!P47)*100</f>
        <v>43.871399866041529</v>
      </c>
      <c r="P46" s="19">
        <f>(Gender!BK47/'Total Associates'!Q47)*100</f>
        <v>43.149497051682275</v>
      </c>
      <c r="Q46" s="19">
        <f>(Gender!BL47/'Total Associates'!R47)*100</f>
        <v>45.098039215686278</v>
      </c>
      <c r="R46" s="19">
        <f>(Gender!BM47/'Total Associates'!S47)*100</f>
        <v>44.34544208361892</v>
      </c>
      <c r="S46" s="19">
        <f>(Gender!BN47/'Total Associates'!T47)*100</f>
        <v>41.005498821681066</v>
      </c>
      <c r="T46" s="19">
        <f>(Gender!BO47/'Total Associates'!U47)*100</f>
        <v>46.817849305047545</v>
      </c>
      <c r="U46" s="19">
        <f>(Gender!BP47/'Total Associates'!V47)*100</f>
        <v>47.647498132935027</v>
      </c>
      <c r="V46" s="19">
        <f>(Gender!BQ47/'Total Associates'!W47)*100</f>
        <v>48.70151770657673</v>
      </c>
      <c r="W46" s="19">
        <f>(Gender!BR47/'Total Associates'!X47)*100</f>
        <v>51.528150134048254</v>
      </c>
      <c r="X46" s="19">
        <f>(Gender!BS47/'Total Associates'!Y47)*100</f>
        <v>57.778668805132313</v>
      </c>
      <c r="Y46" s="19">
        <f>(Gender!BT47/'Total Associates'!Z47)*100</f>
        <v>49.545312010034493</v>
      </c>
      <c r="Z46" s="19">
        <f>(Gender!BU47/'Total Associates'!AA47)*100</f>
        <v>49.450222882615158</v>
      </c>
      <c r="AA46" s="19">
        <f>(Gender!BV47/'Total Associates'!AB47)*100</f>
        <v>54.849812265331664</v>
      </c>
      <c r="AB46" s="19">
        <f>(Gender!BW47/'Total Associates'!AC47)*100</f>
        <v>52.989209682123075</v>
      </c>
      <c r="AC46" s="19">
        <f>(Gender!BX47/'Total Associates'!AD47)*100</f>
        <v>51.321762349799741</v>
      </c>
      <c r="AD46" s="19">
        <f>(Gender!BY47/'Total Associates'!AE47)*100</f>
        <v>50.76837105336687</v>
      </c>
      <c r="AE46" s="19">
        <f>(Gender!BZ47/'Total Associates'!AF47)*100</f>
        <v>50.166966349858718</v>
      </c>
      <c r="AF46" s="19">
        <f>(Gender!CA47/'Total Associates'!AG47)*100</f>
        <v>50.90270812437312</v>
      </c>
      <c r="AG46" s="19">
        <f>(Gender!CB47/'Total Associates'!AH47)*100</f>
        <v>49.572039942938659</v>
      </c>
      <c r="AH46" s="19">
        <f>(Gender!CC47/'Total Associates'!AI47)*100</f>
        <v>49.381584974805314</v>
      </c>
      <c r="AI46" s="19">
        <f>(Gender!CD47/'Total Associates'!AJ47)*100</f>
        <v>50.779976717112916</v>
      </c>
      <c r="AJ46" s="19">
        <f>(Gender!CE47/'Total Associates'!AK47)*100</f>
        <v>54.29805615550756</v>
      </c>
      <c r="AK46" s="19">
        <f>(Gender!CF47/'Total Associates'!AL47)*100</f>
        <v>54.247300875942152</v>
      </c>
      <c r="AL46" s="19">
        <f>(Gender!CG47/'Total Associates'!AM47)*100</f>
        <v>55.225701504676692</v>
      </c>
      <c r="AM46" s="19">
        <f>(Gender!CH47/'Total Associates'!AN47)*100</f>
        <v>53.267162944582303</v>
      </c>
      <c r="AN46" s="19">
        <f>(Gender!CI47/'Total Associates'!AO47)*100</f>
        <v>55.259290363216465</v>
      </c>
      <c r="AO46" s="19">
        <f>(Gender!CJ47/'Total Associates'!AP47)*100</f>
        <v>54.197530864197532</v>
      </c>
      <c r="AP46" s="19">
        <f>(Gender!CK47/'Total Associates'!AQ47)*100</f>
        <v>56.40067277144459</v>
      </c>
      <c r="AQ46" s="19">
        <f>(Gender!CL47/'Total Associates'!AR47)*100</f>
        <v>54.921020656136086</v>
      </c>
      <c r="AR46" s="19">
        <f>(Gender!CM47/'Total Associates'!AS47)*100</f>
        <v>54.990773360174472</v>
      </c>
      <c r="AS46" s="19" t="e">
        <f>(Gender!CN47/'Total Associates'!AT47)*100</f>
        <v>#DIV/0!</v>
      </c>
      <c r="AT46" s="19">
        <f>(Gender!CO47/'Total Associates'!AU47)*100</f>
        <v>55.707282913165265</v>
      </c>
      <c r="AU46" s="19">
        <f>(Gender!CP47/'Total Associates'!AV47)*100</f>
        <v>55.462674961119752</v>
      </c>
      <c r="AV46" s="19">
        <f>(Gender!CQ47/'Total Associates'!AW47)*100</f>
        <v>54.943753700414447</v>
      </c>
    </row>
    <row r="47" spans="1:48">
      <c r="A47" s="64" t="s">
        <v>130</v>
      </c>
      <c r="B47" s="19">
        <f>(Gender!AW48/'Total Associates'!C48)*100</f>
        <v>35.992217898832685</v>
      </c>
      <c r="C47" s="19">
        <f>(Gender!AX48/'Total Associates'!D48)*100</f>
        <v>38.589618021547501</v>
      </c>
      <c r="D47" s="19">
        <f>(Gender!AY48/'Total Associates'!E48)*100</f>
        <v>40.32674118658641</v>
      </c>
      <c r="E47" s="19">
        <f>(Gender!AZ48/'Total Associates'!F48)*100</f>
        <v>41.17193523515806</v>
      </c>
      <c r="F47" s="19">
        <f>(Gender!BA48/'Total Associates'!G48)*100</f>
        <v>40.99290780141844</v>
      </c>
      <c r="G47" s="19">
        <f>(Gender!BB48/'Total Associates'!H48)*100</f>
        <v>45.054200542005418</v>
      </c>
      <c r="H47" s="19">
        <f>(Gender!BC48/'Total Associates'!I48)*100</f>
        <v>45.032258064516128</v>
      </c>
      <c r="I47" s="19">
        <f>(Gender!BD48/'Total Associates'!J48)*100</f>
        <v>45.101553166069294</v>
      </c>
      <c r="J47" s="19">
        <f>(Gender!BE48/'Total Associates'!K48)*100</f>
        <v>46.794871794871796</v>
      </c>
      <c r="K47" s="19">
        <f>(Gender!BF48/'Total Associates'!L48)*100</f>
        <v>48.735348550277607</v>
      </c>
      <c r="L47" s="19">
        <f>(Gender!BG48/'Total Associates'!M48)*100</f>
        <v>50.147492625368727</v>
      </c>
      <c r="M47" s="19">
        <f>(Gender!BH48/'Total Associates'!N48)*100</f>
        <v>49.21098772647575</v>
      </c>
      <c r="N47" s="19">
        <f>(Gender!BI48/'Total Associates'!O48)*100</f>
        <v>49.071925754060324</v>
      </c>
      <c r="O47" s="19">
        <f>(Gender!BJ48/'Total Associates'!P48)*100</f>
        <v>51.672433679354093</v>
      </c>
      <c r="P47" s="19">
        <f>(Gender!BK48/'Total Associates'!Q48)*100</f>
        <v>49.800569800569797</v>
      </c>
      <c r="Q47" s="19">
        <f>(Gender!BL48/'Total Associates'!R48)*100</f>
        <v>49.046883049974241</v>
      </c>
      <c r="R47" s="19">
        <f>(Gender!BM48/'Total Associates'!S48)*100</f>
        <v>48.282828282828284</v>
      </c>
      <c r="S47" s="19">
        <f>(Gender!BN48/'Total Associates'!T48)*100</f>
        <v>47.773064687168606</v>
      </c>
      <c r="T47" s="19">
        <f>(Gender!BO48/'Total Associates'!U48)*100</f>
        <v>50.639955481357823</v>
      </c>
      <c r="U47" s="19">
        <f>(Gender!BP48/'Total Associates'!V48)*100</f>
        <v>50.506666666666668</v>
      </c>
      <c r="V47" s="19">
        <f>(Gender!BQ48/'Total Associates'!W48)*100</f>
        <v>52.858744394618839</v>
      </c>
      <c r="W47" s="19">
        <f>(Gender!BR48/'Total Associates'!X48)*100</f>
        <v>54.860681114551078</v>
      </c>
      <c r="X47" s="19">
        <f>(Gender!BS48/'Total Associates'!Y48)*100</f>
        <v>52.948113207547166</v>
      </c>
      <c r="Y47" s="19">
        <f>(Gender!BT48/'Total Associates'!Z48)*100</f>
        <v>57.799767171129226</v>
      </c>
      <c r="Z47" s="19">
        <f>(Gender!BU48/'Total Associates'!AA48)*100</f>
        <v>54.602991944764099</v>
      </c>
      <c r="AA47" s="19">
        <f>(Gender!BV48/'Total Associates'!AB48)*100</f>
        <v>55.451406018746916</v>
      </c>
      <c r="AB47" s="19">
        <f>(Gender!BW48/'Total Associates'!AC48)*100</f>
        <v>55.12422360248447</v>
      </c>
      <c r="AC47" s="19">
        <f>(Gender!BX48/'Total Associates'!AD48)*100</f>
        <v>55.763546798029559</v>
      </c>
      <c r="AD47" s="19">
        <f>(Gender!BY48/'Total Associates'!AE48)*100</f>
        <v>49.865519096288324</v>
      </c>
      <c r="AE47" s="19">
        <f>(Gender!BZ48/'Total Associates'!AF48)*100</f>
        <v>53.339834227206239</v>
      </c>
      <c r="AF47" s="19">
        <f>(Gender!CA48/'Total Associates'!AG48)*100</f>
        <v>54.452054794520542</v>
      </c>
      <c r="AG47" s="19">
        <f>(Gender!CB48/'Total Associates'!AH48)*100</f>
        <v>54.458598726114651</v>
      </c>
      <c r="AH47" s="19">
        <f>(Gender!CC48/'Total Associates'!AI48)*100</f>
        <v>53.806317969963743</v>
      </c>
      <c r="AI47" s="19">
        <f>(Gender!CD48/'Total Associates'!AJ48)*100</f>
        <v>55.018416206261513</v>
      </c>
      <c r="AJ47" s="19">
        <f>(Gender!CE48/'Total Associates'!AK48)*100</f>
        <v>55.761409850881158</v>
      </c>
      <c r="AK47" s="19">
        <f>(Gender!CF48/'Total Associates'!AL48)*100</f>
        <v>56.127221702525723</v>
      </c>
      <c r="AL47" s="19">
        <f>(Gender!CG48/'Total Associates'!AM48)*100</f>
        <v>58.744588744588746</v>
      </c>
      <c r="AM47" s="19">
        <f>(Gender!CH48/'Total Associates'!AN48)*100</f>
        <v>57.892356399819093</v>
      </c>
      <c r="AN47" s="19">
        <f>(Gender!CI48/'Total Associates'!AO48)*100</f>
        <v>57.781599312123824</v>
      </c>
      <c r="AO47" s="19">
        <f>(Gender!CJ48/'Total Associates'!AP48)*100</f>
        <v>54.085441725425135</v>
      </c>
      <c r="AP47" s="19">
        <f>(Gender!CK48/'Total Associates'!AQ48)*100</f>
        <v>56.58307210031348</v>
      </c>
      <c r="AQ47" s="19">
        <f>(Gender!CL48/'Total Associates'!AR48)*100</f>
        <v>52.465570857396713</v>
      </c>
      <c r="AR47" s="19">
        <f>(Gender!CM48/'Total Associates'!AS48)*100</f>
        <v>54.819782062028501</v>
      </c>
      <c r="AS47" s="19" t="e">
        <f>(Gender!CN48/'Total Associates'!AT48)*100</f>
        <v>#DIV/0!</v>
      </c>
      <c r="AT47" s="19">
        <f>(Gender!CO48/'Total Associates'!AU48)*100</f>
        <v>51.970550021654397</v>
      </c>
      <c r="AU47" s="19">
        <f>(Gender!CP48/'Total Associates'!AV48)*100</f>
        <v>51.440144014401447</v>
      </c>
      <c r="AV47" s="19">
        <f>(Gender!CQ48/'Total Associates'!AW48)*100</f>
        <v>53.214133673903788</v>
      </c>
    </row>
    <row r="48" spans="1:48">
      <c r="A48" s="64" t="s">
        <v>137</v>
      </c>
      <c r="B48" s="19">
        <f>(Gender!AW49/'Total Associates'!C49)*100</f>
        <v>39.320900774102746</v>
      </c>
      <c r="C48" s="19">
        <f>(Gender!AX49/'Total Associates'!D49)*100</f>
        <v>40.355225113589427</v>
      </c>
      <c r="D48" s="19">
        <f>(Gender!AY49/'Total Associates'!E49)*100</f>
        <v>42.615190406059334</v>
      </c>
      <c r="E48" s="19">
        <f>(Gender!AZ49/'Total Associates'!F49)*100</f>
        <v>43.82452780920881</v>
      </c>
      <c r="F48" s="19">
        <f>(Gender!BA49/'Total Associates'!G49)*100</f>
        <v>45.926524020993135</v>
      </c>
      <c r="G48" s="19">
        <f>(Gender!BB49/'Total Associates'!H49)*100</f>
        <v>46.281917874009444</v>
      </c>
      <c r="H48" s="19">
        <f>(Gender!BC49/'Total Associates'!I49)*100</f>
        <v>48.767345733687627</v>
      </c>
      <c r="I48" s="19">
        <f>(Gender!BD49/'Total Associates'!J49)*100</f>
        <v>52.175431245198688</v>
      </c>
      <c r="J48" s="19">
        <f>(Gender!BE49/'Total Associates'!K49)*100</f>
        <v>53.518272657396402</v>
      </c>
      <c r="K48" s="19">
        <f>(Gender!BF49/'Total Associates'!L49)*100</f>
        <v>55.916701843253136</v>
      </c>
      <c r="L48" s="19">
        <f>(Gender!BG49/'Total Associates'!M49)*100</f>
        <v>54.131349077968295</v>
      </c>
      <c r="M48" s="19">
        <f>(Gender!BH49/'Total Associates'!N49)*100</f>
        <v>53.956287985039744</v>
      </c>
      <c r="N48" s="19">
        <f>(Gender!BI49/'Total Associates'!O49)*100</f>
        <v>52.965706447187934</v>
      </c>
      <c r="O48" s="19">
        <f>(Gender!BJ49/'Total Associates'!P49)*100</f>
        <v>54.094279661016955</v>
      </c>
      <c r="P48" s="19">
        <f>(Gender!BK49/'Total Associates'!Q49)*100</f>
        <v>53.210137275607181</v>
      </c>
      <c r="Q48" s="19">
        <f>(Gender!BL49/'Total Associates'!R49)*100</f>
        <v>55.702686502097976</v>
      </c>
      <c r="R48" s="19">
        <f>(Gender!BM49/'Total Associates'!S49)*100</f>
        <v>55.260504201680675</v>
      </c>
      <c r="S48" s="19">
        <f>(Gender!BN49/'Total Associates'!T49)*100</f>
        <v>55.951504164070023</v>
      </c>
      <c r="T48" s="19">
        <f>(Gender!BO49/'Total Associates'!U49)*100</f>
        <v>57.709672279173532</v>
      </c>
      <c r="U48" s="19">
        <f>(Gender!BP49/'Total Associates'!V49)*100</f>
        <v>59.486098450319048</v>
      </c>
      <c r="V48" s="19">
        <f>(Gender!BQ49/'Total Associates'!W49)*100</f>
        <v>60.132278000650551</v>
      </c>
      <c r="W48" s="19">
        <f>(Gender!BR49/'Total Associates'!X49)*100</f>
        <v>59.849915769054064</v>
      </c>
      <c r="X48" s="19">
        <f>(Gender!BS49/'Total Associates'!Y49)*100</f>
        <v>59.403450530657409</v>
      </c>
      <c r="Y48" s="19">
        <f>(Gender!BT49/'Total Associates'!Z49)*100</f>
        <v>61.843217179499923</v>
      </c>
      <c r="Z48" s="19">
        <f>(Gender!BU49/'Total Associates'!AA49)*100</f>
        <v>62.176088787593521</v>
      </c>
      <c r="AA48" s="19">
        <f>(Gender!BV49/'Total Associates'!AB49)*100</f>
        <v>64.596363636363634</v>
      </c>
      <c r="AB48" s="19">
        <f>(Gender!BW49/'Total Associates'!AC49)*100</f>
        <v>64.121251508680714</v>
      </c>
      <c r="AC48" s="19">
        <f>(Gender!BX49/'Total Associates'!AD49)*100</f>
        <v>64.595056270096464</v>
      </c>
      <c r="AD48" s="19">
        <f>(Gender!BY49/'Total Associates'!AE49)*100</f>
        <v>63.860390782079705</v>
      </c>
      <c r="AE48" s="19">
        <f>(Gender!BZ49/'Total Associates'!AF49)*100</f>
        <v>62.754602176042908</v>
      </c>
      <c r="AF48" s="19">
        <f>(Gender!CA49/'Total Associates'!AG49)*100</f>
        <v>62.75597490797864</v>
      </c>
      <c r="AG48" s="19">
        <f>(Gender!CB49/'Total Associates'!AH49)*100</f>
        <v>62.087691069991955</v>
      </c>
      <c r="AH48" s="19">
        <f>(Gender!CC49/'Total Associates'!AI49)*100</f>
        <v>61.2970611973603</v>
      </c>
      <c r="AI48" s="19">
        <f>(Gender!CD49/'Total Associates'!AJ49)*100</f>
        <v>62.078399712952994</v>
      </c>
      <c r="AJ48" s="19">
        <f>(Gender!CE49/'Total Associates'!AK49)*100</f>
        <v>63.133986063332451</v>
      </c>
      <c r="AK48" s="19">
        <f>(Gender!CF49/'Total Associates'!AL49)*100</f>
        <v>63.334021896302417</v>
      </c>
      <c r="AL48" s="19">
        <f>(Gender!CG49/'Total Associates'!AM49)*100</f>
        <v>64.062047569803511</v>
      </c>
      <c r="AM48" s="19">
        <f>(Gender!CH49/'Total Associates'!AN49)*100</f>
        <v>63.756988445769657</v>
      </c>
      <c r="AN48" s="19">
        <f>(Gender!CI49/'Total Associates'!AO49)*100</f>
        <v>63.736813874485968</v>
      </c>
      <c r="AO48" s="19">
        <f>(Gender!CJ49/'Total Associates'!AP49)*100</f>
        <v>62.589069585080637</v>
      </c>
      <c r="AP48" s="19">
        <f>(Gender!CK49/'Total Associates'!AQ49)*100</f>
        <v>62.884196063203802</v>
      </c>
      <c r="AQ48" s="19">
        <f>(Gender!CL49/'Total Associates'!AR49)*100</f>
        <v>62.724763736723254</v>
      </c>
      <c r="AR48" s="19">
        <f>(Gender!CM49/'Total Associates'!AS49)*100</f>
        <v>63.055199737853371</v>
      </c>
      <c r="AS48" s="19" t="e">
        <f>(Gender!CN49/'Total Associates'!AT49)*100</f>
        <v>#DIV/0!</v>
      </c>
      <c r="AT48" s="19">
        <f>(Gender!CO49/'Total Associates'!AU49)*100</f>
        <v>62.690948301683335</v>
      </c>
      <c r="AU48" s="19">
        <f>(Gender!CP49/'Total Associates'!AV49)*100</f>
        <v>62.416256548658524</v>
      </c>
      <c r="AV48" s="19">
        <f>(Gender!CQ49/'Total Associates'!AW49)*100</f>
        <v>60.684005864728753</v>
      </c>
    </row>
    <row r="49" spans="1:48">
      <c r="A49" s="64" t="s">
        <v>141</v>
      </c>
      <c r="B49" s="19">
        <f>(Gender!AW50/'Total Associates'!C50)*100</f>
        <v>61.483253588516753</v>
      </c>
      <c r="C49" s="19">
        <f>(Gender!AX50/'Total Associates'!D50)*100</f>
        <v>60.098522167487687</v>
      </c>
      <c r="D49" s="19">
        <f>(Gender!AY50/'Total Associates'!E50)*100</f>
        <v>67.404426559356139</v>
      </c>
      <c r="E49" s="19">
        <f>(Gender!AZ50/'Total Associates'!F50)*100</f>
        <v>66.606170598911078</v>
      </c>
      <c r="F49" s="19">
        <f>(Gender!BA50/'Total Associates'!G50)*100</f>
        <v>67.793880837359097</v>
      </c>
      <c r="G49" s="19">
        <f>(Gender!BB50/'Total Associates'!H50)*100</f>
        <v>65.679676985195158</v>
      </c>
      <c r="H49" s="19">
        <f>(Gender!BC50/'Total Associates'!I50)*100</f>
        <v>59.476439790575917</v>
      </c>
      <c r="I49" s="19">
        <f>(Gender!BD50/'Total Associates'!J50)*100</f>
        <v>47.488151658767777</v>
      </c>
      <c r="J49" s="19">
        <f>(Gender!BE50/'Total Associates'!K50)*100</f>
        <v>52.22405271828665</v>
      </c>
      <c r="K49" s="19">
        <f>(Gender!BF50/'Total Associates'!L50)*100</f>
        <v>57.350427350427346</v>
      </c>
      <c r="L49" s="19">
        <f>(Gender!BG50/'Total Associates'!M50)*100</f>
        <v>64.779874213836479</v>
      </c>
      <c r="M49" s="19">
        <f>(Gender!BH50/'Total Associates'!N50)*100</f>
        <v>67.24003127443315</v>
      </c>
      <c r="N49" s="19">
        <f>(Gender!BI50/'Total Associates'!O50)*100</f>
        <v>73.779113448534943</v>
      </c>
      <c r="O49" s="19">
        <f>(Gender!BJ50/'Total Associates'!P50)*100</f>
        <v>68.224981738495245</v>
      </c>
      <c r="P49" s="19">
        <f>(Gender!BK50/'Total Associates'!Q50)*100</f>
        <v>74.545454545454547</v>
      </c>
      <c r="Q49" s="19">
        <f>(Gender!BL50/'Total Associates'!R50)*100</f>
        <v>75.670675300647545</v>
      </c>
      <c r="R49" s="19">
        <f>(Gender!BM50/'Total Associates'!S50)*100</f>
        <v>78.688524590163937</v>
      </c>
      <c r="S49" s="19">
        <f>(Gender!BN50/'Total Associates'!T50)*100</f>
        <v>81.829121540312883</v>
      </c>
      <c r="T49" s="19">
        <f>(Gender!BO50/'Total Associates'!U50)*100</f>
        <v>80.5874840357599</v>
      </c>
      <c r="U49" s="19">
        <f>(Gender!BP50/'Total Associates'!V50)*100</f>
        <v>79.140328697850819</v>
      </c>
      <c r="V49" s="19">
        <f>(Gender!BQ50/'Total Associates'!W50)*100</f>
        <v>80.573951434878595</v>
      </c>
      <c r="W49" s="19">
        <f>(Gender!BR50/'Total Associates'!X50)*100</f>
        <v>77.568922305764403</v>
      </c>
      <c r="X49" s="19">
        <f>(Gender!BS50/'Total Associates'!Y50)*100</f>
        <v>77.240566037735846</v>
      </c>
      <c r="Y49" s="19">
        <f>(Gender!BT50/'Total Associates'!Z50)*100</f>
        <v>73.997709049255448</v>
      </c>
      <c r="Z49" s="19">
        <f>(Gender!BU50/'Total Associates'!AA50)*100</f>
        <v>72.901678657074342</v>
      </c>
      <c r="AA49" s="19">
        <f>(Gender!BV50/'Total Associates'!AB50)*100</f>
        <v>54.103343465045597</v>
      </c>
      <c r="AB49" s="19">
        <f>(Gender!BW50/'Total Associates'!AC50)*100</f>
        <v>58.692971639950677</v>
      </c>
      <c r="AC49" s="19">
        <f>(Gender!BX50/'Total Associates'!AD50)*100</f>
        <v>59.378733572281959</v>
      </c>
      <c r="AD49" s="19">
        <f>(Gender!BY50/'Total Associates'!AE50)*100</f>
        <v>59.705014749262538</v>
      </c>
      <c r="AE49" s="19">
        <f>(Gender!BZ50/'Total Associates'!AF50)*100</f>
        <v>55.646481178396066</v>
      </c>
      <c r="AF49" s="19">
        <f>(Gender!CA50/'Total Associates'!AG50)*100</f>
        <v>59.521094640820984</v>
      </c>
      <c r="AG49" s="19">
        <f>(Gender!CB50/'Total Associates'!AH50)*100</f>
        <v>56.25</v>
      </c>
      <c r="AH49" s="19">
        <f>(Gender!CC50/'Total Associates'!AI50)*100</f>
        <v>54.772727272727273</v>
      </c>
      <c r="AI49" s="19">
        <f>(Gender!CD50/'Total Associates'!AJ50)*100</f>
        <v>54.346092503987244</v>
      </c>
      <c r="AJ49" s="19">
        <f>(Gender!CE50/'Total Associates'!AK50)*100</f>
        <v>57.258426966292134</v>
      </c>
      <c r="AK49" s="19">
        <f>(Gender!CF50/'Total Associates'!AL50)*100</f>
        <v>56.155507559395247</v>
      </c>
      <c r="AL49" s="19">
        <f>(Gender!CG50/'Total Associates'!AM50)*100</f>
        <v>56.966490299823633</v>
      </c>
      <c r="AM49" s="19">
        <f>(Gender!CH50/'Total Associates'!AN50)*100</f>
        <v>58.190709046454771</v>
      </c>
      <c r="AN49" s="19">
        <f>(Gender!CI50/'Total Associates'!AO50)*100</f>
        <v>54.887983706720981</v>
      </c>
      <c r="AO49" s="19">
        <f>(Gender!CJ50/'Total Associates'!AP50)*100</f>
        <v>55.635245901639344</v>
      </c>
      <c r="AP49" s="19">
        <f>(Gender!CK50/'Total Associates'!AQ50)*100</f>
        <v>52.441368704344484</v>
      </c>
      <c r="AQ49" s="19">
        <f>(Gender!CL50/'Total Associates'!AR50)*100</f>
        <v>54.798073360503885</v>
      </c>
      <c r="AR49" s="19">
        <f>(Gender!CM50/'Total Associates'!AS50)*100</f>
        <v>54.78927203065134</v>
      </c>
      <c r="AS49" s="19" t="e">
        <f>(Gender!CN50/'Total Associates'!AT50)*100</f>
        <v>#DIV/0!</v>
      </c>
      <c r="AT49" s="19">
        <f>(Gender!CO50/'Total Associates'!AU50)*100</f>
        <v>51.795078660750306</v>
      </c>
      <c r="AU49" s="19">
        <f>(Gender!CP50/'Total Associates'!AV50)*100</f>
        <v>51.833631484794275</v>
      </c>
      <c r="AV49" s="19">
        <f>(Gender!CQ50/'Total Associates'!AW50)*100</f>
        <v>46.528676153514446</v>
      </c>
    </row>
    <row r="50" spans="1:48">
      <c r="A50" s="64" t="s">
        <v>144</v>
      </c>
      <c r="B50" s="19">
        <f>(Gender!AW51/'Total Associates'!C51)*100</f>
        <v>27.67250625670361</v>
      </c>
      <c r="C50" s="19">
        <f>(Gender!AX51/'Total Associates'!D51)*100</f>
        <v>31.187569367369587</v>
      </c>
      <c r="D50" s="19">
        <f>(Gender!AY51/'Total Associates'!E51)*100</f>
        <v>32.731321128154377</v>
      </c>
      <c r="E50" s="19">
        <f>(Gender!AZ51/'Total Associates'!F51)*100</f>
        <v>36.19411368231858</v>
      </c>
      <c r="F50" s="19">
        <f>(Gender!BA51/'Total Associates'!G51)*100</f>
        <v>37.863149847094803</v>
      </c>
      <c r="G50" s="19">
        <f>(Gender!BB51/'Total Associates'!H51)*100</f>
        <v>39.85321727257211</v>
      </c>
      <c r="H50" s="19">
        <f>(Gender!BC51/'Total Associates'!I51)*100</f>
        <v>43.504863508001257</v>
      </c>
      <c r="I50" s="19">
        <f>(Gender!BD51/'Total Associates'!J51)*100</f>
        <v>47.09010339734121</v>
      </c>
      <c r="J50" s="19">
        <f>(Gender!BE51/'Total Associates'!K51)*100</f>
        <v>48.795265605185293</v>
      </c>
      <c r="K50" s="19">
        <f>(Gender!BF51/'Total Associates'!L51)*100</f>
        <v>52.536398467432953</v>
      </c>
      <c r="L50" s="19">
        <f>(Gender!BG51/'Total Associates'!M51)*100</f>
        <v>54.306286347272227</v>
      </c>
      <c r="M50" s="19">
        <f>(Gender!BH51/'Total Associates'!N51)*100</f>
        <v>54.952405454077692</v>
      </c>
      <c r="N50" s="19">
        <f>(Gender!BI51/'Total Associates'!O51)*100</f>
        <v>55.077275329135666</v>
      </c>
      <c r="O50" s="19">
        <f>(Gender!BJ51/'Total Associates'!P51)*100</f>
        <v>55.595938001068944</v>
      </c>
      <c r="P50" s="19">
        <f>(Gender!BK51/'Total Associates'!Q51)*100</f>
        <v>55.130302039036096</v>
      </c>
      <c r="Q50" s="19">
        <f>(Gender!BL51/'Total Associates'!R51)*100</f>
        <v>56.193251877592196</v>
      </c>
      <c r="R50" s="19">
        <f>(Gender!BM51/'Total Associates'!S51)*100</f>
        <v>57.709503611142956</v>
      </c>
      <c r="S50" s="19">
        <f>(Gender!BN51/'Total Associates'!T51)*100</f>
        <v>58.471411901983657</v>
      </c>
      <c r="T50" s="19">
        <f>(Gender!BO51/'Total Associates'!U51)*100</f>
        <v>58.396858396858399</v>
      </c>
      <c r="U50" s="19">
        <f>(Gender!BP51/'Total Associates'!V51)*100</f>
        <v>59.64624575377767</v>
      </c>
      <c r="V50" s="19">
        <f>(Gender!BQ51/'Total Associates'!W51)*100</f>
        <v>59.796662614653549</v>
      </c>
      <c r="W50" s="19">
        <f>(Gender!BR51/'Total Associates'!X51)*100</f>
        <v>61.411348991893576</v>
      </c>
      <c r="X50" s="19">
        <f>(Gender!BS51/'Total Associates'!Y51)*100</f>
        <v>61.217171184474203</v>
      </c>
      <c r="Y50" s="19">
        <f>(Gender!BT51/'Total Associates'!Z51)*100</f>
        <v>61.358313817330213</v>
      </c>
      <c r="Z50" s="19">
        <f>(Gender!BU51/'Total Associates'!AA51)*100</f>
        <v>59.889872597711083</v>
      </c>
      <c r="AA50" s="19">
        <f>(Gender!BV51/'Total Associates'!AB51)*100</f>
        <v>60.851063829787236</v>
      </c>
      <c r="AB50" s="19">
        <f>(Gender!BW51/'Total Associates'!AC51)*100</f>
        <v>61.966624419095908</v>
      </c>
      <c r="AC50" s="19">
        <f>(Gender!BX51/'Total Associates'!AD51)*100</f>
        <v>60.856594928617092</v>
      </c>
      <c r="AD50" s="19">
        <f>(Gender!BY51/'Total Associates'!AE51)*100</f>
        <v>61.063576302393585</v>
      </c>
      <c r="AE50" s="19">
        <f>(Gender!BZ51/'Total Associates'!AF51)*100</f>
        <v>61.475322460292084</v>
      </c>
      <c r="AF50" s="19">
        <f>(Gender!CA51/'Total Associates'!AG51)*100</f>
        <v>60.890251638824274</v>
      </c>
      <c r="AG50" s="19">
        <f>(Gender!CB51/'Total Associates'!AH51)*100</f>
        <v>60.746411483253596</v>
      </c>
      <c r="AH50" s="19">
        <f>(Gender!CC51/'Total Associates'!AI51)*100</f>
        <v>59.463250420796712</v>
      </c>
      <c r="AI50" s="19">
        <f>(Gender!CD51/'Total Associates'!AJ51)*100</f>
        <v>59.523809523809526</v>
      </c>
      <c r="AJ50" s="19">
        <f>(Gender!CE51/'Total Associates'!AK51)*100</f>
        <v>58.650149508756947</v>
      </c>
      <c r="AK50" s="19">
        <f>(Gender!CF51/'Total Associates'!AL51)*100</f>
        <v>61.427960666951684</v>
      </c>
      <c r="AL50" s="19">
        <f>(Gender!CG51/'Total Associates'!AM51)*100</f>
        <v>62.628319334860436</v>
      </c>
      <c r="AM50" s="19">
        <f>(Gender!CH51/'Total Associates'!AN51)*100</f>
        <v>61.443958263211037</v>
      </c>
      <c r="AN50" s="19">
        <f>(Gender!CI51/'Total Associates'!AO51)*100</f>
        <v>61.213958060288334</v>
      </c>
      <c r="AO50" s="19">
        <f>(Gender!CJ51/'Total Associates'!AP51)*100</f>
        <v>60.944239667477063</v>
      </c>
      <c r="AP50" s="19">
        <f>(Gender!CK51/'Total Associates'!AQ51)*100</f>
        <v>58.892885691446835</v>
      </c>
      <c r="AQ50" s="19">
        <f>(Gender!CL51/'Total Associates'!AR51)*100</f>
        <v>59.43158799337057</v>
      </c>
      <c r="AR50" s="19">
        <f>(Gender!CM51/'Total Associates'!AS51)*100</f>
        <v>61.051004636785166</v>
      </c>
      <c r="AS50" s="19" t="e">
        <f>(Gender!CN51/'Total Associates'!AT51)*100</f>
        <v>#DIV/0!</v>
      </c>
      <c r="AT50" s="19">
        <f>(Gender!CO51/'Total Associates'!AU51)*100</f>
        <v>61.516195727084764</v>
      </c>
      <c r="AU50" s="19">
        <f>(Gender!CP51/'Total Associates'!AV51)*100</f>
        <v>60.011486826046379</v>
      </c>
      <c r="AV50" s="19">
        <f>(Gender!CQ51/'Total Associates'!AW51)*100</f>
        <v>61.605138921136138</v>
      </c>
    </row>
    <row r="51" spans="1:48">
      <c r="A51" s="154" t="s">
        <v>187</v>
      </c>
      <c r="B51" s="155">
        <f>(Gender!AW52/'Total Associates'!C52)*100</f>
        <v>46.312938177182922</v>
      </c>
      <c r="C51" s="155">
        <f>(Gender!AX52/'Total Associates'!D52)*100</f>
        <v>46.338200712505454</v>
      </c>
      <c r="D51" s="155">
        <f>(Gender!AY52/'Total Associates'!E52)*100</f>
        <v>47.604711697736171</v>
      </c>
      <c r="E51" s="155">
        <f>(Gender!AZ52/'Total Associates'!F52)*100</f>
        <v>47.786833131032893</v>
      </c>
      <c r="F51" s="155">
        <f>(Gender!BA52/'Total Associates'!G52)*100</f>
        <v>48.952845100105371</v>
      </c>
      <c r="G51" s="155">
        <f>(Gender!BB52/'Total Associates'!H52)*100</f>
        <v>48.726375493990219</v>
      </c>
      <c r="H51" s="155">
        <f>(Gender!BC52/'Total Associates'!I52)*100</f>
        <v>50.435674013326505</v>
      </c>
      <c r="I51" s="155">
        <f>(Gender!BD52/'Total Associates'!J52)*100</f>
        <v>52.719669388959957</v>
      </c>
      <c r="J51" s="155">
        <f>(Gender!BE52/'Total Associates'!K52)*100</f>
        <v>54.883522986351061</v>
      </c>
      <c r="K51" s="155">
        <f>(Gender!BF52/'Total Associates'!L52)*100</f>
        <v>56.622002532783199</v>
      </c>
      <c r="L51" s="155">
        <f>(Gender!BG52/'Total Associates'!M52)*100</f>
        <v>56.961631860126275</v>
      </c>
      <c r="M51" s="155">
        <f>(Gender!BH52/'Total Associates'!N52)*100</f>
        <v>56.741027204145389</v>
      </c>
      <c r="N51" s="155">
        <f>(Gender!BI52/'Total Associates'!O52)*100</f>
        <v>56.682295608513463</v>
      </c>
      <c r="O51" s="155">
        <f>(Gender!BJ52/'Total Associates'!P52)*100</f>
        <v>57.048253182397211</v>
      </c>
      <c r="P51" s="155">
        <f>(Gender!BK52/'Total Associates'!Q52)*100</f>
        <v>57.798106389790973</v>
      </c>
      <c r="Q51" s="155">
        <f>(Gender!BL52/'Total Associates'!R52)*100</f>
        <v>58.22690337808212</v>
      </c>
      <c r="R51" s="155">
        <f>(Gender!BM52/'Total Associates'!S52)*100</f>
        <v>59.49157597975541</v>
      </c>
      <c r="S51" s="155">
        <f>(Gender!BN52/'Total Associates'!T52)*100</f>
        <v>59.376568173096786</v>
      </c>
      <c r="T51" s="155">
        <f>(Gender!BO52/'Total Associates'!U52)*100</f>
        <v>60.3502634094746</v>
      </c>
      <c r="U51" s="155">
        <f>(Gender!BP52/'Total Associates'!V52)*100</f>
        <v>60.048887520209405</v>
      </c>
      <c r="V51" s="155">
        <f>(Gender!BQ52/'Total Associates'!W52)*100</f>
        <v>59.910296696872258</v>
      </c>
      <c r="W51" s="155">
        <f>(Gender!BR52/'Total Associates'!X52)*100</f>
        <v>60.077599944571467</v>
      </c>
      <c r="X51" s="155">
        <f>(Gender!BS52/'Total Associates'!Y52)*100</f>
        <v>60.147105963076228</v>
      </c>
      <c r="Y51" s="155">
        <f>(Gender!BT52/'Total Associates'!Z52)*100</f>
        <v>60.336736092080024</v>
      </c>
      <c r="Z51" s="155">
        <f>(Gender!BU52/'Total Associates'!AA52)*100</f>
        <v>60.797919215599038</v>
      </c>
      <c r="AA51" s="155">
        <f>(Gender!BV52/'Total Associates'!AB52)*100</f>
        <v>62.490206097768699</v>
      </c>
      <c r="AB51" s="155">
        <f>(Gender!BW52/'Total Associates'!AC52)*100</f>
        <v>62.153255533472631</v>
      </c>
      <c r="AC51" s="155">
        <f>(Gender!BX52/'Total Associates'!AD52)*100</f>
        <v>61.648544931244011</v>
      </c>
      <c r="AD51" s="155">
        <f>(Gender!BY52/'Total Associates'!AE52)*100</f>
        <v>60.871357396322445</v>
      </c>
      <c r="AE51" s="155">
        <f>(Gender!BZ52/'Total Associates'!AF52)*100</f>
        <v>60.306739708427756</v>
      </c>
      <c r="AF51" s="155">
        <f>(Gender!CA52/'Total Associates'!AG52)*100</f>
        <v>60.120493809451233</v>
      </c>
      <c r="AG51" s="155">
        <f>(Gender!CB52/'Total Associates'!AH52)*100</f>
        <v>60.300556554352227</v>
      </c>
      <c r="AH51" s="155">
        <f>(Gender!CC52/'Total Associates'!AI52)*100</f>
        <v>59.898590389251616</v>
      </c>
      <c r="AI51" s="155">
        <f>(Gender!CD52/'Total Associates'!AJ52)*100</f>
        <v>60.761334898097488</v>
      </c>
      <c r="AJ51" s="155">
        <f>(Gender!CE52/'Total Associates'!AK52)*100</f>
        <v>61.31829312351973</v>
      </c>
      <c r="AK51" s="155">
        <f>(Gender!CF52/'Total Associates'!AL52)*100</f>
        <v>61.530713407621839</v>
      </c>
      <c r="AL51" s="155">
        <f>(Gender!CG52/'Total Associates'!AM52)*100</f>
        <v>61.535788193292575</v>
      </c>
      <c r="AM51" s="155">
        <f>(Gender!CH52/'Total Associates'!AN52)*100</f>
        <v>61.373182804765705</v>
      </c>
      <c r="AN51" s="155">
        <f>(Gender!CI52/'Total Associates'!AO52)*100</f>
        <v>61.395196489918412</v>
      </c>
      <c r="AO51" s="155">
        <f>(Gender!CJ52/'Total Associates'!AP52)*100</f>
        <v>60.688737071550825</v>
      </c>
      <c r="AP51" s="155">
        <f>(Gender!CK52/'Total Associates'!AQ52)*100</f>
        <v>60.256169816694104</v>
      </c>
      <c r="AQ51" s="155">
        <f>(Gender!CL52/'Total Associates'!AR52)*100</f>
        <v>60.303003941460275</v>
      </c>
      <c r="AR51" s="155">
        <f>(Gender!CM52/'Total Associates'!AS52)*100</f>
        <v>60.09226985194698</v>
      </c>
      <c r="AS51" s="155" t="e">
        <f>(Gender!CN52/'Total Associates'!AT52)*100</f>
        <v>#DIV/0!</v>
      </c>
      <c r="AT51" s="155">
        <f>(Gender!CO52/'Total Associates'!AU52)*100</f>
        <v>60.158865974519458</v>
      </c>
      <c r="AU51" s="155">
        <f>(Gender!CP52/'Total Associates'!AV52)*100</f>
        <v>60.457747688924016</v>
      </c>
      <c r="AV51" s="155">
        <f>(Gender!CQ52/'Total Associates'!AW52)*100</f>
        <v>60.139702409901815</v>
      </c>
    </row>
    <row r="52" spans="1:48" ht="7.5" customHeight="1">
      <c r="A52" s="153"/>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row>
    <row r="53" spans="1:48">
      <c r="A53" s="64" t="s">
        <v>116</v>
      </c>
      <c r="B53" s="19">
        <f>(Gender!AW54/'Total Associates'!C54)*100</f>
        <v>35.647449441593722</v>
      </c>
      <c r="C53" s="19">
        <f>(Gender!AX54/'Total Associates'!D54)*100</f>
        <v>36.191536748329625</v>
      </c>
      <c r="D53" s="19">
        <f>(Gender!AY54/'Total Associates'!E54)*100</f>
        <v>41.462205700123917</v>
      </c>
      <c r="E53" s="19">
        <f>(Gender!AZ54/'Total Associates'!F54)*100</f>
        <v>46.423982869379017</v>
      </c>
      <c r="F53" s="19">
        <f>(Gender!BA54/'Total Associates'!G54)*100</f>
        <v>49.195402298850574</v>
      </c>
      <c r="G53" s="19">
        <f>(Gender!BB54/'Total Associates'!H54)*100</f>
        <v>50.361881785283472</v>
      </c>
      <c r="H53" s="19">
        <f>(Gender!BC54/'Total Associates'!I54)*100</f>
        <v>50.864525935778069</v>
      </c>
      <c r="I53" s="19">
        <f>(Gender!BD54/'Total Associates'!J54)*100</f>
        <v>50.629629629629626</v>
      </c>
      <c r="J53" s="19">
        <f>(Gender!BE54/'Total Associates'!K54)*100</f>
        <v>55.770313379620937</v>
      </c>
      <c r="K53" s="19">
        <f>(Gender!BF54/'Total Associates'!L54)*100</f>
        <v>58.895821516354694</v>
      </c>
      <c r="L53" s="19">
        <f>(Gender!BG54/'Total Associates'!M54)*100</f>
        <v>60.806541535030668</v>
      </c>
      <c r="M53" s="19">
        <f>(Gender!BH54/'Total Associates'!N54)*100</f>
        <v>60.386114720623731</v>
      </c>
      <c r="N53" s="19">
        <f>(Gender!BI54/'Total Associates'!O54)*100</f>
        <v>57.105355267763393</v>
      </c>
      <c r="O53" s="19">
        <f>(Gender!BJ54/'Total Associates'!P54)*100</f>
        <v>56.096747289407844</v>
      </c>
      <c r="P53" s="19">
        <f>(Gender!BK54/'Total Associates'!Q54)*100</f>
        <v>57.782404997397187</v>
      </c>
      <c r="Q53" s="19">
        <f>(Gender!BL54/'Total Associates'!R54)*100</f>
        <v>58.845861807137432</v>
      </c>
      <c r="R53" s="19">
        <f>(Gender!BM54/'Total Associates'!S54)*100</f>
        <v>62.185047501032628</v>
      </c>
      <c r="S53" s="19">
        <f>(Gender!BN54/'Total Associates'!T54)*100</f>
        <v>62.518301610541727</v>
      </c>
      <c r="T53" s="19">
        <f>(Gender!BO54/'Total Associates'!U54)*100</f>
        <v>62.130554964916008</v>
      </c>
      <c r="U53" s="19">
        <f>(Gender!BP54/'Total Associates'!V54)*100</f>
        <v>61.872484643084093</v>
      </c>
      <c r="V53" s="19">
        <f>(Gender!BQ54/'Total Associates'!W54)*100</f>
        <v>65.825977301387141</v>
      </c>
      <c r="W53" s="19">
        <f>(Gender!BR54/'Total Associates'!X54)*100</f>
        <v>63.376051261513823</v>
      </c>
      <c r="X53" s="19">
        <f>(Gender!BS54/'Total Associates'!Y54)*100</f>
        <v>64.899882214369839</v>
      </c>
      <c r="Y53" s="19">
        <f>(Gender!BT54/'Total Associates'!Z54)*100</f>
        <v>62.861641409171419</v>
      </c>
      <c r="Z53" s="19">
        <f>(Gender!BU54/'Total Associates'!AA54)*100</f>
        <v>64.6875</v>
      </c>
      <c r="AA53" s="19">
        <f>(Gender!BV54/'Total Associates'!AB54)*100</f>
        <v>67.075268817204304</v>
      </c>
      <c r="AB53" s="19">
        <f>(Gender!BW54/'Total Associates'!AC54)*100</f>
        <v>65.681479906442704</v>
      </c>
      <c r="AC53" s="19">
        <f>(Gender!BX54/'Total Associates'!AD54)*100</f>
        <v>65.724137931034491</v>
      </c>
      <c r="AD53" s="19">
        <f>(Gender!BY54/'Total Associates'!AE54)*100</f>
        <v>63.938393839383934</v>
      </c>
      <c r="AE53" s="19">
        <f>(Gender!BZ54/'Total Associates'!AF54)*100</f>
        <v>63.26198231735691</v>
      </c>
      <c r="AF53" s="19">
        <f>(Gender!CA54/'Total Associates'!AG54)*100</f>
        <v>64.411557434813247</v>
      </c>
      <c r="AG53" s="19">
        <f>(Gender!CB54/'Total Associates'!AH54)*100</f>
        <v>65.986857013369587</v>
      </c>
      <c r="AH53" s="19">
        <f>(Gender!CC54/'Total Associates'!AI54)*100</f>
        <v>65.050635638870929</v>
      </c>
      <c r="AI53" s="19">
        <f>(Gender!CD54/'Total Associates'!AJ54)*100</f>
        <v>66.582225036943214</v>
      </c>
      <c r="AJ53" s="19">
        <f>(Gender!CE54/'Total Associates'!AK54)*100</f>
        <v>66.845878136200724</v>
      </c>
      <c r="AK53" s="19">
        <f>(Gender!CF54/'Total Associates'!AL54)*100</f>
        <v>68.509518023491296</v>
      </c>
      <c r="AL53" s="19">
        <f>(Gender!CG54/'Total Associates'!AM54)*100</f>
        <v>67.429473268889325</v>
      </c>
      <c r="AM53" s="19">
        <f>(Gender!CH54/'Total Associates'!AN54)*100</f>
        <v>66.930379746835442</v>
      </c>
      <c r="AN53" s="19">
        <f>(Gender!CI54/'Total Associates'!AO54)*100</f>
        <v>65.908270133622253</v>
      </c>
      <c r="AO53" s="19">
        <f>(Gender!CJ54/'Total Associates'!AP54)*100</f>
        <v>67.083107007061386</v>
      </c>
      <c r="AP53" s="19">
        <f>(Gender!CK54/'Total Associates'!AQ54)*100</f>
        <v>65.43909348441926</v>
      </c>
      <c r="AQ53" s="19">
        <f>(Gender!CL54/'Total Associates'!AR54)*100</f>
        <v>66.303179235140533</v>
      </c>
      <c r="AR53" s="19">
        <f>(Gender!CM54/'Total Associates'!AS54)*100</f>
        <v>66.168639053254438</v>
      </c>
      <c r="AS53" s="19" t="e">
        <f>(Gender!CN54/'Total Associates'!AT54)*100</f>
        <v>#DIV/0!</v>
      </c>
      <c r="AT53" s="19">
        <f>(Gender!CO54/'Total Associates'!AU54)*100</f>
        <v>65.385169186465092</v>
      </c>
      <c r="AU53" s="19">
        <f>(Gender!CP54/'Total Associates'!AV54)*100</f>
        <v>64.063149148317407</v>
      </c>
      <c r="AV53" s="19">
        <f>(Gender!CQ54/'Total Associates'!AW54)*100</f>
        <v>65.208485735186542</v>
      </c>
    </row>
    <row r="54" spans="1:48">
      <c r="A54" s="64" t="s">
        <v>124</v>
      </c>
      <c r="B54" s="19">
        <f>(Gender!AW55/'Total Associates'!C55)*100</f>
        <v>54.084967320261434</v>
      </c>
      <c r="C54" s="19">
        <f>(Gender!AX55/'Total Associates'!D55)*100</f>
        <v>45.724907063197023</v>
      </c>
      <c r="D54" s="19">
        <f>(Gender!AY55/'Total Associates'!E55)*100</f>
        <v>46.890424481737412</v>
      </c>
      <c r="E54" s="19">
        <f>(Gender!AZ55/'Total Associates'!F55)*100</f>
        <v>49.877149877149876</v>
      </c>
      <c r="F54" s="19">
        <f>(Gender!BA55/'Total Associates'!G55)*100</f>
        <v>48.024786986831913</v>
      </c>
      <c r="G54" s="19">
        <f>(Gender!BB55/'Total Associates'!H55)*100</f>
        <v>46.101694915254235</v>
      </c>
      <c r="H54" s="19">
        <f>(Gender!BC55/'Total Associates'!I55)*100</f>
        <v>51.479289940828401</v>
      </c>
      <c r="I54" s="19">
        <f>(Gender!BD55/'Total Associates'!J55)*100</f>
        <v>51.227678571428569</v>
      </c>
      <c r="J54" s="19">
        <f>(Gender!BE55/'Total Associates'!K55)*100</f>
        <v>56.029579067121723</v>
      </c>
      <c r="K54" s="19">
        <f>(Gender!BF55/'Total Associates'!L55)*100</f>
        <v>56.438356164383563</v>
      </c>
      <c r="L54" s="19">
        <f>(Gender!BG55/'Total Associates'!M55)*100</f>
        <v>60.19641825534373</v>
      </c>
      <c r="M54" s="19">
        <f>(Gender!BH55/'Total Associates'!N55)*100</f>
        <v>57.725213890286867</v>
      </c>
      <c r="N54" s="19">
        <f>(Gender!BI55/'Total Associates'!O55)*100</f>
        <v>62.148841793987188</v>
      </c>
      <c r="O54" s="19">
        <f>(Gender!BJ55/'Total Associates'!P55)*100</f>
        <v>62.260442260442261</v>
      </c>
      <c r="P54" s="19">
        <f>(Gender!BK55/'Total Associates'!Q55)*100</f>
        <v>59.514170040485823</v>
      </c>
      <c r="Q54" s="19">
        <f>(Gender!BL55/'Total Associates'!R55)*100</f>
        <v>60.748560460652591</v>
      </c>
      <c r="R54" s="19">
        <f>(Gender!BM55/'Total Associates'!S55)*100</f>
        <v>57.58620689655173</v>
      </c>
      <c r="S54" s="19">
        <f>(Gender!BN55/'Total Associates'!T55)*100</f>
        <v>59.545674238762693</v>
      </c>
      <c r="T54" s="19">
        <f>(Gender!BO55/'Total Associates'!U55)*100</f>
        <v>66.878980891719735</v>
      </c>
      <c r="U54" s="19">
        <f>(Gender!BP55/'Total Associates'!V55)*100</f>
        <v>68.047337278106511</v>
      </c>
      <c r="V54" s="19">
        <f>(Gender!BQ55/'Total Associates'!W55)*100</f>
        <v>64.258734655335232</v>
      </c>
      <c r="W54" s="19">
        <f>(Gender!BR55/'Total Associates'!X55)*100</f>
        <v>67.260218535006061</v>
      </c>
      <c r="X54" s="19">
        <f>(Gender!BS55/'Total Associates'!Y55)*100</f>
        <v>65.104808877928491</v>
      </c>
      <c r="Y54" s="19">
        <f>(Gender!BT55/'Total Associates'!Z55)*100</f>
        <v>64.514819326025176</v>
      </c>
      <c r="Z54" s="19">
        <f>(Gender!BU55/'Total Associates'!AA55)*100</f>
        <v>66.094069529652359</v>
      </c>
      <c r="AA54" s="19">
        <f>(Gender!BV55/'Total Associates'!AB55)*100</f>
        <v>65.853658536585371</v>
      </c>
      <c r="AB54" s="19">
        <f>(Gender!BW55/'Total Associates'!AC55)*100</f>
        <v>65.303541315345697</v>
      </c>
      <c r="AC54" s="19">
        <f>(Gender!BX55/'Total Associates'!AD55)*100</f>
        <v>67.080479452054803</v>
      </c>
      <c r="AD54" s="19">
        <f>(Gender!BY55/'Total Associates'!AE55)*100</f>
        <v>65.933551708001872</v>
      </c>
      <c r="AE54" s="19">
        <f>(Gender!BZ55/'Total Associates'!AF55)*100</f>
        <v>64.900362318840578</v>
      </c>
      <c r="AF54" s="19">
        <f>(Gender!CA55/'Total Associates'!AG55)*100</f>
        <v>63.905325443786985</v>
      </c>
      <c r="AG54" s="19">
        <f>(Gender!CB55/'Total Associates'!AH55)*100</f>
        <v>63.24050632911392</v>
      </c>
      <c r="AH54" s="19">
        <f>(Gender!CC55/'Total Associates'!AI55)*100</f>
        <v>63.246268656716417</v>
      </c>
      <c r="AI54" s="19">
        <f>(Gender!CD55/'Total Associates'!AJ55)*100</f>
        <v>62.566607460035527</v>
      </c>
      <c r="AJ54" s="19">
        <f>(Gender!CE55/'Total Associates'!AK55)*100</f>
        <v>63.647851727042969</v>
      </c>
      <c r="AK54" s="19">
        <f>(Gender!CF55/'Total Associates'!AL55)*100</f>
        <v>63.700331125827816</v>
      </c>
      <c r="AL54" s="19">
        <f>(Gender!CG55/'Total Associates'!AM55)*100</f>
        <v>62.241169305724732</v>
      </c>
      <c r="AM54" s="19">
        <f>(Gender!CH55/'Total Associates'!AN55)*100</f>
        <v>65.248226950354621</v>
      </c>
      <c r="AN54" s="19">
        <f>(Gender!CI55/'Total Associates'!AO55)*100</f>
        <v>62.367223065250379</v>
      </c>
      <c r="AO54" s="19">
        <f>(Gender!CJ55/'Total Associates'!AP55)*100</f>
        <v>62.656364974245768</v>
      </c>
      <c r="AP54" s="19">
        <f>(Gender!CK55/'Total Associates'!AQ55)*100</f>
        <v>64.27923844061651</v>
      </c>
      <c r="AQ54" s="19">
        <f>(Gender!CL55/'Total Associates'!AR55)*100</f>
        <v>60.975609756097562</v>
      </c>
      <c r="AR54" s="19">
        <f>(Gender!CM55/'Total Associates'!AS55)*100</f>
        <v>61.446163561730351</v>
      </c>
      <c r="AS54" s="19" t="e">
        <f>(Gender!CN55/'Total Associates'!AT55)*100</f>
        <v>#DIV/0!</v>
      </c>
      <c r="AT54" s="19">
        <f>(Gender!CO55/'Total Associates'!AU55)*100</f>
        <v>61.476175646216134</v>
      </c>
      <c r="AU54" s="19">
        <f>(Gender!CP55/'Total Associates'!AV55)*100</f>
        <v>61.65001611343861</v>
      </c>
      <c r="AV54" s="19">
        <f>(Gender!CQ55/'Total Associates'!AW55)*100</f>
        <v>60.719273743016757</v>
      </c>
    </row>
    <row r="55" spans="1:48">
      <c r="A55" s="64" t="s">
        <v>123</v>
      </c>
      <c r="B55" s="19">
        <f>(Gender!AW56/'Total Associates'!C56)*100</f>
        <v>50.847626645392893</v>
      </c>
      <c r="C55" s="19">
        <f>(Gender!AX56/'Total Associates'!D56)*100</f>
        <v>52.370789644613524</v>
      </c>
      <c r="D55" s="19">
        <f>(Gender!AY56/'Total Associates'!E56)*100</f>
        <v>49.835716188615578</v>
      </c>
      <c r="E55" s="19">
        <f>(Gender!AZ56/'Total Associates'!F56)*100</f>
        <v>50.808853118712271</v>
      </c>
      <c r="F55" s="19">
        <f>(Gender!BA56/'Total Associates'!G56)*100</f>
        <v>52.550565139797747</v>
      </c>
      <c r="G55" s="19">
        <f>(Gender!BB56/'Total Associates'!H56)*100</f>
        <v>49.800694355149801</v>
      </c>
      <c r="H55" s="19">
        <f>(Gender!BC56/'Total Associates'!I56)*100</f>
        <v>50.311697836450307</v>
      </c>
      <c r="I55" s="19">
        <f>(Gender!BD56/'Total Associates'!J56)*100</f>
        <v>54.608280839092416</v>
      </c>
      <c r="J55" s="19">
        <f>(Gender!BE56/'Total Associates'!K56)*100</f>
        <v>58.891820580474928</v>
      </c>
      <c r="K55" s="19">
        <f>(Gender!BF56/'Total Associates'!L56)*100</f>
        <v>60.73234048367263</v>
      </c>
      <c r="L55" s="19">
        <f>(Gender!BG56/'Total Associates'!M56)*100</f>
        <v>63.087752870420999</v>
      </c>
      <c r="M55" s="19">
        <f>(Gender!BH56/'Total Associates'!N56)*100</f>
        <v>62.678983833718249</v>
      </c>
      <c r="N55" s="19">
        <f>(Gender!BI56/'Total Associates'!O56)*100</f>
        <v>62.465097726366167</v>
      </c>
      <c r="O55" s="19">
        <f>(Gender!BJ56/'Total Associates'!P56)*100</f>
        <v>63.415605095541409</v>
      </c>
      <c r="P55" s="19">
        <f>(Gender!BK56/'Total Associates'!Q56)*100</f>
        <v>64.948244367769433</v>
      </c>
      <c r="Q55" s="19">
        <f>(Gender!BL56/'Total Associates'!R56)*100</f>
        <v>64.255852842809375</v>
      </c>
      <c r="R55" s="19">
        <f>(Gender!BM56/'Total Associates'!S56)*100</f>
        <v>65.841656874265581</v>
      </c>
      <c r="S55" s="19">
        <f>(Gender!BN56/'Total Associates'!T56)*100</f>
        <v>65.440331110600141</v>
      </c>
      <c r="T55" s="19">
        <f>(Gender!BO56/'Total Associates'!U56)*100</f>
        <v>66.890070102457429</v>
      </c>
      <c r="U55" s="19">
        <f>(Gender!BP56/'Total Associates'!V56)*100</f>
        <v>65.582817510627194</v>
      </c>
      <c r="V55" s="19">
        <f>(Gender!BQ56/'Total Associates'!W56)*100</f>
        <v>65.536384096024008</v>
      </c>
      <c r="W55" s="19">
        <f>(Gender!BR56/'Total Associates'!X56)*100</f>
        <v>65.520321572130413</v>
      </c>
      <c r="X55" s="19">
        <f>(Gender!BS56/'Total Associates'!Y56)*100</f>
        <v>63.898457391043884</v>
      </c>
      <c r="Y55" s="19">
        <f>(Gender!BT56/'Total Associates'!Z56)*100</f>
        <v>64.811984102720871</v>
      </c>
      <c r="Z55" s="19">
        <f>(Gender!BU56/'Total Associates'!AA56)*100</f>
        <v>65.826046221111795</v>
      </c>
      <c r="AA55" s="19">
        <f>(Gender!BV56/'Total Associates'!AB56)*100</f>
        <v>66.692950638700523</v>
      </c>
      <c r="AB55" s="19">
        <f>(Gender!BW56/'Total Associates'!AC56)*100</f>
        <v>65.998826389471034</v>
      </c>
      <c r="AC55" s="19">
        <f>(Gender!BX56/'Total Associates'!AD56)*100</f>
        <v>66.370047011417057</v>
      </c>
      <c r="AD55" s="19">
        <f>(Gender!BY56/'Total Associates'!AE56)*100</f>
        <v>64.942951785057048</v>
      </c>
      <c r="AE55" s="19">
        <f>(Gender!BZ56/'Total Associates'!AF56)*100</f>
        <v>62.958801498127336</v>
      </c>
      <c r="AF55" s="19">
        <f>(Gender!CA56/'Total Associates'!AG56)*100</f>
        <v>62.032394909371376</v>
      </c>
      <c r="AG55" s="19">
        <f>(Gender!CB56/'Total Associates'!AH56)*100</f>
        <v>63.981474984211637</v>
      </c>
      <c r="AH55" s="19">
        <f>(Gender!CC56/'Total Associates'!AI56)*100</f>
        <v>61.003504888396975</v>
      </c>
      <c r="AI55" s="19">
        <f>(Gender!CD56/'Total Associates'!AJ56)*100</f>
        <v>62.472522641343531</v>
      </c>
      <c r="AJ55" s="19">
        <f>(Gender!CE56/'Total Associates'!AK56)*100</f>
        <v>63.837861147046141</v>
      </c>
      <c r="AK55" s="19">
        <f>(Gender!CF56/'Total Associates'!AL56)*100</f>
        <v>63.668192835981685</v>
      </c>
      <c r="AL55" s="19">
        <f>(Gender!CG56/'Total Associates'!AM56)*100</f>
        <v>62.47310822186887</v>
      </c>
      <c r="AM55" s="19">
        <f>(Gender!CH56/'Total Associates'!AN56)*100</f>
        <v>63.316858868753435</v>
      </c>
      <c r="AN55" s="19">
        <f>(Gender!CI56/'Total Associates'!AO56)*100</f>
        <v>62.007042253521128</v>
      </c>
      <c r="AO55" s="19">
        <f>(Gender!CJ56/'Total Associates'!AP56)*100</f>
        <v>61.431106808647954</v>
      </c>
      <c r="AP55" s="19">
        <f>(Gender!CK56/'Total Associates'!AQ56)*100</f>
        <v>59.769578078779382</v>
      </c>
      <c r="AQ55" s="19">
        <f>(Gender!CL56/'Total Associates'!AR56)*100</f>
        <v>60.39152193111569</v>
      </c>
      <c r="AR55" s="19">
        <f>(Gender!CM56/'Total Associates'!AS56)*100</f>
        <v>61.433072019928204</v>
      </c>
      <c r="AS55" s="19" t="e">
        <f>(Gender!CN56/'Total Associates'!AT56)*100</f>
        <v>#DIV/0!</v>
      </c>
      <c r="AT55" s="19">
        <f>(Gender!CO56/'Total Associates'!AU56)*100</f>
        <v>60.919459799874041</v>
      </c>
      <c r="AU55" s="19">
        <f>(Gender!CP56/'Total Associates'!AV56)*100</f>
        <v>61.908235465752426</v>
      </c>
      <c r="AV55" s="19">
        <f>(Gender!CQ56/'Total Associates'!AW56)*100</f>
        <v>61.888663511381559</v>
      </c>
    </row>
    <row r="56" spans="1:48">
      <c r="A56" s="64" t="s">
        <v>132</v>
      </c>
      <c r="B56" s="19">
        <f>(Gender!AW57/'Total Associates'!C57)*100</f>
        <v>49.849397590361441</v>
      </c>
      <c r="C56" s="19">
        <f>(Gender!AX57/'Total Associates'!D57)*100</f>
        <v>53.722084367245657</v>
      </c>
      <c r="D56" s="19">
        <f>(Gender!AY57/'Total Associates'!E57)*100</f>
        <v>53.537486800422386</v>
      </c>
      <c r="E56" s="19">
        <f>(Gender!AZ57/'Total Associates'!F57)*100</f>
        <v>44.568452380952387</v>
      </c>
      <c r="F56" s="19">
        <f>(Gender!BA57/'Total Associates'!G57)*100</f>
        <v>42.962962962962962</v>
      </c>
      <c r="G56" s="19">
        <f>(Gender!BB57/'Total Associates'!H57)*100</f>
        <v>45.6656346749226</v>
      </c>
      <c r="H56" s="19">
        <f>(Gender!BC57/'Total Associates'!I57)*100</f>
        <v>46.820809248554909</v>
      </c>
      <c r="I56" s="19">
        <f>(Gender!BD57/'Total Associates'!J57)*100</f>
        <v>51.51359671626475</v>
      </c>
      <c r="J56" s="19">
        <f>(Gender!BE57/'Total Associates'!K57)*100</f>
        <v>52.496954933008524</v>
      </c>
      <c r="K56" s="19">
        <f>(Gender!BF57/'Total Associates'!L57)*100</f>
        <v>50.653038046564447</v>
      </c>
      <c r="L56" s="19">
        <f>(Gender!BG57/'Total Associates'!M57)*100</f>
        <v>50.757575757575758</v>
      </c>
      <c r="M56" s="19">
        <f>(Gender!BH57/'Total Associates'!N57)*100</f>
        <v>52.470187393526402</v>
      </c>
      <c r="N56" s="19">
        <f>(Gender!BI57/'Total Associates'!O57)*100</f>
        <v>54.977029096477793</v>
      </c>
      <c r="O56" s="19">
        <f>(Gender!BJ57/'Total Associates'!P57)*100</f>
        <v>51.675413807024626</v>
      </c>
      <c r="P56" s="19">
        <f>(Gender!BK57/'Total Associates'!Q57)*100</f>
        <v>53.407821229050278</v>
      </c>
      <c r="Q56" s="19">
        <f>(Gender!BL57/'Total Associates'!R57)*100</f>
        <v>53.713368125250902</v>
      </c>
      <c r="R56" s="19">
        <f>(Gender!BM57/'Total Associates'!S57)*100</f>
        <v>57.757166947723434</v>
      </c>
      <c r="S56" s="19">
        <f>(Gender!BN57/'Total Associates'!T57)*100</f>
        <v>58.252427184466015</v>
      </c>
      <c r="T56" s="19">
        <f>(Gender!BO57/'Total Associates'!U57)*100</f>
        <v>58.354755784061695</v>
      </c>
      <c r="U56" s="19">
        <f>(Gender!BP57/'Total Associates'!V57)*100</f>
        <v>61.544585987261144</v>
      </c>
      <c r="V56" s="19">
        <f>(Gender!BQ57/'Total Associates'!W57)*100</f>
        <v>60.105382009785465</v>
      </c>
      <c r="W56" s="19">
        <f>(Gender!BR57/'Total Associates'!X57)*100</f>
        <v>61.739721372748889</v>
      </c>
      <c r="X56" s="19">
        <f>(Gender!BS57/'Total Associates'!Y57)*100</f>
        <v>60.933293448997908</v>
      </c>
      <c r="Y56" s="19">
        <f>(Gender!BT57/'Total Associates'!Z57)*100</f>
        <v>61.970149253731343</v>
      </c>
      <c r="Z56" s="19">
        <f>(Gender!BU57/'Total Associates'!AA57)*100</f>
        <v>64.787535410764875</v>
      </c>
      <c r="AA56" s="19">
        <f>(Gender!BV57/'Total Associates'!AB57)*100</f>
        <v>64.828013634955056</v>
      </c>
      <c r="AB56" s="19">
        <f>(Gender!BW57/'Total Associates'!AC57)*100</f>
        <v>64.893944051644638</v>
      </c>
      <c r="AC56" s="19">
        <f>(Gender!BX57/'Total Associates'!AD57)*100</f>
        <v>63.940648723257418</v>
      </c>
      <c r="AD56" s="19">
        <f>(Gender!BY57/'Total Associates'!AE57)*100</f>
        <v>62.890490902849294</v>
      </c>
      <c r="AE56" s="19">
        <f>(Gender!BZ57/'Total Associates'!AF57)*100</f>
        <v>62.837393021724822</v>
      </c>
      <c r="AF56" s="19">
        <f>(Gender!CA57/'Total Associates'!AG57)*100</f>
        <v>64.033613445378151</v>
      </c>
      <c r="AG56" s="19">
        <f>(Gender!CB57/'Total Associates'!AH57)*100</f>
        <v>60.3489565514882</v>
      </c>
      <c r="AH56" s="19">
        <f>(Gender!CC57/'Total Associates'!AI57)*100</f>
        <v>59.637980311209901</v>
      </c>
      <c r="AI56" s="19">
        <f>(Gender!CD57/'Total Associates'!AJ57)*100</f>
        <v>61.216381418092915</v>
      </c>
      <c r="AJ56" s="19">
        <f>(Gender!CE57/'Total Associates'!AK57)*100</f>
        <v>63.550600343053176</v>
      </c>
      <c r="AK56" s="19">
        <f>(Gender!CF57/'Total Associates'!AL57)*100</f>
        <v>62.403459993821443</v>
      </c>
      <c r="AL56" s="19">
        <f>(Gender!CG57/'Total Associates'!AM57)*100</f>
        <v>63.448894202032278</v>
      </c>
      <c r="AM56" s="19">
        <f>(Gender!CH57/'Total Associates'!AN57)*100</f>
        <v>63.007234979553317</v>
      </c>
      <c r="AN56" s="19">
        <f>(Gender!CI57/'Total Associates'!AO57)*100</f>
        <v>63.839285714285708</v>
      </c>
      <c r="AO56" s="19">
        <f>(Gender!CJ57/'Total Associates'!AP57)*100</f>
        <v>61.916126832594607</v>
      </c>
      <c r="AP56" s="19">
        <f>(Gender!CK57/'Total Associates'!AQ57)*100</f>
        <v>61.626387981711297</v>
      </c>
      <c r="AQ56" s="19">
        <f>(Gender!CL57/'Total Associates'!AR57)*100</f>
        <v>60.532221865982685</v>
      </c>
      <c r="AR56" s="19">
        <f>(Gender!CM57/'Total Associates'!AS57)*100</f>
        <v>62.075070821529742</v>
      </c>
      <c r="AS56" s="19" t="e">
        <f>(Gender!CN57/'Total Associates'!AT57)*100</f>
        <v>#DIV/0!</v>
      </c>
      <c r="AT56" s="19">
        <f>(Gender!CO57/'Total Associates'!AU57)*100</f>
        <v>61.371127224785759</v>
      </c>
      <c r="AU56" s="19">
        <f>(Gender!CP57/'Total Associates'!AV57)*100</f>
        <v>60.533159947984394</v>
      </c>
      <c r="AV56" s="19">
        <f>(Gender!CQ57/'Total Associates'!AW57)*100</f>
        <v>60.55690727223574</v>
      </c>
    </row>
    <row r="57" spans="1:48">
      <c r="A57" s="64" t="s">
        <v>133</v>
      </c>
      <c r="B57" s="19">
        <f>(Gender!AW58/'Total Associates'!C58)*100</f>
        <v>49.669323384771921</v>
      </c>
      <c r="C57" s="19">
        <f>(Gender!AX58/'Total Associates'!D58)*100</f>
        <v>48.888275100124289</v>
      </c>
      <c r="D57" s="19">
        <f>(Gender!AY58/'Total Associates'!E58)*100</f>
        <v>54.144763445208241</v>
      </c>
      <c r="E57" s="19">
        <f>(Gender!AZ58/'Total Associates'!F58)*100</f>
        <v>50.323624595469255</v>
      </c>
      <c r="F57" s="19">
        <f>(Gender!BA58/'Total Associates'!G58)*100</f>
        <v>53.7762697022767</v>
      </c>
      <c r="G57" s="19">
        <f>(Gender!BB58/'Total Associates'!H58)*100</f>
        <v>51.676063557150172</v>
      </c>
      <c r="H57" s="19">
        <f>(Gender!BC58/'Total Associates'!I58)*100</f>
        <v>53.35380481719605</v>
      </c>
      <c r="I57" s="19">
        <f>(Gender!BD58/'Total Associates'!J58)*100</f>
        <v>56.663848971541277</v>
      </c>
      <c r="J57" s="19">
        <f>(Gender!BE58/'Total Associates'!K58)*100</f>
        <v>58.124545171015697</v>
      </c>
      <c r="K57" s="19">
        <f>(Gender!BF58/'Total Associates'!L58)*100</f>
        <v>59.2375366568915</v>
      </c>
      <c r="L57" s="19">
        <f>(Gender!BG58/'Total Associates'!M58)*100</f>
        <v>62.243237746593451</v>
      </c>
      <c r="M57" s="19">
        <f>(Gender!BH58/'Total Associates'!N58)*100</f>
        <v>62.15372217185454</v>
      </c>
      <c r="N57" s="19">
        <f>(Gender!BI58/'Total Associates'!O58)*100</f>
        <v>62.848206431433873</v>
      </c>
      <c r="O57" s="19">
        <f>(Gender!BJ58/'Total Associates'!P58)*100</f>
        <v>62.984384037015616</v>
      </c>
      <c r="P57" s="19">
        <f>(Gender!BK58/'Total Associates'!Q58)*100</f>
        <v>63.608532490618209</v>
      </c>
      <c r="Q57" s="19">
        <f>(Gender!BL58/'Total Associates'!R58)*100</f>
        <v>63.400547167899482</v>
      </c>
      <c r="R57" s="19">
        <f>(Gender!BM58/'Total Associates'!S58)*100</f>
        <v>62.659953849381168</v>
      </c>
      <c r="S57" s="19">
        <f>(Gender!BN58/'Total Associates'!T58)*100</f>
        <v>63.88740803923659</v>
      </c>
      <c r="T57" s="19">
        <f>(Gender!BO58/'Total Associates'!U58)*100</f>
        <v>64.731712541501551</v>
      </c>
      <c r="U57" s="19">
        <f>(Gender!BP58/'Total Associates'!V58)*100</f>
        <v>63.261197785606441</v>
      </c>
      <c r="V57" s="19">
        <f>(Gender!BQ58/'Total Associates'!W58)*100</f>
        <v>62.767448378959166</v>
      </c>
      <c r="W57" s="19">
        <f>(Gender!BR58/'Total Associates'!X58)*100</f>
        <v>62.415561162203957</v>
      </c>
      <c r="X57" s="19">
        <f>(Gender!BS58/'Total Associates'!Y58)*100</f>
        <v>62.444101146434669</v>
      </c>
      <c r="Y57" s="19">
        <f>(Gender!BT58/'Total Associates'!Z58)*100</f>
        <v>62.043564356435645</v>
      </c>
      <c r="Z57" s="19">
        <f>(Gender!BU58/'Total Associates'!AA58)*100</f>
        <v>62.279268767016724</v>
      </c>
      <c r="AA57" s="19">
        <f>(Gender!BV58/'Total Associates'!AB58)*100</f>
        <v>62.829680891964635</v>
      </c>
      <c r="AB57" s="19">
        <f>(Gender!BW58/'Total Associates'!AC58)*100</f>
        <v>62.010785824345149</v>
      </c>
      <c r="AC57" s="19">
        <f>(Gender!BX58/'Total Associates'!AD58)*100</f>
        <v>62.09854984435502</v>
      </c>
      <c r="AD57" s="19">
        <f>(Gender!BY58/'Total Associates'!AE58)*100</f>
        <v>62.476471069645633</v>
      </c>
      <c r="AE57" s="19">
        <f>(Gender!BZ58/'Total Associates'!AF58)*100</f>
        <v>62.644628099173552</v>
      </c>
      <c r="AF57" s="19">
        <f>(Gender!CA58/'Total Associates'!AG58)*100</f>
        <v>63.546798029556648</v>
      </c>
      <c r="AG57" s="19">
        <f>(Gender!CB58/'Total Associates'!AH58)*100</f>
        <v>63.845606264335999</v>
      </c>
      <c r="AH57" s="19">
        <f>(Gender!CC58/'Total Associates'!AI58)*100</f>
        <v>62.582274605847232</v>
      </c>
      <c r="AI57" s="19">
        <f>(Gender!CD58/'Total Associates'!AJ58)*100</f>
        <v>64.127833309869061</v>
      </c>
      <c r="AJ57" s="19">
        <f>(Gender!CE58/'Total Associates'!AK58)*100</f>
        <v>63.914165421703103</v>
      </c>
      <c r="AK57" s="19">
        <f>(Gender!CF58/'Total Associates'!AL58)*100</f>
        <v>63.013430695005866</v>
      </c>
      <c r="AL57" s="19">
        <f>(Gender!CG58/'Total Associates'!AM58)*100</f>
        <v>62.853356890459366</v>
      </c>
      <c r="AM57" s="19">
        <f>(Gender!CH58/'Total Associates'!AN58)*100</f>
        <v>61.843350686228113</v>
      </c>
      <c r="AN57" s="19">
        <f>(Gender!CI58/'Total Associates'!AO58)*100</f>
        <v>61.411522868726088</v>
      </c>
      <c r="AO57" s="19">
        <f>(Gender!CJ58/'Total Associates'!AP58)*100</f>
        <v>59.949138467926097</v>
      </c>
      <c r="AP57" s="19">
        <f>(Gender!CK58/'Total Associates'!AQ58)*100</f>
        <v>60.054913842075365</v>
      </c>
      <c r="AQ57" s="19">
        <f>(Gender!CL58/'Total Associates'!AR58)*100</f>
        <v>60.190361779790237</v>
      </c>
      <c r="AR57" s="19">
        <f>(Gender!CM58/'Total Associates'!AS58)*100</f>
        <v>58.867279530650897</v>
      </c>
      <c r="AS57" s="19" t="e">
        <f>(Gender!CN58/'Total Associates'!AT58)*100</f>
        <v>#DIV/0!</v>
      </c>
      <c r="AT57" s="19">
        <f>(Gender!CO58/'Total Associates'!AU58)*100</f>
        <v>57.95542886758227</v>
      </c>
      <c r="AU57" s="19">
        <f>(Gender!CP58/'Total Associates'!AV58)*100</f>
        <v>58.518891265148653</v>
      </c>
      <c r="AV57" s="19">
        <f>(Gender!CQ58/'Total Associates'!AW58)*100</f>
        <v>58.460356090687846</v>
      </c>
    </row>
    <row r="58" spans="1:48">
      <c r="A58" s="64" t="s">
        <v>136</v>
      </c>
      <c r="B58" s="19">
        <f>(Gender!AW59/'Total Associates'!C59)*100</f>
        <v>47.625504439063761</v>
      </c>
      <c r="C58" s="19">
        <f>(Gender!AX59/'Total Associates'!D59)*100</f>
        <v>47.484921070098984</v>
      </c>
      <c r="D58" s="19">
        <f>(Gender!AY59/'Total Associates'!E59)*100</f>
        <v>48.00380228136882</v>
      </c>
      <c r="E58" s="19">
        <f>(Gender!AZ59/'Total Associates'!F59)*100</f>
        <v>47.995360789575422</v>
      </c>
      <c r="F58" s="19">
        <f>(Gender!BA59/'Total Associates'!G59)*100</f>
        <v>48.366523493427053</v>
      </c>
      <c r="G58" s="19">
        <f>(Gender!BB59/'Total Associates'!H59)*100</f>
        <v>49.466334795815051</v>
      </c>
      <c r="H58" s="19">
        <f>(Gender!BC59/'Total Associates'!I59)*100</f>
        <v>50.885283702544683</v>
      </c>
      <c r="I58" s="19">
        <f>(Gender!BD59/'Total Associates'!J59)*100</f>
        <v>51.892608412060511</v>
      </c>
      <c r="J58" s="19">
        <f>(Gender!BE59/'Total Associates'!K59)*100</f>
        <v>52.870793518903206</v>
      </c>
      <c r="K58" s="19">
        <f>(Gender!BF59/'Total Associates'!L59)*100</f>
        <v>54.603944731568397</v>
      </c>
      <c r="L58" s="19">
        <f>(Gender!BG59/'Total Associates'!M59)*100</f>
        <v>55.301053842519366</v>
      </c>
      <c r="M58" s="19">
        <f>(Gender!BH59/'Total Associates'!N59)*100</f>
        <v>55.680625578763241</v>
      </c>
      <c r="N58" s="19">
        <f>(Gender!BI59/'Total Associates'!O59)*100</f>
        <v>55.967907754953941</v>
      </c>
      <c r="O58" s="19">
        <f>(Gender!BJ59/'Total Associates'!P59)*100</f>
        <v>56.913398210950547</v>
      </c>
      <c r="P58" s="19">
        <f>(Gender!BK59/'Total Associates'!Q59)*100</f>
        <v>57.301123865136184</v>
      </c>
      <c r="Q58" s="19">
        <f>(Gender!BL59/'Total Associates'!R59)*100</f>
        <v>58.349096470398841</v>
      </c>
      <c r="R58" s="19">
        <f>(Gender!BM59/'Total Associates'!S59)*100</f>
        <v>59.608808074067895</v>
      </c>
      <c r="S58" s="19">
        <f>(Gender!BN59/'Total Associates'!T59)*100</f>
        <v>59.890824573000401</v>
      </c>
      <c r="T58" s="19">
        <f>(Gender!BO59/'Total Associates'!U59)*100</f>
        <v>60.58066644671726</v>
      </c>
      <c r="U58" s="19">
        <f>(Gender!BP59/'Total Associates'!V59)*100</f>
        <v>60.225508619985291</v>
      </c>
      <c r="V58" s="19">
        <f>(Gender!BQ59/'Total Associates'!W59)*100</f>
        <v>60.165143025656157</v>
      </c>
      <c r="W58" s="19">
        <f>(Gender!BR59/'Total Associates'!X59)*100</f>
        <v>60.315215956865188</v>
      </c>
      <c r="X58" s="19">
        <f>(Gender!BS59/'Total Associates'!Y59)*100</f>
        <v>60.65963703107149</v>
      </c>
      <c r="Y58" s="19">
        <f>(Gender!BT59/'Total Associates'!Z59)*100</f>
        <v>60.847092071991668</v>
      </c>
      <c r="Z58" s="19">
        <f>(Gender!BU59/'Total Associates'!AA59)*100</f>
        <v>60.492765817343752</v>
      </c>
      <c r="AA58" s="19">
        <f>(Gender!BV59/'Total Associates'!AB59)*100</f>
        <v>62.748783100603276</v>
      </c>
      <c r="AB58" s="19">
        <f>(Gender!BW59/'Total Associates'!AC59)*100</f>
        <v>62.537068759094502</v>
      </c>
      <c r="AC58" s="19">
        <f>(Gender!BX59/'Total Associates'!AD59)*100</f>
        <v>61.341219042431085</v>
      </c>
      <c r="AD58" s="19">
        <f>(Gender!BY59/'Total Associates'!AE59)*100</f>
        <v>61.854441442873032</v>
      </c>
      <c r="AE58" s="19">
        <f>(Gender!BZ59/'Total Associates'!AF59)*100</f>
        <v>62.038437052363513</v>
      </c>
      <c r="AF58" s="19">
        <f>(Gender!CA59/'Total Associates'!AG59)*100</f>
        <v>61.740141459160938</v>
      </c>
      <c r="AG58" s="19">
        <f>(Gender!CB59/'Total Associates'!AH59)*100</f>
        <v>61.718933291624303</v>
      </c>
      <c r="AH58" s="19">
        <f>(Gender!CC59/'Total Associates'!AI59)*100</f>
        <v>61.698039288845777</v>
      </c>
      <c r="AI58" s="19">
        <f>(Gender!CD59/'Total Associates'!AJ59)*100</f>
        <v>62.132868389833554</v>
      </c>
      <c r="AJ58" s="19">
        <f>(Gender!CE59/'Total Associates'!AK59)*100</f>
        <v>62.367916732598417</v>
      </c>
      <c r="AK58" s="19">
        <f>(Gender!CF59/'Total Associates'!AL59)*100</f>
        <v>63.032821083373889</v>
      </c>
      <c r="AL58" s="19">
        <f>(Gender!CG59/'Total Associates'!AM59)*100</f>
        <v>62.620510601471224</v>
      </c>
      <c r="AM58" s="19">
        <f>(Gender!CH59/'Total Associates'!AN59)*100</f>
        <v>62.33328143650423</v>
      </c>
      <c r="AN58" s="19">
        <f>(Gender!CI59/'Total Associates'!AO59)*100</f>
        <v>62.760804769001489</v>
      </c>
      <c r="AO58" s="19">
        <f>(Gender!CJ59/'Total Associates'!AP59)*100</f>
        <v>61.986757116427015</v>
      </c>
      <c r="AP58" s="19">
        <f>(Gender!CK59/'Total Associates'!AQ59)*100</f>
        <v>61.488779419813902</v>
      </c>
      <c r="AQ58" s="19">
        <f>(Gender!CL59/'Total Associates'!AR59)*100</f>
        <v>61.17417761444959</v>
      </c>
      <c r="AR58" s="19">
        <f>(Gender!CM59/'Total Associates'!AS59)*100</f>
        <v>60.614085530098968</v>
      </c>
      <c r="AS58" s="19" t="e">
        <f>(Gender!CN59/'Total Associates'!AT59)*100</f>
        <v>#DIV/0!</v>
      </c>
      <c r="AT58" s="19">
        <f>(Gender!CO59/'Total Associates'!AU59)*100</f>
        <v>60.627188216829651</v>
      </c>
      <c r="AU58" s="19">
        <f>(Gender!CP59/'Total Associates'!AV59)*100</f>
        <v>60.968709156607979</v>
      </c>
      <c r="AV58" s="19">
        <f>(Gender!CQ59/'Total Associates'!AW59)*100</f>
        <v>60.588309397833207</v>
      </c>
    </row>
    <row r="59" spans="1:48">
      <c r="A59" s="64" t="s">
        <v>139</v>
      </c>
      <c r="B59" s="19">
        <f>(Gender!AW60/'Total Associates'!C60)*100</f>
        <v>36.678390855132996</v>
      </c>
      <c r="C59" s="19">
        <f>(Gender!AX60/'Total Associates'!D60)*100</f>
        <v>37.238805970149251</v>
      </c>
      <c r="D59" s="19">
        <f>(Gender!AY60/'Total Associates'!E60)*100</f>
        <v>40.163566100476316</v>
      </c>
      <c r="E59" s="19">
        <f>(Gender!AZ60/'Total Associates'!F60)*100</f>
        <v>40.874458874458874</v>
      </c>
      <c r="F59" s="19">
        <f>(Gender!BA60/'Total Associates'!G60)*100</f>
        <v>43.961518639409036</v>
      </c>
      <c r="G59" s="19">
        <f>(Gender!BB60/'Total Associates'!H60)*100</f>
        <v>45.299917830731303</v>
      </c>
      <c r="H59" s="19">
        <f>(Gender!BC60/'Total Associates'!I60)*100</f>
        <v>49.341493647350482</v>
      </c>
      <c r="I59" s="19">
        <f>(Gender!BD60/'Total Associates'!J60)*100</f>
        <v>52.14968152866242</v>
      </c>
      <c r="J59" s="19">
        <f>(Gender!BE60/'Total Associates'!K60)*100</f>
        <v>55.740839899028529</v>
      </c>
      <c r="K59" s="19">
        <f>(Gender!BF60/'Total Associates'!L60)*100</f>
        <v>58.108419838523638</v>
      </c>
      <c r="L59" s="19">
        <f>(Gender!BG60/'Total Associates'!M60)*100</f>
        <v>53.323504115984768</v>
      </c>
      <c r="M59" s="19">
        <f>(Gender!BH60/'Total Associates'!N60)*100</f>
        <v>51.633187772925758</v>
      </c>
      <c r="N59" s="19">
        <f>(Gender!BI60/'Total Associates'!O60)*100</f>
        <v>51.525423728813557</v>
      </c>
      <c r="O59" s="19">
        <f>(Gender!BJ60/'Total Associates'!P60)*100</f>
        <v>51.346527376765181</v>
      </c>
      <c r="P59" s="19">
        <f>(Gender!BK60/'Total Associates'!Q60)*100</f>
        <v>52.464270701975622</v>
      </c>
      <c r="Q59" s="19">
        <f>(Gender!BL60/'Total Associates'!R60)*100</f>
        <v>52.310337416720401</v>
      </c>
      <c r="R59" s="19">
        <f>(Gender!BM60/'Total Associates'!S60)*100</f>
        <v>54.994900424070003</v>
      </c>
      <c r="S59" s="19">
        <f>(Gender!BN60/'Total Associates'!T60)*100</f>
        <v>52.710464416607408</v>
      </c>
      <c r="T59" s="19">
        <f>(Gender!BO60/'Total Associates'!U60)*100</f>
        <v>53.932116744932536</v>
      </c>
      <c r="U59" s="19">
        <f>(Gender!BP60/'Total Associates'!V60)*100</f>
        <v>54.270112030625462</v>
      </c>
      <c r="V59" s="19">
        <f>(Gender!BQ60/'Total Associates'!W60)*100</f>
        <v>54.516193924763634</v>
      </c>
      <c r="W59" s="19">
        <f>(Gender!BR60/'Total Associates'!X60)*100</f>
        <v>54.844257596025223</v>
      </c>
      <c r="X59" s="19">
        <f>(Gender!BS60/'Total Associates'!Y60)*100</f>
        <v>55.238664078443087</v>
      </c>
      <c r="Y59" s="19">
        <f>(Gender!BT60/'Total Associates'!Z60)*100</f>
        <v>55.823729453995838</v>
      </c>
      <c r="Z59" s="19">
        <f>(Gender!BU60/'Total Associates'!AA60)*100</f>
        <v>56.862268462249013</v>
      </c>
      <c r="AA59" s="19">
        <f>(Gender!BV60/'Total Associates'!AB60)*100</f>
        <v>59.990410600645106</v>
      </c>
      <c r="AB59" s="19">
        <f>(Gender!BW60/'Total Associates'!AC60)*100</f>
        <v>60.143922316629094</v>
      </c>
      <c r="AC59" s="19">
        <f>(Gender!BX60/'Total Associates'!AD60)*100</f>
        <v>59.799720540288767</v>
      </c>
      <c r="AD59" s="19">
        <f>(Gender!BY60/'Total Associates'!AE60)*100</f>
        <v>56.535654845730377</v>
      </c>
      <c r="AE59" s="19">
        <f>(Gender!BZ60/'Total Associates'!AF60)*100</f>
        <v>54.800821355236138</v>
      </c>
      <c r="AF59" s="19">
        <f>(Gender!CA60/'Total Associates'!AG60)*100</f>
        <v>54.123202403949342</v>
      </c>
      <c r="AG59" s="19">
        <f>(Gender!CB60/'Total Associates'!AH60)*100</f>
        <v>53.588516746411486</v>
      </c>
      <c r="AH59" s="19">
        <f>(Gender!CC60/'Total Associates'!AI60)*100</f>
        <v>54.237498448939071</v>
      </c>
      <c r="AI59" s="19">
        <f>(Gender!CD60/'Total Associates'!AJ60)*100</f>
        <v>55.253313816377982</v>
      </c>
      <c r="AJ59" s="19">
        <f>(Gender!CE60/'Total Associates'!AK60)*100</f>
        <v>55.903821382567628</v>
      </c>
      <c r="AK59" s="19">
        <f>(Gender!CF60/'Total Associates'!AL60)*100</f>
        <v>56.513963929685715</v>
      </c>
      <c r="AL59" s="19">
        <f>(Gender!CG60/'Total Associates'!AM60)*100</f>
        <v>58.110726906562292</v>
      </c>
      <c r="AM59" s="19">
        <f>(Gender!CH60/'Total Associates'!AN60)*100</f>
        <v>57.896519285042338</v>
      </c>
      <c r="AN59" s="19">
        <f>(Gender!CI60/'Total Associates'!AO60)*100</f>
        <v>58.580144204104265</v>
      </c>
      <c r="AO59" s="19">
        <f>(Gender!CJ60/'Total Associates'!AP60)*100</f>
        <v>58.141741478724185</v>
      </c>
      <c r="AP59" s="19">
        <f>(Gender!CK60/'Total Associates'!AQ60)*100</f>
        <v>57.535522140984966</v>
      </c>
      <c r="AQ59" s="19">
        <f>(Gender!CL60/'Total Associates'!AR60)*100</f>
        <v>57.726295677095777</v>
      </c>
      <c r="AR59" s="19">
        <f>(Gender!CM60/'Total Associates'!AS60)*100</f>
        <v>58.089939731108018</v>
      </c>
      <c r="AS59" s="19" t="e">
        <f>(Gender!CN60/'Total Associates'!AT60)*100</f>
        <v>#DIV/0!</v>
      </c>
      <c r="AT59" s="19">
        <f>(Gender!CO60/'Total Associates'!AU60)*100</f>
        <v>59.590525293282525</v>
      </c>
      <c r="AU59" s="19">
        <f>(Gender!CP60/'Total Associates'!AV60)*100</f>
        <v>59.368135159963252</v>
      </c>
      <c r="AV59" s="19">
        <f>(Gender!CQ60/'Total Associates'!AW60)*100</f>
        <v>58.631976500209817</v>
      </c>
    </row>
    <row r="60" spans="1:48">
      <c r="A60" s="64" t="s">
        <v>140</v>
      </c>
      <c r="B60" s="19">
        <f>(Gender!AW61/'Total Associates'!C61)*100</f>
        <v>37.577639751552795</v>
      </c>
      <c r="C60" s="19">
        <f>(Gender!AX61/'Total Associates'!D61)*100</f>
        <v>38.998097653772987</v>
      </c>
      <c r="D60" s="19">
        <f>(Gender!AY61/'Total Associates'!E61)*100</f>
        <v>39.559706470980657</v>
      </c>
      <c r="E60" s="19">
        <f>(Gender!AZ61/'Total Associates'!F61)*100</f>
        <v>44.007490636704119</v>
      </c>
      <c r="F60" s="19">
        <f>(Gender!BA61/'Total Associates'!G61)*100</f>
        <v>39.588207767898922</v>
      </c>
      <c r="G60" s="19">
        <f>(Gender!BB61/'Total Associates'!H61)*100</f>
        <v>29.070896730333441</v>
      </c>
      <c r="H60" s="19">
        <f>(Gender!BC61/'Total Associates'!I61)*100</f>
        <v>34.474175482265089</v>
      </c>
      <c r="I60" s="19">
        <f>(Gender!BD61/'Total Associates'!J61)*100</f>
        <v>42.047853624208301</v>
      </c>
      <c r="J60" s="19">
        <f>(Gender!BE61/'Total Associates'!K61)*100</f>
        <v>46.872753414809488</v>
      </c>
      <c r="K60" s="19">
        <f>(Gender!BF61/'Total Associates'!L61)*100</f>
        <v>48.207036535859274</v>
      </c>
      <c r="L60" s="19">
        <f>(Gender!BG61/'Total Associates'!M61)*100</f>
        <v>49.206349206349202</v>
      </c>
      <c r="M60" s="19">
        <f>(Gender!BH61/'Total Associates'!N61)*100</f>
        <v>49.224928819993671</v>
      </c>
      <c r="N60" s="19">
        <f>(Gender!BI61/'Total Associates'!O61)*100</f>
        <v>46.587887740029544</v>
      </c>
      <c r="O60" s="19">
        <f>(Gender!BJ61/'Total Associates'!P61)*100</f>
        <v>46.042363433667781</v>
      </c>
      <c r="P60" s="19">
        <f>(Gender!BK61/'Total Associates'!Q61)*100</f>
        <v>48.28084368679572</v>
      </c>
      <c r="Q60" s="19">
        <f>(Gender!BL61/'Total Associates'!R61)*100</f>
        <v>48.956617243272923</v>
      </c>
      <c r="R60" s="19">
        <f>(Gender!BM61/'Total Associates'!S61)*100</f>
        <v>47.619047619047613</v>
      </c>
      <c r="S60" s="19">
        <f>(Gender!BN61/'Total Associates'!T61)*100</f>
        <v>48.89314020224105</v>
      </c>
      <c r="T60" s="19">
        <f>(Gender!BO61/'Total Associates'!U61)*100</f>
        <v>47.993447993447994</v>
      </c>
      <c r="U60" s="19">
        <f>(Gender!BP61/'Total Associates'!V61)*100</f>
        <v>49.184549356223179</v>
      </c>
      <c r="V60" s="19">
        <f>(Gender!BQ61/'Total Associates'!W61)*100</f>
        <v>46.921119592875314</v>
      </c>
      <c r="W60" s="19">
        <f>(Gender!BR61/'Total Associates'!X61)*100</f>
        <v>48.330447687360873</v>
      </c>
      <c r="X60" s="19">
        <f>(Gender!BS61/'Total Associates'!Y61)*100</f>
        <v>48.171318575553421</v>
      </c>
      <c r="Y60" s="19">
        <f>(Gender!BT61/'Total Associates'!Z61)*100</f>
        <v>48.921593504186752</v>
      </c>
      <c r="Z60" s="19">
        <f>(Gender!BU61/'Total Associates'!AA61)*100</f>
        <v>51.285347043701805</v>
      </c>
      <c r="AA60" s="19">
        <f>(Gender!BV61/'Total Associates'!AB61)*100</f>
        <v>50.621985275450619</v>
      </c>
      <c r="AB60" s="19">
        <f>(Gender!BW61/'Total Associates'!AC61)*100</f>
        <v>49.163790814972124</v>
      </c>
      <c r="AC60" s="19">
        <f>(Gender!BX61/'Total Associates'!AD61)*100</f>
        <v>50.027839643652563</v>
      </c>
      <c r="AD60" s="19">
        <f>(Gender!BY61/'Total Associates'!AE61)*100</f>
        <v>50.181008075744913</v>
      </c>
      <c r="AE60" s="19">
        <f>(Gender!BZ61/'Total Associates'!AF61)*100</f>
        <v>50.816901408450697</v>
      </c>
      <c r="AF60" s="19">
        <f>(Gender!CA61/'Total Associates'!AG61)*100</f>
        <v>51.144611948632047</v>
      </c>
      <c r="AG60" s="19">
        <f>(Gender!CB61/'Total Associates'!AH61)*100</f>
        <v>52.06634804610627</v>
      </c>
      <c r="AH60" s="19">
        <f>(Gender!CC61/'Total Associates'!AI61)*100</f>
        <v>51.990898748577926</v>
      </c>
      <c r="AI60" s="19">
        <f>(Gender!CD61/'Total Associates'!AJ61)*100</f>
        <v>52.118644067796616</v>
      </c>
      <c r="AJ60" s="19">
        <f>(Gender!CE61/'Total Associates'!AK61)*100</f>
        <v>53.456479149174363</v>
      </c>
      <c r="AK60" s="19">
        <f>(Gender!CF61/'Total Associates'!AL61)*100</f>
        <v>52.049073348995044</v>
      </c>
      <c r="AL60" s="19">
        <f>(Gender!CG61/'Total Associates'!AM61)*100</f>
        <v>51.386708529565674</v>
      </c>
      <c r="AM60" s="19">
        <f>(Gender!CH61/'Total Associates'!AN61)*100</f>
        <v>52.248104008667383</v>
      </c>
      <c r="AN60" s="19">
        <f>(Gender!CI61/'Total Associates'!AO61)*100</f>
        <v>51.005212211466869</v>
      </c>
      <c r="AO60" s="19">
        <f>(Gender!CJ61/'Total Associates'!AP61)*100</f>
        <v>47.103064066852369</v>
      </c>
      <c r="AP60" s="19">
        <f>(Gender!CK61/'Total Associates'!AQ61)*100</f>
        <v>49.176538572666864</v>
      </c>
      <c r="AQ60" s="19">
        <f>(Gender!CL61/'Total Associates'!AR61)*100</f>
        <v>53.067571388182074</v>
      </c>
      <c r="AR60" s="19">
        <f>(Gender!CM61/'Total Associates'!AS61)*100</f>
        <v>54.145425275020123</v>
      </c>
      <c r="AS60" s="19" t="e">
        <f>(Gender!CN61/'Total Associates'!AT61)*100</f>
        <v>#DIV/0!</v>
      </c>
      <c r="AT60" s="19">
        <f>(Gender!CO61/'Total Associates'!AU61)*100</f>
        <v>53.438713255684966</v>
      </c>
      <c r="AU60" s="19">
        <f>(Gender!CP61/'Total Associates'!AV61)*100</f>
        <v>56.517775752051044</v>
      </c>
      <c r="AV60" s="19">
        <f>(Gender!CQ61/'Total Associates'!AW61)*100</f>
        <v>55.35341485237101</v>
      </c>
    </row>
    <row r="61" spans="1:48">
      <c r="A61" s="64" t="s">
        <v>143</v>
      </c>
      <c r="B61" s="19">
        <f>(Gender!AW62/'Total Associates'!C62)*100</f>
        <v>70.282485875706215</v>
      </c>
      <c r="C61" s="19">
        <f>(Gender!AX62/'Total Associates'!D62)*100</f>
        <v>66.312056737588648</v>
      </c>
      <c r="D61" s="19">
        <f>(Gender!AY62/'Total Associates'!E62)*100</f>
        <v>76.707726763717815</v>
      </c>
      <c r="E61" s="19">
        <f>(Gender!AZ62/'Total Associates'!F62)*100</f>
        <v>71.535580524344567</v>
      </c>
      <c r="F61" s="19">
        <f>(Gender!BA62/'Total Associates'!G62)*100</f>
        <v>66.064092029580934</v>
      </c>
      <c r="G61" s="19">
        <f>(Gender!BB62/'Total Associates'!H62)*100</f>
        <v>66.666666666666657</v>
      </c>
      <c r="H61" s="19">
        <f>(Gender!BC62/'Total Associates'!I62)*100</f>
        <v>63.931888544891649</v>
      </c>
      <c r="I61" s="19">
        <f>(Gender!BD62/'Total Associates'!J62)*100</f>
        <v>68.759571209800924</v>
      </c>
      <c r="J61" s="19">
        <f>(Gender!BE62/'Total Associates'!K62)*100</f>
        <v>66.02023608768971</v>
      </c>
      <c r="K61" s="19">
        <f>(Gender!BF62/'Total Associates'!L62)*100</f>
        <v>68.815331010452965</v>
      </c>
      <c r="L61" s="19">
        <f>(Gender!BG62/'Total Associates'!M62)*100</f>
        <v>63.891050583657581</v>
      </c>
      <c r="M61" s="19">
        <f>(Gender!BH62/'Total Associates'!N62)*100</f>
        <v>62.930344275420339</v>
      </c>
      <c r="N61" s="19">
        <f>(Gender!BI62/'Total Associates'!O62)*100</f>
        <v>62.226117440841364</v>
      </c>
      <c r="O61" s="19">
        <f>(Gender!BJ62/'Total Associates'!P62)*100</f>
        <v>61.769480519480524</v>
      </c>
      <c r="P61" s="19">
        <f>(Gender!BK62/'Total Associates'!Q62)*100</f>
        <v>60.096930533117934</v>
      </c>
      <c r="Q61" s="19">
        <f>(Gender!BL62/'Total Associates'!R62)*100</f>
        <v>60.729431721798136</v>
      </c>
      <c r="R61" s="19">
        <f>(Gender!BM62/'Total Associates'!S62)*100</f>
        <v>61.081560283687942</v>
      </c>
      <c r="S61" s="19">
        <f>(Gender!BN62/'Total Associates'!T62)*100</f>
        <v>61.096605744125334</v>
      </c>
      <c r="T61" s="19">
        <f>(Gender!BO62/'Total Associates'!U62)*100</f>
        <v>61.179577464788736</v>
      </c>
      <c r="U61" s="19">
        <f>(Gender!BP62/'Total Associates'!V62)*100</f>
        <v>58.954041204437402</v>
      </c>
      <c r="V61" s="19">
        <f>(Gender!BQ62/'Total Associates'!W62)*100</f>
        <v>61.450692746536262</v>
      </c>
      <c r="W61" s="19">
        <f>(Gender!BR62/'Total Associates'!X62)*100</f>
        <v>62.71829916476841</v>
      </c>
      <c r="X61" s="19">
        <f>(Gender!BS62/'Total Associates'!Y62)*100</f>
        <v>63.132911392405063</v>
      </c>
      <c r="Y61" s="19">
        <f>(Gender!BT62/'Total Associates'!Z62)*100</f>
        <v>63.801261829653001</v>
      </c>
      <c r="Z61" s="19">
        <f>(Gender!BU62/'Total Associates'!AA62)*100</f>
        <v>64.988558352402748</v>
      </c>
      <c r="AA61" s="19">
        <f>(Gender!BV62/'Total Associates'!AB62)*100</f>
        <v>59.795918367346935</v>
      </c>
      <c r="AB61" s="19">
        <f>(Gender!BW62/'Total Associates'!AC62)*100</f>
        <v>60.290909090909096</v>
      </c>
      <c r="AC61" s="19">
        <f>(Gender!BX62/'Total Associates'!AD62)*100</f>
        <v>60.263522884882107</v>
      </c>
      <c r="AD61" s="19">
        <f>(Gender!BY62/'Total Associates'!AE62)*100</f>
        <v>58.279430789133244</v>
      </c>
      <c r="AE61" s="19">
        <f>(Gender!BZ62/'Total Associates'!AF62)*100</f>
        <v>56.273525721455457</v>
      </c>
      <c r="AF61" s="19">
        <f>(Gender!CA62/'Total Associates'!AG62)*100</f>
        <v>53.301886792452834</v>
      </c>
      <c r="AG61" s="19">
        <f>(Gender!CB62/'Total Associates'!AH62)*100</f>
        <v>52.607260726072603</v>
      </c>
      <c r="AH61" s="19">
        <f>(Gender!CC62/'Total Associates'!AI62)*100</f>
        <v>53.488372093023251</v>
      </c>
      <c r="AI61" s="19">
        <f>(Gender!CD62/'Total Associates'!AJ62)*100</f>
        <v>53.093525179856115</v>
      </c>
      <c r="AJ61" s="19">
        <f>(Gender!CE62/'Total Associates'!AK62)*100</f>
        <v>60.188827694728566</v>
      </c>
      <c r="AK61" s="19">
        <f>(Gender!CF62/'Total Associates'!AL62)*100</f>
        <v>56.231884057971016</v>
      </c>
      <c r="AL61" s="19">
        <f>(Gender!CG62/'Total Associates'!AM62)*100</f>
        <v>59.450980392156858</v>
      </c>
      <c r="AM61" s="19">
        <f>(Gender!CH62/'Total Associates'!AN62)*100</f>
        <v>59.572784810126578</v>
      </c>
      <c r="AN61" s="19">
        <f>(Gender!CI62/'Total Associates'!AO62)*100</f>
        <v>57.595993322203675</v>
      </c>
      <c r="AO61" s="19">
        <f>(Gender!CJ62/'Total Associates'!AP62)*100</f>
        <v>60.189573459715639</v>
      </c>
      <c r="AP61" s="19">
        <f>(Gender!CK62/'Total Associates'!AQ62)*100</f>
        <v>60.506950122649229</v>
      </c>
      <c r="AQ61" s="19">
        <f>(Gender!CL62/'Total Associates'!AR62)*100</f>
        <v>61.789297658862871</v>
      </c>
      <c r="AR61" s="19">
        <f>(Gender!CM62/'Total Associates'!AS62)*100</f>
        <v>60.9375</v>
      </c>
      <c r="AS61" s="19" t="e">
        <f>(Gender!CN62/'Total Associates'!AT62)*100</f>
        <v>#DIV/0!</v>
      </c>
      <c r="AT61" s="19">
        <f>(Gender!CO62/'Total Associates'!AU62)*100</f>
        <v>63.927335640138402</v>
      </c>
      <c r="AU61" s="19">
        <f>(Gender!CP62/'Total Associates'!AV62)*100</f>
        <v>63.35034013605442</v>
      </c>
      <c r="AV61" s="19">
        <f>(Gender!CQ62/'Total Associates'!AW62)*100</f>
        <v>61.742424242424242</v>
      </c>
    </row>
    <row r="62" spans="1:48">
      <c r="A62" s="44" t="s">
        <v>129</v>
      </c>
      <c r="B62" s="19">
        <f>(Gender!AW63/'Total Associates'!C63)*100</f>
        <v>62.829736211031175</v>
      </c>
      <c r="C62" s="19">
        <f>(Gender!AX63/'Total Associates'!D63)*100</f>
        <v>56.865284974093264</v>
      </c>
      <c r="D62" s="19">
        <f>(Gender!AY63/'Total Associates'!E63)*100</f>
        <v>49.718151071025929</v>
      </c>
      <c r="E62" s="19">
        <f>(Gender!AZ63/'Total Associates'!F63)*100</f>
        <v>50.89686098654709</v>
      </c>
      <c r="F62" s="19">
        <f>(Gender!BA63/'Total Associates'!G63)*100</f>
        <v>44.693877551020407</v>
      </c>
      <c r="G62" s="19">
        <f>(Gender!BB63/'Total Associates'!H63)*100</f>
        <v>48.599137931034484</v>
      </c>
      <c r="H62" s="19">
        <f>(Gender!BC63/'Total Associates'!I63)*100</f>
        <v>52.78846153846154</v>
      </c>
      <c r="I62" s="19">
        <f>(Gender!BD63/'Total Associates'!J63)*100</f>
        <v>59.213759213759211</v>
      </c>
      <c r="J62" s="19">
        <f>(Gender!BE63/'Total Associates'!K63)*100</f>
        <v>51.366906474820141</v>
      </c>
      <c r="K62" s="19">
        <f>(Gender!BF63/'Total Associates'!L63)*100</f>
        <v>57.861635220125784</v>
      </c>
      <c r="L62" s="19">
        <f>(Gender!BG63/'Total Associates'!M63)*100</f>
        <v>53.051643192488264</v>
      </c>
      <c r="M62" s="19">
        <f>(Gender!BH63/'Total Associates'!N63)*100</f>
        <v>55.226480836236938</v>
      </c>
      <c r="N62" s="19">
        <f>(Gender!BI63/'Total Associates'!O63)*100</f>
        <v>53.629032258064512</v>
      </c>
      <c r="O62" s="19">
        <f>(Gender!BJ63/'Total Associates'!P63)*100</f>
        <v>55.555555555555557</v>
      </c>
      <c r="P62" s="19">
        <f>(Gender!BK63/'Total Associates'!Q63)*100</f>
        <v>59.45945945945946</v>
      </c>
      <c r="Q62" s="19">
        <f>(Gender!BL63/'Total Associates'!R63)*100</f>
        <v>54.229934924078094</v>
      </c>
      <c r="R62" s="19">
        <f>(Gender!BM63/'Total Associates'!S63)*100</f>
        <v>49.322493224932252</v>
      </c>
      <c r="S62" s="19">
        <f>(Gender!BN63/'Total Associates'!T63)*100</f>
        <v>57.800511508951402</v>
      </c>
      <c r="T62" s="19">
        <f>(Gender!BO63/'Total Associates'!U63)*100</f>
        <v>54.54545454545454</v>
      </c>
      <c r="U62" s="19">
        <f>(Gender!BP63/'Total Associates'!V63)*100</f>
        <v>55.583126550868492</v>
      </c>
      <c r="V62" s="19">
        <f>(Gender!BQ63/'Total Associates'!W63)*100</f>
        <v>57.53846153846154</v>
      </c>
      <c r="W62" s="19">
        <f>(Gender!BR63/'Total Associates'!X63)*100</f>
        <v>54.385964912280706</v>
      </c>
      <c r="X62" s="19">
        <f>(Gender!BS63/'Total Associates'!Y63)*100</f>
        <v>49.425287356321839</v>
      </c>
      <c r="Y62" s="19">
        <f>(Gender!BT63/'Total Associates'!Z63)*100</f>
        <v>53.442622950819676</v>
      </c>
      <c r="Z62" s="19">
        <f>(Gender!BU63/'Total Associates'!AA63)*100</f>
        <v>52.682926829268297</v>
      </c>
      <c r="AA62" s="19">
        <f>(Gender!BV63/'Total Associates'!AB63)*100</f>
        <v>53.984575835475582</v>
      </c>
      <c r="AB62" s="19">
        <f>(Gender!BW63/'Total Associates'!AC63)*100</f>
        <v>65.853658536585371</v>
      </c>
      <c r="AC62" s="19">
        <f>(Gender!BX63/'Total Associates'!AD63)*100</f>
        <v>58.810572687224671</v>
      </c>
      <c r="AD62" s="19">
        <f>(Gender!BY63/'Total Associates'!AE63)*100</f>
        <v>59.004739336492896</v>
      </c>
      <c r="AE62" s="19">
        <f>(Gender!BZ63/'Total Associates'!AF63)*100</f>
        <v>62.40786240786241</v>
      </c>
      <c r="AF62" s="19">
        <f>(Gender!CA63/'Total Associates'!AG63)*100</f>
        <v>62.974203338391497</v>
      </c>
      <c r="AG62" s="19">
        <f>(Gender!CB63/'Total Associates'!AH63)*100</f>
        <v>63.725490196078425</v>
      </c>
      <c r="AH62" s="19">
        <f>(Gender!CC63/'Total Associates'!AI63)*100</f>
        <v>66.265060240963862</v>
      </c>
      <c r="AI62" s="19">
        <f>(Gender!CD63/'Total Associates'!AJ63)*100</f>
        <v>66.544117647058826</v>
      </c>
      <c r="AJ62" s="19">
        <f>(Gender!CE63/'Total Associates'!AK63)*100</f>
        <v>65.324384787472027</v>
      </c>
      <c r="AK62" s="19">
        <f>(Gender!CF63/'Total Associates'!AL63)*100</f>
        <v>65.701357466063342</v>
      </c>
      <c r="AL62" s="19">
        <f>(Gender!CG63/'Total Associates'!AM63)*100</f>
        <v>63.896583564173589</v>
      </c>
      <c r="AM62" s="19">
        <f>(Gender!CH63/'Total Associates'!AN63)*100</f>
        <v>67.239732569245461</v>
      </c>
      <c r="AN62" s="19">
        <f>(Gender!CI63/'Total Associates'!AO63)*100</f>
        <v>64.757709251101332</v>
      </c>
      <c r="AO62" s="19">
        <f>(Gender!CJ63/'Total Associates'!AP63)*100</f>
        <v>49.853372434017594</v>
      </c>
      <c r="AP62" s="19">
        <f>(Gender!CK63/'Total Associates'!AQ63)*100</f>
        <v>59.219088937093275</v>
      </c>
      <c r="AQ62" s="19">
        <f>(Gender!CL63/'Total Associates'!AR63)*100</f>
        <v>61.339092872570191</v>
      </c>
      <c r="AR62" s="19">
        <f>(Gender!CM63/'Total Associates'!AS63)*100</f>
        <v>64.139941690962104</v>
      </c>
      <c r="AS62" s="19" t="e">
        <f>(Gender!CN63/'Total Associates'!AT63)*100</f>
        <v>#DIV/0!</v>
      </c>
      <c r="AT62" s="19">
        <f>(Gender!CO63/'Total Associates'!AU63)*100</f>
        <v>61.943319838056674</v>
      </c>
      <c r="AU62" s="19">
        <f>(Gender!CP63/'Total Associates'!AV63)*100</f>
        <v>60.862354892205637</v>
      </c>
      <c r="AV62" s="19">
        <f>(Gender!CQ63/'Total Associates'!AW63)*100</f>
        <v>64.649243466299865</v>
      </c>
    </row>
  </sheetData>
  <phoneticPr fontId="1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49</vt:lpstr>
      <vt:lpstr>Total Associates</vt:lpstr>
      <vt:lpstr>Public</vt:lpstr>
      <vt:lpstr>Gender</vt:lpstr>
      <vt:lpstr>All races</vt:lpstr>
      <vt:lpstr>Black</vt:lpstr>
      <vt:lpstr>Hispanic &amp; Foreign</vt:lpstr>
      <vt:lpstr>Women as a % of Total</vt:lpstr>
      <vt:lpstr>Sheet1</vt:lpstr>
      <vt:lpstr>DATA</vt:lpstr>
      <vt:lpstr>'TABLE 49'!Print_Area</vt:lpstr>
      <vt:lpstr>T_1</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Christiana Datubo-Brown</cp:lastModifiedBy>
  <cp:lastPrinted>2015-08-13T20:19:18Z</cp:lastPrinted>
  <dcterms:created xsi:type="dcterms:W3CDTF">1999-04-13T17:48:42Z</dcterms:created>
  <dcterms:modified xsi:type="dcterms:W3CDTF">2019-07-02T13:06:10Z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2019-04-11T21:39:38.2694111Z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