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727"/>
  <workbookPr/>
  <mc:AlternateContent xmlns:mc="http://schemas.openxmlformats.org/markup-compatibility/2006">
    <mc:Choice Requires="x15">
      <x15ac:absPath xmlns:x15ac="http://schemas.microsoft.com/office/spreadsheetml/2010/11/ac" url="I:\FactBooks\3_Completion\"/>
    </mc:Choice>
  </mc:AlternateContent>
  <xr:revisionPtr revIDLastSave="0" documentId="13_ncr:1_{70A768A6-9649-431A-9D44-485604DEAB01}" xr6:coauthVersionLast="43" xr6:coauthVersionMax="43" xr10:uidLastSave="{00000000-0000-0000-0000-000000000000}"/>
  <bookViews>
    <workbookView xWindow="-120" yWindow="-120" windowWidth="29040" windowHeight="15840" tabRatio="682" xr2:uid="{00000000-000D-0000-FFFF-FFFF00000000}"/>
  </bookViews>
  <sheets>
    <sheet name="TABLE 53" sheetId="2" r:id="rId1"/>
    <sheet name="Total Bachelor's" sheetId="4" r:id="rId2"/>
    <sheet name="Public" sheetId="5" r:id="rId3"/>
    <sheet name="Gender" sheetId="1" r:id="rId4"/>
    <sheet name="Black" sheetId="7" r:id="rId5"/>
    <sheet name="All Race" sheetId="8" r:id="rId6"/>
    <sheet name="White" sheetId="9" r:id="rId7"/>
    <sheet name="Hispanic &amp; Foreign" sheetId="11" r:id="rId8"/>
    <sheet name="Women as a % of Total" sheetId="10" r:id="rId9"/>
  </sheets>
  <externalReferences>
    <externalReference r:id="rId10"/>
  </externalReferences>
  <definedNames>
    <definedName name="__123Graph_A" localSheetId="7" hidden="1">[1]Gender!#REF!</definedName>
    <definedName name="__123Graph_A" hidden="1">Gender!#REF!</definedName>
    <definedName name="__123Graph_LBL_A" localSheetId="7" hidden="1">[1]Gender!#REF!</definedName>
    <definedName name="__123Graph_LBL_A" hidden="1">Gender!#REF!</definedName>
    <definedName name="__123Graph_X" localSheetId="7" hidden="1">[1]Gender!#REF!</definedName>
    <definedName name="__123Graph_X" hidden="1">Gender!#REF!</definedName>
    <definedName name="_1__123Graph_ABACH" hidden="1">Gender!#REF!</definedName>
    <definedName name="_2__123Graph_ABACH" hidden="1">Gender!#REF!</definedName>
    <definedName name="_3__123Graph_LBL_ABACH" hidden="1">Gender!#REF!</definedName>
    <definedName name="_4__123Graph_LBL_ABACH" hidden="1">Gender!#REF!</definedName>
    <definedName name="_5__123Graph_XBACH" hidden="1">Gender!#REF!</definedName>
    <definedName name="_6__123Graph_XBACH" hidden="1">Gender!#REF!</definedName>
    <definedName name="A" localSheetId="7">[1]Gender!#REF!</definedName>
    <definedName name="A">Gender!#REF!</definedName>
    <definedName name="B" localSheetId="7">[1]Gender!#REF!</definedName>
    <definedName name="B">Gender!#REF!</definedName>
    <definedName name="DATA">Gender!$A$1</definedName>
    <definedName name="_xlnm.Print_Area" localSheetId="0">'TABLE 53'!$A$1:$P$72</definedName>
    <definedName name="TABLE">'TABLE 53'!$A$1:$F$67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67" i="2" l="1"/>
  <c r="P66" i="2"/>
  <c r="P65" i="2"/>
  <c r="P64" i="2"/>
  <c r="P63" i="2"/>
  <c r="P62" i="2"/>
  <c r="P61" i="2"/>
  <c r="P60" i="2"/>
  <c r="P59" i="2"/>
  <c r="P58" i="2"/>
  <c r="P56" i="2"/>
  <c r="P55" i="2"/>
  <c r="P54" i="2"/>
  <c r="P53" i="2"/>
  <c r="P52" i="2"/>
  <c r="P51" i="2"/>
  <c r="P50" i="2"/>
  <c r="P49" i="2"/>
  <c r="P48" i="2"/>
  <c r="P47" i="2"/>
  <c r="P46" i="2"/>
  <c r="P45" i="2"/>
  <c r="P44" i="2"/>
  <c r="P42" i="2"/>
  <c r="P41" i="2"/>
  <c r="P40" i="2"/>
  <c r="P39" i="2"/>
  <c r="P38" i="2"/>
  <c r="P37" i="2"/>
  <c r="P36" i="2"/>
  <c r="P35" i="2"/>
  <c r="P34" i="2"/>
  <c r="P33" i="2"/>
  <c r="P32" i="2"/>
  <c r="P31" i="2"/>
  <c r="P30" i="2"/>
  <c r="P29" i="2"/>
  <c r="P27" i="2"/>
  <c r="P26" i="2"/>
  <c r="P25" i="2"/>
  <c r="P24" i="2"/>
  <c r="P23" i="2"/>
  <c r="P22" i="2"/>
  <c r="P21" i="2"/>
  <c r="P20" i="2"/>
  <c r="P19" i="2"/>
  <c r="P18" i="2"/>
  <c r="P17" i="2"/>
  <c r="P16" i="2"/>
  <c r="P15" i="2"/>
  <c r="P14" i="2"/>
  <c r="P13" i="2"/>
  <c r="P12" i="2"/>
  <c r="P11" i="2"/>
  <c r="P9" i="2"/>
  <c r="P8" i="2"/>
  <c r="O67" i="2"/>
  <c r="O66" i="2"/>
  <c r="O65" i="2"/>
  <c r="O64" i="2"/>
  <c r="O63" i="2"/>
  <c r="O62" i="2"/>
  <c r="O61" i="2"/>
  <c r="O60" i="2"/>
  <c r="O59" i="2"/>
  <c r="O58" i="2"/>
  <c r="O56" i="2"/>
  <c r="O55" i="2"/>
  <c r="O54" i="2"/>
  <c r="O53" i="2"/>
  <c r="O52" i="2"/>
  <c r="O51" i="2"/>
  <c r="O50" i="2"/>
  <c r="O49" i="2"/>
  <c r="O48" i="2"/>
  <c r="O47" i="2"/>
  <c r="O46" i="2"/>
  <c r="O45" i="2"/>
  <c r="O44" i="2"/>
  <c r="O42" i="2"/>
  <c r="O41" i="2"/>
  <c r="O40" i="2"/>
  <c r="O39" i="2"/>
  <c r="O38" i="2"/>
  <c r="O37" i="2"/>
  <c r="O36" i="2"/>
  <c r="O35" i="2"/>
  <c r="O34" i="2"/>
  <c r="O33" i="2"/>
  <c r="O32" i="2"/>
  <c r="O31" i="2"/>
  <c r="O30" i="2"/>
  <c r="O29" i="2"/>
  <c r="O27" i="2"/>
  <c r="O26" i="2"/>
  <c r="O25" i="2"/>
  <c r="O24" i="2"/>
  <c r="O23" i="2"/>
  <c r="O22" i="2"/>
  <c r="O21" i="2"/>
  <c r="O20" i="2"/>
  <c r="O19" i="2"/>
  <c r="O18" i="2"/>
  <c r="O17" i="2"/>
  <c r="O16" i="2"/>
  <c r="O15" i="2"/>
  <c r="O14" i="2"/>
  <c r="O13" i="2"/>
  <c r="O12" i="2"/>
  <c r="O11" i="2"/>
  <c r="O9" i="2"/>
  <c r="O8" i="2"/>
  <c r="N67" i="2"/>
  <c r="N66" i="2"/>
  <c r="N65" i="2"/>
  <c r="N64" i="2"/>
  <c r="N63" i="2"/>
  <c r="N62" i="2"/>
  <c r="N61" i="2"/>
  <c r="N60" i="2"/>
  <c r="N59" i="2"/>
  <c r="N58" i="2"/>
  <c r="N56" i="2"/>
  <c r="N55" i="2"/>
  <c r="N54" i="2"/>
  <c r="N53" i="2"/>
  <c r="N52" i="2"/>
  <c r="N51" i="2"/>
  <c r="N50" i="2"/>
  <c r="N49" i="2"/>
  <c r="N48" i="2"/>
  <c r="N47" i="2"/>
  <c r="N46" i="2"/>
  <c r="N45" i="2"/>
  <c r="N44" i="2"/>
  <c r="N42" i="2"/>
  <c r="N41" i="2"/>
  <c r="N40" i="2"/>
  <c r="N39" i="2"/>
  <c r="N38" i="2"/>
  <c r="N37" i="2"/>
  <c r="N36" i="2"/>
  <c r="N35" i="2"/>
  <c r="N34" i="2"/>
  <c r="N33" i="2"/>
  <c r="N32" i="2"/>
  <c r="N31" i="2"/>
  <c r="N30" i="2"/>
  <c r="N29" i="2"/>
  <c r="N27" i="2"/>
  <c r="N26" i="2"/>
  <c r="N25" i="2"/>
  <c r="N24" i="2"/>
  <c r="N23" i="2"/>
  <c r="N22" i="2"/>
  <c r="N21" i="2"/>
  <c r="N20" i="2"/>
  <c r="N19" i="2"/>
  <c r="N18" i="2"/>
  <c r="N17" i="2"/>
  <c r="N16" i="2"/>
  <c r="N15" i="2"/>
  <c r="N14" i="2"/>
  <c r="N13" i="2"/>
  <c r="N12" i="2"/>
  <c r="N11" i="2"/>
  <c r="N9" i="2"/>
  <c r="N8" i="2"/>
  <c r="M67" i="2"/>
  <c r="M66" i="2"/>
  <c r="M65" i="2"/>
  <c r="M64" i="2"/>
  <c r="M63" i="2"/>
  <c r="M62" i="2"/>
  <c r="M61" i="2"/>
  <c r="M60" i="2"/>
  <c r="M59" i="2"/>
  <c r="M58" i="2"/>
  <c r="M56" i="2"/>
  <c r="M55" i="2"/>
  <c r="M54" i="2"/>
  <c r="M53" i="2"/>
  <c r="M52" i="2"/>
  <c r="M51" i="2"/>
  <c r="M50" i="2"/>
  <c r="M49" i="2"/>
  <c r="M48" i="2"/>
  <c r="M47" i="2"/>
  <c r="M46" i="2"/>
  <c r="M45" i="2"/>
  <c r="M44" i="2"/>
  <c r="M42" i="2"/>
  <c r="M41" i="2"/>
  <c r="M40" i="2"/>
  <c r="M39" i="2"/>
  <c r="M38" i="2"/>
  <c r="M37" i="2"/>
  <c r="M36" i="2"/>
  <c r="M35" i="2"/>
  <c r="M34" i="2"/>
  <c r="M33" i="2"/>
  <c r="M32" i="2"/>
  <c r="M31" i="2"/>
  <c r="M30" i="2"/>
  <c r="M29" i="2"/>
  <c r="M27" i="2"/>
  <c r="M26" i="2"/>
  <c r="M25" i="2"/>
  <c r="M24" i="2"/>
  <c r="M23" i="2"/>
  <c r="M22" i="2"/>
  <c r="M21" i="2"/>
  <c r="M20" i="2"/>
  <c r="M19" i="2"/>
  <c r="M18" i="2"/>
  <c r="M17" i="2"/>
  <c r="M16" i="2"/>
  <c r="M15" i="2"/>
  <c r="M14" i="2"/>
  <c r="M13" i="2"/>
  <c r="M12" i="2"/>
  <c r="M11" i="2"/>
  <c r="M9" i="2"/>
  <c r="M8" i="2"/>
  <c r="L67" i="2"/>
  <c r="L66" i="2"/>
  <c r="L65" i="2"/>
  <c r="L64" i="2"/>
  <c r="L63" i="2"/>
  <c r="L62" i="2"/>
  <c r="L61" i="2"/>
  <c r="L60" i="2"/>
  <c r="L59" i="2"/>
  <c r="L58" i="2"/>
  <c r="L56" i="2"/>
  <c r="L55" i="2"/>
  <c r="L54" i="2"/>
  <c r="L53" i="2"/>
  <c r="L52" i="2"/>
  <c r="L51" i="2"/>
  <c r="L50" i="2"/>
  <c r="L49" i="2"/>
  <c r="L48" i="2"/>
  <c r="L47" i="2"/>
  <c r="L46" i="2"/>
  <c r="L45" i="2"/>
  <c r="L44" i="2"/>
  <c r="L42" i="2"/>
  <c r="L41" i="2"/>
  <c r="L40" i="2"/>
  <c r="L39" i="2"/>
  <c r="L38" i="2"/>
  <c r="L37" i="2"/>
  <c r="L36" i="2"/>
  <c r="L35" i="2"/>
  <c r="L34" i="2"/>
  <c r="L33" i="2"/>
  <c r="L32" i="2"/>
  <c r="L31" i="2"/>
  <c r="L30" i="2"/>
  <c r="L29" i="2"/>
  <c r="L27" i="2"/>
  <c r="L26" i="2"/>
  <c r="L25" i="2"/>
  <c r="L24" i="2"/>
  <c r="L23" i="2"/>
  <c r="L22" i="2"/>
  <c r="L21" i="2"/>
  <c r="L20" i="2"/>
  <c r="L19" i="2"/>
  <c r="L18" i="2"/>
  <c r="L17" i="2"/>
  <c r="L16" i="2"/>
  <c r="L15" i="2"/>
  <c r="L14" i="2"/>
  <c r="L13" i="2"/>
  <c r="L12" i="2"/>
  <c r="L11" i="2"/>
  <c r="L9" i="2"/>
  <c r="L8" i="2"/>
  <c r="K67" i="2"/>
  <c r="K66" i="2"/>
  <c r="K65" i="2"/>
  <c r="K64" i="2"/>
  <c r="K63" i="2"/>
  <c r="K62" i="2"/>
  <c r="K61" i="2"/>
  <c r="K60" i="2"/>
  <c r="K59" i="2"/>
  <c r="K58" i="2"/>
  <c r="K56" i="2"/>
  <c r="K55" i="2"/>
  <c r="K54" i="2"/>
  <c r="K53" i="2"/>
  <c r="K52" i="2"/>
  <c r="K51" i="2"/>
  <c r="K50" i="2"/>
  <c r="K49" i="2"/>
  <c r="K48" i="2"/>
  <c r="K47" i="2"/>
  <c r="K46" i="2"/>
  <c r="K45" i="2"/>
  <c r="K44" i="2"/>
  <c r="K42" i="2"/>
  <c r="K41" i="2"/>
  <c r="K40" i="2"/>
  <c r="K39" i="2"/>
  <c r="K38" i="2"/>
  <c r="K37" i="2"/>
  <c r="K36" i="2"/>
  <c r="K35" i="2"/>
  <c r="K34" i="2"/>
  <c r="K33" i="2"/>
  <c r="K32" i="2"/>
  <c r="K31" i="2"/>
  <c r="K30" i="2"/>
  <c r="K29" i="2"/>
  <c r="K27" i="2"/>
  <c r="K26" i="2"/>
  <c r="K25" i="2"/>
  <c r="K24" i="2"/>
  <c r="K23" i="2"/>
  <c r="K22" i="2"/>
  <c r="K21" i="2"/>
  <c r="K20" i="2"/>
  <c r="K19" i="2"/>
  <c r="K18" i="2"/>
  <c r="K17" i="2"/>
  <c r="K16" i="2"/>
  <c r="K15" i="2"/>
  <c r="K14" i="2"/>
  <c r="K13" i="2"/>
  <c r="K12" i="2"/>
  <c r="K11" i="2"/>
  <c r="K9" i="2"/>
  <c r="K8" i="2"/>
  <c r="J67" i="2"/>
  <c r="J66" i="2"/>
  <c r="J65" i="2"/>
  <c r="J64" i="2"/>
  <c r="J63" i="2"/>
  <c r="J62" i="2"/>
  <c r="J61" i="2"/>
  <c r="J60" i="2"/>
  <c r="J59" i="2"/>
  <c r="J58" i="2"/>
  <c r="J56" i="2"/>
  <c r="J55" i="2"/>
  <c r="J54" i="2"/>
  <c r="J53" i="2"/>
  <c r="J52" i="2"/>
  <c r="J51" i="2"/>
  <c r="J50" i="2"/>
  <c r="J49" i="2"/>
  <c r="J48" i="2"/>
  <c r="J47" i="2"/>
  <c r="J46" i="2"/>
  <c r="J45" i="2"/>
  <c r="J44" i="2"/>
  <c r="J42" i="2"/>
  <c r="J41" i="2"/>
  <c r="J40" i="2"/>
  <c r="J39" i="2"/>
  <c r="J38" i="2"/>
  <c r="J37" i="2"/>
  <c r="J36" i="2"/>
  <c r="J35" i="2"/>
  <c r="J34" i="2"/>
  <c r="J33" i="2"/>
  <c r="J32" i="2"/>
  <c r="J31" i="2"/>
  <c r="J30" i="2"/>
  <c r="J29" i="2"/>
  <c r="J27" i="2"/>
  <c r="J26" i="2"/>
  <c r="J25" i="2"/>
  <c r="J24" i="2"/>
  <c r="J23" i="2"/>
  <c r="J22" i="2"/>
  <c r="J21" i="2"/>
  <c r="J20" i="2"/>
  <c r="J19" i="2"/>
  <c r="J18" i="2"/>
  <c r="J17" i="2"/>
  <c r="J16" i="2"/>
  <c r="J15" i="2"/>
  <c r="J14" i="2"/>
  <c r="J13" i="2"/>
  <c r="J12" i="2"/>
  <c r="J11" i="2"/>
  <c r="J9" i="2"/>
  <c r="J8" i="2"/>
  <c r="I67" i="2"/>
  <c r="I66" i="2"/>
  <c r="I65" i="2"/>
  <c r="I64" i="2"/>
  <c r="I63" i="2"/>
  <c r="I62" i="2"/>
  <c r="I61" i="2"/>
  <c r="I60" i="2"/>
  <c r="I59" i="2"/>
  <c r="I58" i="2"/>
  <c r="I56" i="2"/>
  <c r="I55" i="2"/>
  <c r="I54" i="2"/>
  <c r="I53" i="2"/>
  <c r="I52" i="2"/>
  <c r="I51" i="2"/>
  <c r="I50" i="2"/>
  <c r="I49" i="2"/>
  <c r="I48" i="2"/>
  <c r="I47" i="2"/>
  <c r="I46" i="2"/>
  <c r="I45" i="2"/>
  <c r="I44" i="2"/>
  <c r="I42" i="2"/>
  <c r="I41" i="2"/>
  <c r="I40" i="2"/>
  <c r="I39" i="2"/>
  <c r="I38" i="2"/>
  <c r="I37" i="2"/>
  <c r="I36" i="2"/>
  <c r="I35" i="2"/>
  <c r="I34" i="2"/>
  <c r="I33" i="2"/>
  <c r="I32" i="2"/>
  <c r="I31" i="2"/>
  <c r="I30" i="2"/>
  <c r="I29" i="2"/>
  <c r="I27" i="2"/>
  <c r="I26" i="2"/>
  <c r="I25" i="2"/>
  <c r="I24" i="2"/>
  <c r="I23" i="2"/>
  <c r="I22" i="2"/>
  <c r="I21" i="2"/>
  <c r="I20" i="2"/>
  <c r="I19" i="2"/>
  <c r="I18" i="2"/>
  <c r="I17" i="2"/>
  <c r="I16" i="2"/>
  <c r="I15" i="2"/>
  <c r="I14" i="2"/>
  <c r="I13" i="2"/>
  <c r="I12" i="2"/>
  <c r="I11" i="2"/>
  <c r="I9" i="2"/>
  <c r="I8" i="2"/>
  <c r="H67" i="2"/>
  <c r="H66" i="2"/>
  <c r="H65" i="2"/>
  <c r="H64" i="2"/>
  <c r="H63" i="2"/>
  <c r="H62" i="2"/>
  <c r="H61" i="2"/>
  <c r="H60" i="2"/>
  <c r="H59" i="2"/>
  <c r="H58" i="2"/>
  <c r="H56" i="2"/>
  <c r="H55" i="2"/>
  <c r="H54" i="2"/>
  <c r="H53" i="2"/>
  <c r="H52" i="2"/>
  <c r="H51" i="2"/>
  <c r="H50" i="2"/>
  <c r="H49" i="2"/>
  <c r="H48" i="2"/>
  <c r="H47" i="2"/>
  <c r="H46" i="2"/>
  <c r="H45" i="2"/>
  <c r="H44" i="2"/>
  <c r="H42" i="2"/>
  <c r="H41" i="2"/>
  <c r="H40" i="2"/>
  <c r="H39" i="2"/>
  <c r="H38" i="2"/>
  <c r="H37" i="2"/>
  <c r="H36" i="2"/>
  <c r="H35" i="2"/>
  <c r="H34" i="2"/>
  <c r="H33" i="2"/>
  <c r="H32" i="2"/>
  <c r="H31" i="2"/>
  <c r="H30" i="2"/>
  <c r="H29" i="2"/>
  <c r="H27" i="2"/>
  <c r="H26" i="2"/>
  <c r="H25" i="2"/>
  <c r="H24" i="2"/>
  <c r="H23" i="2"/>
  <c r="H22" i="2"/>
  <c r="H21" i="2"/>
  <c r="H20" i="2"/>
  <c r="H19" i="2"/>
  <c r="H18" i="2"/>
  <c r="H17" i="2"/>
  <c r="H16" i="2"/>
  <c r="H15" i="2"/>
  <c r="H14" i="2"/>
  <c r="H13" i="2"/>
  <c r="H12" i="2"/>
  <c r="H11" i="2"/>
  <c r="H9" i="2"/>
  <c r="H8" i="2"/>
  <c r="G67" i="2"/>
  <c r="G66" i="2"/>
  <c r="G65" i="2"/>
  <c r="G64" i="2"/>
  <c r="G63" i="2"/>
  <c r="G62" i="2"/>
  <c r="G61" i="2"/>
  <c r="G60" i="2"/>
  <c r="G59" i="2"/>
  <c r="G58" i="2"/>
  <c r="G56" i="2"/>
  <c r="G55" i="2"/>
  <c r="G54" i="2"/>
  <c r="G53" i="2"/>
  <c r="G52" i="2"/>
  <c r="G51" i="2"/>
  <c r="G50" i="2"/>
  <c r="G49" i="2"/>
  <c r="G48" i="2"/>
  <c r="G47" i="2"/>
  <c r="G46" i="2"/>
  <c r="G45" i="2"/>
  <c r="G44" i="2"/>
  <c r="G42" i="2"/>
  <c r="G41" i="2"/>
  <c r="G40" i="2"/>
  <c r="G39" i="2"/>
  <c r="G38" i="2"/>
  <c r="G37" i="2"/>
  <c r="G36" i="2"/>
  <c r="G35" i="2"/>
  <c r="G34" i="2"/>
  <c r="G33" i="2"/>
  <c r="G32" i="2"/>
  <c r="G31" i="2"/>
  <c r="G30" i="2"/>
  <c r="G29" i="2"/>
  <c r="G27" i="2"/>
  <c r="G26" i="2"/>
  <c r="G25" i="2"/>
  <c r="G24" i="2"/>
  <c r="G23" i="2"/>
  <c r="G22" i="2"/>
  <c r="G21" i="2"/>
  <c r="G20" i="2"/>
  <c r="G19" i="2"/>
  <c r="G18" i="2"/>
  <c r="G17" i="2"/>
  <c r="G16" i="2"/>
  <c r="G15" i="2"/>
  <c r="G14" i="2"/>
  <c r="G13" i="2"/>
  <c r="G12" i="2"/>
  <c r="G11" i="2"/>
  <c r="G9" i="2"/>
  <c r="G8" i="2"/>
  <c r="F67" i="2"/>
  <c r="F66" i="2"/>
  <c r="F65" i="2"/>
  <c r="F64" i="2"/>
  <c r="F63" i="2"/>
  <c r="F62" i="2"/>
  <c r="F61" i="2"/>
  <c r="F60" i="2"/>
  <c r="F59" i="2"/>
  <c r="F58" i="2"/>
  <c r="F56" i="2"/>
  <c r="F55" i="2"/>
  <c r="F54" i="2"/>
  <c r="F53" i="2"/>
  <c r="F52" i="2"/>
  <c r="F51" i="2"/>
  <c r="F50" i="2"/>
  <c r="F49" i="2"/>
  <c r="F48" i="2"/>
  <c r="F47" i="2"/>
  <c r="F46" i="2"/>
  <c r="F45" i="2"/>
  <c r="F44" i="2"/>
  <c r="F42" i="2"/>
  <c r="F41" i="2"/>
  <c r="F40" i="2"/>
  <c r="F39" i="2"/>
  <c r="F38" i="2"/>
  <c r="F37" i="2"/>
  <c r="F36" i="2"/>
  <c r="F35" i="2"/>
  <c r="F34" i="2"/>
  <c r="F33" i="2"/>
  <c r="F32" i="2"/>
  <c r="F31" i="2"/>
  <c r="F30" i="2"/>
  <c r="F29" i="2"/>
  <c r="F27" i="2"/>
  <c r="F26" i="2"/>
  <c r="F25" i="2"/>
  <c r="F24" i="2"/>
  <c r="F23" i="2"/>
  <c r="F22" i="2"/>
  <c r="F21" i="2"/>
  <c r="F20" i="2"/>
  <c r="F19" i="2"/>
  <c r="F18" i="2"/>
  <c r="F17" i="2"/>
  <c r="F16" i="2"/>
  <c r="F15" i="2"/>
  <c r="F14" i="2"/>
  <c r="F13" i="2"/>
  <c r="F12" i="2"/>
  <c r="F11" i="2"/>
  <c r="F9" i="2"/>
  <c r="F8" i="2"/>
  <c r="E67" i="2"/>
  <c r="E66" i="2"/>
  <c r="E65" i="2"/>
  <c r="E64" i="2"/>
  <c r="E63" i="2"/>
  <c r="E62" i="2"/>
  <c r="E61" i="2"/>
  <c r="E60" i="2"/>
  <c r="E59" i="2"/>
  <c r="E58" i="2"/>
  <c r="E56" i="2"/>
  <c r="E55" i="2"/>
  <c r="E54" i="2"/>
  <c r="E53" i="2"/>
  <c r="E52" i="2"/>
  <c r="E51" i="2"/>
  <c r="E50" i="2"/>
  <c r="E49" i="2"/>
  <c r="E48" i="2"/>
  <c r="E47" i="2"/>
  <c r="E46" i="2"/>
  <c r="E45" i="2"/>
  <c r="E44" i="2"/>
  <c r="E42" i="2"/>
  <c r="E41" i="2"/>
  <c r="E40" i="2"/>
  <c r="E39" i="2"/>
  <c r="E38" i="2"/>
  <c r="E37" i="2"/>
  <c r="E36" i="2"/>
  <c r="E35" i="2"/>
  <c r="E34" i="2"/>
  <c r="E33" i="2"/>
  <c r="E32" i="2"/>
  <c r="E31" i="2"/>
  <c r="E30" i="2"/>
  <c r="E29" i="2"/>
  <c r="E27" i="2"/>
  <c r="E26" i="2"/>
  <c r="E25" i="2"/>
  <c r="E24" i="2"/>
  <c r="E23" i="2"/>
  <c r="E22" i="2"/>
  <c r="E21" i="2"/>
  <c r="E20" i="2"/>
  <c r="E19" i="2"/>
  <c r="E18" i="2"/>
  <c r="E17" i="2"/>
  <c r="E16" i="2"/>
  <c r="E15" i="2"/>
  <c r="E14" i="2"/>
  <c r="E13" i="2"/>
  <c r="E12" i="2"/>
  <c r="E11" i="2"/>
  <c r="E9" i="2"/>
  <c r="E8" i="2"/>
  <c r="D67" i="2"/>
  <c r="D66" i="2"/>
  <c r="D65" i="2"/>
  <c r="D64" i="2"/>
  <c r="D63" i="2"/>
  <c r="D62" i="2"/>
  <c r="D61" i="2"/>
  <c r="D60" i="2"/>
  <c r="D59" i="2"/>
  <c r="D58" i="2"/>
  <c r="D56" i="2"/>
  <c r="D55" i="2"/>
  <c r="D54" i="2"/>
  <c r="D53" i="2"/>
  <c r="D52" i="2"/>
  <c r="D51" i="2"/>
  <c r="D50" i="2"/>
  <c r="D49" i="2"/>
  <c r="D48" i="2"/>
  <c r="D47" i="2"/>
  <c r="D46" i="2"/>
  <c r="D45" i="2"/>
  <c r="D44" i="2"/>
  <c r="D42" i="2"/>
  <c r="D41" i="2"/>
  <c r="D40" i="2"/>
  <c r="D39" i="2"/>
  <c r="D38" i="2"/>
  <c r="D37" i="2"/>
  <c r="D36" i="2"/>
  <c r="D35" i="2"/>
  <c r="D34" i="2"/>
  <c r="D33" i="2"/>
  <c r="D32" i="2"/>
  <c r="D31" i="2"/>
  <c r="D30" i="2"/>
  <c r="D29" i="2"/>
  <c r="D27" i="2"/>
  <c r="D26" i="2"/>
  <c r="D25" i="2"/>
  <c r="D24" i="2"/>
  <c r="D23" i="2"/>
  <c r="D22" i="2"/>
  <c r="D21" i="2"/>
  <c r="D20" i="2"/>
  <c r="D19" i="2"/>
  <c r="D18" i="2"/>
  <c r="D17" i="2"/>
  <c r="D16" i="2"/>
  <c r="D15" i="2"/>
  <c r="D14" i="2"/>
  <c r="D13" i="2"/>
  <c r="D12" i="2"/>
  <c r="D11" i="2"/>
  <c r="D9" i="2"/>
  <c r="D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AV5" i="10"/>
  <c r="AW5" i="10"/>
  <c r="AV6" i="10"/>
  <c r="AW6" i="10"/>
  <c r="AV7" i="10"/>
  <c r="AW7" i="10"/>
  <c r="AV8" i="10"/>
  <c r="AW8" i="10"/>
  <c r="AV9" i="10"/>
  <c r="AW9" i="10"/>
  <c r="AV10" i="10"/>
  <c r="AW10" i="10"/>
  <c r="AV11" i="10"/>
  <c r="AW11" i="10"/>
  <c r="AV12" i="10"/>
  <c r="AW12" i="10"/>
  <c r="AV13" i="10"/>
  <c r="AW13" i="10"/>
  <c r="AV14" i="10"/>
  <c r="AW14" i="10"/>
  <c r="AV15" i="10"/>
  <c r="AW15" i="10"/>
  <c r="AV16" i="10"/>
  <c r="AW16" i="10"/>
  <c r="AV17" i="10"/>
  <c r="AW17" i="10"/>
  <c r="AV18" i="10"/>
  <c r="AW18" i="10"/>
  <c r="AV19" i="10"/>
  <c r="AW19" i="10"/>
  <c r="AV20" i="10"/>
  <c r="AW20" i="10"/>
  <c r="AV23" i="10"/>
  <c r="AW23" i="10"/>
  <c r="AV24" i="10"/>
  <c r="AW24" i="10"/>
  <c r="AV25" i="10"/>
  <c r="AW25" i="10"/>
  <c r="AV26" i="10"/>
  <c r="AW26" i="10"/>
  <c r="AV27" i="10"/>
  <c r="AW27" i="10"/>
  <c r="AV28" i="10"/>
  <c r="AW28" i="10"/>
  <c r="AV29" i="10"/>
  <c r="AW29" i="10"/>
  <c r="AV30" i="10"/>
  <c r="AW30" i="10"/>
  <c r="AV31" i="10"/>
  <c r="AW31" i="10"/>
  <c r="AV32" i="10"/>
  <c r="AW32" i="10"/>
  <c r="AV33" i="10"/>
  <c r="AW33" i="10"/>
  <c r="AV34" i="10"/>
  <c r="AW34" i="10"/>
  <c r="AV35" i="10"/>
  <c r="AW35" i="10"/>
  <c r="AV38" i="10"/>
  <c r="AW38" i="10"/>
  <c r="AV39" i="10"/>
  <c r="AW39" i="10"/>
  <c r="AV40" i="10"/>
  <c r="AW40" i="10"/>
  <c r="AV41" i="10"/>
  <c r="AW41" i="10"/>
  <c r="AV42" i="10"/>
  <c r="AW42" i="10"/>
  <c r="AV43" i="10"/>
  <c r="AW43" i="10"/>
  <c r="AV44" i="10"/>
  <c r="AW44" i="10"/>
  <c r="AV45" i="10"/>
  <c r="AW45" i="10"/>
  <c r="AV46" i="10"/>
  <c r="AW46" i="10"/>
  <c r="AV47" i="10"/>
  <c r="AW47" i="10"/>
  <c r="AV48" i="10"/>
  <c r="AW48" i="10"/>
  <c r="AV49" i="10"/>
  <c r="AW49" i="10"/>
  <c r="AV52" i="10"/>
  <c r="AW52" i="10"/>
  <c r="AV53" i="10"/>
  <c r="AW53" i="10"/>
  <c r="AV54" i="10"/>
  <c r="AW54" i="10"/>
  <c r="AV55" i="10"/>
  <c r="AW55" i="10"/>
  <c r="AV56" i="10"/>
  <c r="AW56" i="10"/>
  <c r="AV57" i="10"/>
  <c r="AW57" i="10"/>
  <c r="AV58" i="10"/>
  <c r="AW58" i="10"/>
  <c r="AV59" i="10"/>
  <c r="AW59" i="10"/>
  <c r="AV60" i="10"/>
  <c r="AW60" i="10"/>
  <c r="AV61" i="10"/>
  <c r="AW61" i="10"/>
  <c r="AA52" i="11"/>
  <c r="Z52" i="11"/>
  <c r="AA38" i="11"/>
  <c r="Z38" i="11"/>
  <c r="AA23" i="11"/>
  <c r="Z23" i="11"/>
  <c r="AA5" i="11"/>
  <c r="Z5" i="11"/>
  <c r="BA52" i="11"/>
  <c r="AZ52" i="11"/>
  <c r="BA38" i="11"/>
  <c r="AZ38" i="11"/>
  <c r="BA23" i="11"/>
  <c r="AZ23" i="11"/>
  <c r="BA5" i="11"/>
  <c r="AZ5" i="11"/>
  <c r="P52" i="9"/>
  <c r="O52" i="9"/>
  <c r="P38" i="9"/>
  <c r="O38" i="9"/>
  <c r="P23" i="9"/>
  <c r="O23" i="9"/>
  <c r="P5" i="9"/>
  <c r="O5" i="9"/>
  <c r="AF52" i="8"/>
  <c r="AE52" i="8"/>
  <c r="AF38" i="8"/>
  <c r="AE38" i="8"/>
  <c r="AF23" i="8"/>
  <c r="AE23" i="8"/>
  <c r="AF5" i="8"/>
  <c r="AE5" i="8"/>
  <c r="CK7" i="7"/>
  <c r="CL7" i="7"/>
  <c r="CK8" i="7"/>
  <c r="CL8" i="7"/>
  <c r="CK9" i="7"/>
  <c r="CL9" i="7"/>
  <c r="CK10" i="7"/>
  <c r="CL10" i="7"/>
  <c r="CK11" i="7"/>
  <c r="CL11" i="7"/>
  <c r="CK12" i="7"/>
  <c r="CL12" i="7"/>
  <c r="CK13" i="7"/>
  <c r="CL13" i="7"/>
  <c r="CK14" i="7"/>
  <c r="CL14" i="7"/>
  <c r="CK15" i="7"/>
  <c r="CL15" i="7"/>
  <c r="CK16" i="7"/>
  <c r="CL16" i="7"/>
  <c r="CK17" i="7"/>
  <c r="CL17" i="7"/>
  <c r="CK18" i="7"/>
  <c r="CL18" i="7"/>
  <c r="CK19" i="7"/>
  <c r="CL19" i="7"/>
  <c r="CK20" i="7"/>
  <c r="CL20" i="7"/>
  <c r="CK21" i="7"/>
  <c r="CL21" i="7"/>
  <c r="CK22" i="7"/>
  <c r="CL22" i="7"/>
  <c r="CK25" i="7"/>
  <c r="CL25" i="7"/>
  <c r="CK26" i="7"/>
  <c r="CL26" i="7"/>
  <c r="CK27" i="7"/>
  <c r="CL27" i="7"/>
  <c r="CK28" i="7"/>
  <c r="CL28" i="7"/>
  <c r="CK29" i="7"/>
  <c r="CL29" i="7"/>
  <c r="CK30" i="7"/>
  <c r="CL30" i="7"/>
  <c r="CK31" i="7"/>
  <c r="CL31" i="7"/>
  <c r="CK32" i="7"/>
  <c r="CL32" i="7"/>
  <c r="CK33" i="7"/>
  <c r="CL33" i="7"/>
  <c r="CK34" i="7"/>
  <c r="CL34" i="7"/>
  <c r="CK35" i="7"/>
  <c r="CL35" i="7"/>
  <c r="CK36" i="7"/>
  <c r="CL36" i="7"/>
  <c r="CK37" i="7"/>
  <c r="CL37" i="7"/>
  <c r="CK40" i="7"/>
  <c r="CL40" i="7"/>
  <c r="CK41" i="7"/>
  <c r="CL41" i="7"/>
  <c r="CK42" i="7"/>
  <c r="CL42" i="7"/>
  <c r="CK43" i="7"/>
  <c r="CL43" i="7"/>
  <c r="CK44" i="7"/>
  <c r="CL44" i="7"/>
  <c r="CK45" i="7"/>
  <c r="CL45" i="7"/>
  <c r="CK46" i="7"/>
  <c r="CL46" i="7"/>
  <c r="CK47" i="7"/>
  <c r="CL47" i="7"/>
  <c r="CK48" i="7"/>
  <c r="CL48" i="7"/>
  <c r="CK49" i="7"/>
  <c r="CL49" i="7"/>
  <c r="CK50" i="7"/>
  <c r="CL50" i="7"/>
  <c r="CK51" i="7"/>
  <c r="CL51" i="7"/>
  <c r="CK54" i="7"/>
  <c r="CL54" i="7"/>
  <c r="CK55" i="7"/>
  <c r="CL55" i="7"/>
  <c r="CK56" i="7"/>
  <c r="CL56" i="7"/>
  <c r="CK57" i="7"/>
  <c r="CL57" i="7"/>
  <c r="CK58" i="7"/>
  <c r="CL58" i="7"/>
  <c r="CK59" i="7"/>
  <c r="CL59" i="7"/>
  <c r="CK60" i="7"/>
  <c r="CL60" i="7"/>
  <c r="CK61" i="7"/>
  <c r="CL61" i="7"/>
  <c r="CK62" i="7"/>
  <c r="CL62" i="7"/>
  <c r="CK63" i="7"/>
  <c r="CL63" i="7"/>
  <c r="BW52" i="7"/>
  <c r="BV52" i="7"/>
  <c r="BV4" i="7" s="1"/>
  <c r="BV53" i="7" s="1"/>
  <c r="BW38" i="7"/>
  <c r="BV38" i="7"/>
  <c r="BW23" i="7"/>
  <c r="BV23" i="7"/>
  <c r="BW5" i="7"/>
  <c r="CL5" i="7" s="1"/>
  <c r="BV5" i="7"/>
  <c r="AI52" i="7"/>
  <c r="AH52" i="7"/>
  <c r="AI38" i="7"/>
  <c r="AH38" i="7"/>
  <c r="AI23" i="7"/>
  <c r="AH23" i="7"/>
  <c r="CK23" i="7" s="1"/>
  <c r="AI5" i="7"/>
  <c r="AH5" i="7"/>
  <c r="CS52" i="1"/>
  <c r="CR52" i="1"/>
  <c r="CS38" i="1"/>
  <c r="CR38" i="1"/>
  <c r="CS23" i="1"/>
  <c r="CR23" i="1"/>
  <c r="CS5" i="1"/>
  <c r="CR5" i="1"/>
  <c r="AW52" i="1"/>
  <c r="AV52" i="1"/>
  <c r="AW38" i="1"/>
  <c r="AV38" i="1"/>
  <c r="AW23" i="1"/>
  <c r="AV23" i="1"/>
  <c r="AW5" i="1"/>
  <c r="AV5" i="1"/>
  <c r="AA52" i="5"/>
  <c r="Z52" i="5"/>
  <c r="AA38" i="5"/>
  <c r="Z38" i="5"/>
  <c r="AA23" i="5"/>
  <c r="Z23" i="5"/>
  <c r="AA5" i="5"/>
  <c r="AA4" i="5" s="1"/>
  <c r="Z5" i="5"/>
  <c r="AX52" i="4"/>
  <c r="AY52" i="4"/>
  <c r="AW50" i="10" s="1"/>
  <c r="AX38" i="4"/>
  <c r="AY38" i="4"/>
  <c r="AW36" i="10" s="1"/>
  <c r="AX23" i="4"/>
  <c r="AY23" i="4"/>
  <c r="AW21" i="10" s="1"/>
  <c r="AX5" i="4"/>
  <c r="AY5" i="4"/>
  <c r="BA4" i="11" l="1"/>
  <c r="BA39" i="11" s="1"/>
  <c r="AZ4" i="11"/>
  <c r="AZ6" i="11" s="1"/>
  <c r="AZ39" i="11"/>
  <c r="AA4" i="11"/>
  <c r="AA24" i="11" s="1"/>
  <c r="P4" i="9"/>
  <c r="P24" i="9" s="1"/>
  <c r="O4" i="9"/>
  <c r="O24" i="9" s="1"/>
  <c r="AF4" i="8"/>
  <c r="AF53" i="8" s="1"/>
  <c r="AE4" i="8"/>
  <c r="AE6" i="8" s="1"/>
  <c r="CL23" i="7"/>
  <c r="CL38" i="7"/>
  <c r="CL52" i="7"/>
  <c r="BW4" i="7"/>
  <c r="BW24" i="7" s="1"/>
  <c r="CK52" i="7"/>
  <c r="CK38" i="7"/>
  <c r="BV39" i="7"/>
  <c r="BV6" i="7"/>
  <c r="AI4" i="7"/>
  <c r="AH4" i="7"/>
  <c r="AH53" i="7" s="1"/>
  <c r="AH6" i="7"/>
  <c r="CK4" i="7"/>
  <c r="AH39" i="7"/>
  <c r="CK5" i="7"/>
  <c r="CS4" i="1"/>
  <c r="CS53" i="1" s="1"/>
  <c r="CS24" i="1"/>
  <c r="AV50" i="10"/>
  <c r="AV36" i="10"/>
  <c r="CR4" i="1"/>
  <c r="CR24" i="1" s="1"/>
  <c r="AV21" i="10"/>
  <c r="AW4" i="1"/>
  <c r="AW53" i="1" s="1"/>
  <c r="AV4" i="1"/>
  <c r="Z4" i="5"/>
  <c r="AY4" i="4"/>
  <c r="AY6" i="4" s="1"/>
  <c r="AW3" i="10"/>
  <c r="AW2" i="10"/>
  <c r="AX4" i="4"/>
  <c r="AX6" i="4" s="1"/>
  <c r="AV3" i="10"/>
  <c r="AA39" i="11"/>
  <c r="AA53" i="11"/>
  <c r="Z4" i="11"/>
  <c r="Z6" i="11" s="1"/>
  <c r="AA6" i="11"/>
  <c r="AZ24" i="11"/>
  <c r="AZ53" i="11"/>
  <c r="O39" i="9"/>
  <c r="O53" i="9"/>
  <c r="O6" i="9"/>
  <c r="AF6" i="8"/>
  <c r="AF39" i="8"/>
  <c r="AE24" i="8"/>
  <c r="BV24" i="7"/>
  <c r="AI6" i="7"/>
  <c r="CR6" i="1"/>
  <c r="CS6" i="1"/>
  <c r="CS39" i="1"/>
  <c r="AV24" i="1"/>
  <c r="AW24" i="1"/>
  <c r="AV39" i="1"/>
  <c r="AW39" i="1"/>
  <c r="AV53" i="1"/>
  <c r="AW6" i="1"/>
  <c r="AV6" i="1"/>
  <c r="Z24" i="5"/>
  <c r="AA24" i="5"/>
  <c r="Z39" i="5"/>
  <c r="AA39" i="5"/>
  <c r="Z53" i="5"/>
  <c r="AA53" i="5"/>
  <c r="Z6" i="5"/>
  <c r="AA6" i="5"/>
  <c r="AY39" i="4"/>
  <c r="AX53" i="4"/>
  <c r="AX39" i="4"/>
  <c r="AX24" i="4"/>
  <c r="AY24" i="4"/>
  <c r="BA6" i="11" l="1"/>
  <c r="BA53" i="11"/>
  <c r="BA24" i="11"/>
  <c r="P6" i="9"/>
  <c r="P39" i="9"/>
  <c r="P53" i="9"/>
  <c r="AF24" i="8"/>
  <c r="AE53" i="8"/>
  <c r="AE39" i="8"/>
  <c r="BW6" i="7"/>
  <c r="BW53" i="7"/>
  <c r="CL4" i="7"/>
  <c r="BW39" i="7"/>
  <c r="AI53" i="7"/>
  <c r="AI24" i="7"/>
  <c r="AI39" i="7"/>
  <c r="AH24" i="7"/>
  <c r="AV2" i="10"/>
  <c r="CR53" i="1"/>
  <c r="CR39" i="1"/>
  <c r="AY53" i="4"/>
  <c r="Z39" i="11"/>
  <c r="Z24" i="11"/>
  <c r="Z53" i="11"/>
  <c r="AT3" i="10"/>
  <c r="AT5" i="10"/>
  <c r="AU5" i="10"/>
  <c r="AT6" i="10"/>
  <c r="AU6" i="10"/>
  <c r="AT7" i="10"/>
  <c r="AU7" i="10"/>
  <c r="AT8" i="10"/>
  <c r="AU8" i="10"/>
  <c r="AT9" i="10"/>
  <c r="AU9" i="10"/>
  <c r="AT10" i="10"/>
  <c r="AU10" i="10"/>
  <c r="AT11" i="10"/>
  <c r="AU11" i="10"/>
  <c r="AT12" i="10"/>
  <c r="AU12" i="10"/>
  <c r="AT13" i="10"/>
  <c r="AU13" i="10"/>
  <c r="AT14" i="10"/>
  <c r="AU14" i="10"/>
  <c r="AT15" i="10"/>
  <c r="AU15" i="10"/>
  <c r="AT16" i="10"/>
  <c r="AU16" i="10"/>
  <c r="AT17" i="10"/>
  <c r="AU17" i="10"/>
  <c r="AT18" i="10"/>
  <c r="AU18" i="10"/>
  <c r="AT19" i="10"/>
  <c r="AU19" i="10"/>
  <c r="AT20" i="10"/>
  <c r="AU20" i="10"/>
  <c r="AT23" i="10"/>
  <c r="AU23" i="10"/>
  <c r="AT24" i="10"/>
  <c r="AU24" i="10"/>
  <c r="AT25" i="10"/>
  <c r="AU25" i="10"/>
  <c r="AT26" i="10"/>
  <c r="AU26" i="10"/>
  <c r="AT27" i="10"/>
  <c r="AU27" i="10"/>
  <c r="AT28" i="10"/>
  <c r="AU28" i="10"/>
  <c r="AT29" i="10"/>
  <c r="AU29" i="10"/>
  <c r="AT30" i="10"/>
  <c r="AU30" i="10"/>
  <c r="AT31" i="10"/>
  <c r="AU31" i="10"/>
  <c r="AT32" i="10"/>
  <c r="AU32" i="10"/>
  <c r="AT33" i="10"/>
  <c r="AU33" i="10"/>
  <c r="AT34" i="10"/>
  <c r="AU34" i="10"/>
  <c r="AT35" i="10"/>
  <c r="AU35" i="10"/>
  <c r="AT38" i="10"/>
  <c r="AU38" i="10"/>
  <c r="AT39" i="10"/>
  <c r="AU39" i="10"/>
  <c r="AT40" i="10"/>
  <c r="AU40" i="10"/>
  <c r="AT41" i="10"/>
  <c r="AU41" i="10"/>
  <c r="AT42" i="10"/>
  <c r="AU42" i="10"/>
  <c r="AT43" i="10"/>
  <c r="AU43" i="10"/>
  <c r="AT44" i="10"/>
  <c r="AU44" i="10"/>
  <c r="AT45" i="10"/>
  <c r="AU45" i="10"/>
  <c r="AT46" i="10"/>
  <c r="AU46" i="10"/>
  <c r="AT47" i="10"/>
  <c r="AU47" i="10"/>
  <c r="AT48" i="10"/>
  <c r="AU48" i="10"/>
  <c r="AT49" i="10"/>
  <c r="AU49" i="10"/>
  <c r="AT52" i="10"/>
  <c r="AU52" i="10"/>
  <c r="AT53" i="10"/>
  <c r="AU53" i="10"/>
  <c r="AT54" i="10"/>
  <c r="AU54" i="10"/>
  <c r="AT55" i="10"/>
  <c r="AU55" i="10"/>
  <c r="AT56" i="10"/>
  <c r="AU56" i="10"/>
  <c r="AT57" i="10"/>
  <c r="AU57" i="10"/>
  <c r="AT58" i="10"/>
  <c r="AU58" i="10"/>
  <c r="AT59" i="10"/>
  <c r="AU59" i="10"/>
  <c r="AT60" i="10"/>
  <c r="AU60" i="10"/>
  <c r="AT61" i="10"/>
  <c r="AU61" i="10"/>
  <c r="AX5" i="11"/>
  <c r="AY5" i="11"/>
  <c r="AX23" i="11"/>
  <c r="AY23" i="11"/>
  <c r="AX38" i="11"/>
  <c r="AY38" i="11"/>
  <c r="AX52" i="11"/>
  <c r="AY52" i="11"/>
  <c r="X5" i="11"/>
  <c r="Y5" i="11"/>
  <c r="X23" i="11"/>
  <c r="Y23" i="11"/>
  <c r="X38" i="11"/>
  <c r="Y38" i="11"/>
  <c r="X52" i="11"/>
  <c r="Y52" i="11"/>
  <c r="M5" i="9"/>
  <c r="N5" i="9"/>
  <c r="M23" i="9"/>
  <c r="N23" i="9"/>
  <c r="M38" i="9"/>
  <c r="N38" i="9"/>
  <c r="M52" i="9"/>
  <c r="N52" i="9"/>
  <c r="AC52" i="8"/>
  <c r="AD52" i="8"/>
  <c r="AC38" i="8"/>
  <c r="AD38" i="8"/>
  <c r="AC23" i="8"/>
  <c r="AD23" i="8"/>
  <c r="AC5" i="8"/>
  <c r="AC4" i="8" s="1"/>
  <c r="AD5" i="8"/>
  <c r="AD4" i="8" s="1"/>
  <c r="AD6" i="8" s="1"/>
  <c r="CI7" i="7"/>
  <c r="CJ7" i="7"/>
  <c r="CI8" i="7"/>
  <c r="CJ8" i="7"/>
  <c r="CI9" i="7"/>
  <c r="CJ9" i="7"/>
  <c r="CI10" i="7"/>
  <c r="CJ10" i="7"/>
  <c r="CI11" i="7"/>
  <c r="CJ11" i="7"/>
  <c r="CI12" i="7"/>
  <c r="CJ12" i="7"/>
  <c r="CI13" i="7"/>
  <c r="CJ13" i="7"/>
  <c r="CI14" i="7"/>
  <c r="CJ14" i="7"/>
  <c r="CI15" i="7"/>
  <c r="CJ15" i="7"/>
  <c r="CI16" i="7"/>
  <c r="CJ16" i="7"/>
  <c r="CI17" i="7"/>
  <c r="CJ17" i="7"/>
  <c r="CI18" i="7"/>
  <c r="CJ18" i="7"/>
  <c r="CI19" i="7"/>
  <c r="CJ19" i="7"/>
  <c r="CI20" i="7"/>
  <c r="CJ20" i="7"/>
  <c r="CI21" i="7"/>
  <c r="CJ21" i="7"/>
  <c r="CI22" i="7"/>
  <c r="CJ22" i="7"/>
  <c r="CI25" i="7"/>
  <c r="CJ25" i="7"/>
  <c r="CI26" i="7"/>
  <c r="CJ26" i="7"/>
  <c r="CI27" i="7"/>
  <c r="CJ27" i="7"/>
  <c r="CI28" i="7"/>
  <c r="CJ28" i="7"/>
  <c r="CI29" i="7"/>
  <c r="CJ29" i="7"/>
  <c r="CI30" i="7"/>
  <c r="CJ30" i="7"/>
  <c r="CI31" i="7"/>
  <c r="CJ31" i="7"/>
  <c r="CI32" i="7"/>
  <c r="CJ32" i="7"/>
  <c r="CI33" i="7"/>
  <c r="CJ33" i="7"/>
  <c r="CI34" i="7"/>
  <c r="CJ34" i="7"/>
  <c r="CI35" i="7"/>
  <c r="CJ35" i="7"/>
  <c r="CI36" i="7"/>
  <c r="CJ36" i="7"/>
  <c r="CI37" i="7"/>
  <c r="CJ37" i="7"/>
  <c r="CI38" i="7"/>
  <c r="CI40" i="7"/>
  <c r="CJ40" i="7"/>
  <c r="CI41" i="7"/>
  <c r="CJ41" i="7"/>
  <c r="CI42" i="7"/>
  <c r="CJ42" i="7"/>
  <c r="CI43" i="7"/>
  <c r="CJ43" i="7"/>
  <c r="CI44" i="7"/>
  <c r="CJ44" i="7"/>
  <c r="CI45" i="7"/>
  <c r="CJ45" i="7"/>
  <c r="CI46" i="7"/>
  <c r="CJ46" i="7"/>
  <c r="CI47" i="7"/>
  <c r="CJ47" i="7"/>
  <c r="CI48" i="7"/>
  <c r="CJ48" i="7"/>
  <c r="CI49" i="7"/>
  <c r="CJ49" i="7"/>
  <c r="CI50" i="7"/>
  <c r="CJ50" i="7"/>
  <c r="CI51" i="7"/>
  <c r="CJ51" i="7"/>
  <c r="CI54" i="7"/>
  <c r="CJ54" i="7"/>
  <c r="CI55" i="7"/>
  <c r="CJ55" i="7"/>
  <c r="CI56" i="7"/>
  <c r="CJ56" i="7"/>
  <c r="CI57" i="7"/>
  <c r="CJ57" i="7"/>
  <c r="CI58" i="7"/>
  <c r="CJ58" i="7"/>
  <c r="CI59" i="7"/>
  <c r="CJ59" i="7"/>
  <c r="CI60" i="7"/>
  <c r="CJ60" i="7"/>
  <c r="CI61" i="7"/>
  <c r="CJ61" i="7"/>
  <c r="CI62" i="7"/>
  <c r="CJ62" i="7"/>
  <c r="CI63" i="7"/>
  <c r="CJ63" i="7"/>
  <c r="BT5" i="7"/>
  <c r="BT4" i="7" s="1"/>
  <c r="BU5" i="7"/>
  <c r="BT23" i="7"/>
  <c r="BU23" i="7"/>
  <c r="BT38" i="7"/>
  <c r="BU38" i="7"/>
  <c r="BT52" i="7"/>
  <c r="BU52" i="7"/>
  <c r="AF5" i="7"/>
  <c r="AG5" i="7"/>
  <c r="AF23" i="7"/>
  <c r="CI23" i="7" s="1"/>
  <c r="AG23" i="7"/>
  <c r="AF38" i="7"/>
  <c r="AG38" i="7"/>
  <c r="CJ38" i="7" s="1"/>
  <c r="AF52" i="7"/>
  <c r="AG52" i="7"/>
  <c r="CP5" i="1"/>
  <c r="CQ5" i="1"/>
  <c r="AU3" i="10" s="1"/>
  <c r="CP23" i="1"/>
  <c r="AT21" i="10" s="1"/>
  <c r="CQ23" i="1"/>
  <c r="AU21" i="10" s="1"/>
  <c r="CP38" i="1"/>
  <c r="AT36" i="10" s="1"/>
  <c r="CQ38" i="1"/>
  <c r="CP52" i="1"/>
  <c r="AT50" i="10" s="1"/>
  <c r="CQ52" i="1"/>
  <c r="AT5" i="1"/>
  <c r="AU5" i="1"/>
  <c r="AU4" i="1" s="1"/>
  <c r="AU6" i="1" s="1"/>
  <c r="AT23" i="1"/>
  <c r="AU23" i="1"/>
  <c r="AT38" i="1"/>
  <c r="AU38" i="1"/>
  <c r="AT52" i="1"/>
  <c r="AU52" i="1"/>
  <c r="X5" i="5"/>
  <c r="Y5" i="5"/>
  <c r="X23" i="5"/>
  <c r="Y23" i="5"/>
  <c r="X38" i="5"/>
  <c r="Y38" i="5"/>
  <c r="X52" i="5"/>
  <c r="Y52" i="5"/>
  <c r="AV5" i="4"/>
  <c r="AW5" i="4"/>
  <c r="AV23" i="4"/>
  <c r="AW23" i="4"/>
  <c r="AV38" i="4"/>
  <c r="AW38" i="4"/>
  <c r="AV52" i="4"/>
  <c r="AW52" i="4"/>
  <c r="CI52" i="7" l="1"/>
  <c r="AF4" i="7"/>
  <c r="AF39" i="7" s="1"/>
  <c r="CI4" i="7"/>
  <c r="AC6" i="8"/>
  <c r="AC39" i="8"/>
  <c r="AC53" i="8"/>
  <c r="Y39" i="5"/>
  <c r="BU4" i="7"/>
  <c r="AY24" i="11"/>
  <c r="CQ4" i="1"/>
  <c r="CJ23" i="7"/>
  <c r="N4" i="9"/>
  <c r="AU50" i="10"/>
  <c r="X4" i="5"/>
  <c r="X4" i="11"/>
  <c r="Y4" i="5"/>
  <c r="AT4" i="1"/>
  <c r="AT53" i="1" s="1"/>
  <c r="CJ52" i="7"/>
  <c r="CJ5" i="7"/>
  <c r="AX4" i="11"/>
  <c r="AX24" i="11" s="1"/>
  <c r="AU36" i="10"/>
  <c r="AG4" i="7"/>
  <c r="AG39" i="7" s="1"/>
  <c r="AW4" i="4"/>
  <c r="M4" i="9"/>
  <c r="M24" i="9" s="1"/>
  <c r="CP4" i="1"/>
  <c r="CI5" i="7"/>
  <c r="AY4" i="11"/>
  <c r="Y4" i="11"/>
  <c r="Y53" i="11"/>
  <c r="AX53" i="11"/>
  <c r="AX6" i="11"/>
  <c r="X24" i="11"/>
  <c r="X39" i="11"/>
  <c r="X53" i="11"/>
  <c r="X6" i="11"/>
  <c r="N53" i="9"/>
  <c r="N6" i="9"/>
  <c r="N24" i="9"/>
  <c r="N39" i="9"/>
  <c r="AD53" i="8"/>
  <c r="AD39" i="8"/>
  <c r="AD24" i="8"/>
  <c r="AC24" i="8"/>
  <c r="BT24" i="7"/>
  <c r="BT6" i="7"/>
  <c r="BU24" i="7"/>
  <c r="BT53" i="7"/>
  <c r="BT39" i="7"/>
  <c r="BU39" i="7"/>
  <c r="AG53" i="7"/>
  <c r="AF53" i="7"/>
  <c r="AG6" i="7"/>
  <c r="CP24" i="1"/>
  <c r="CP39" i="1"/>
  <c r="CP53" i="1"/>
  <c r="CQ39" i="1"/>
  <c r="CQ24" i="1"/>
  <c r="CP6" i="1"/>
  <c r="AU39" i="1"/>
  <c r="AU24" i="1"/>
  <c r="AT24" i="1"/>
  <c r="AU53" i="1"/>
  <c r="AT6" i="1"/>
  <c r="X24" i="5"/>
  <c r="X39" i="5"/>
  <c r="X53" i="5"/>
  <c r="Y53" i="5"/>
  <c r="Y24" i="5"/>
  <c r="X6" i="5"/>
  <c r="AV4" i="4"/>
  <c r="AV53" i="4" s="1"/>
  <c r="AW24" i="4"/>
  <c r="AW53" i="4"/>
  <c r="AS61" i="10"/>
  <c r="AS60" i="10"/>
  <c r="AS59" i="10"/>
  <c r="AS58" i="10"/>
  <c r="AS57" i="10"/>
  <c r="AS56" i="10"/>
  <c r="AS55" i="10"/>
  <c r="AS54" i="10"/>
  <c r="AS53" i="10"/>
  <c r="AS52" i="10"/>
  <c r="AS49" i="10"/>
  <c r="AS48" i="10"/>
  <c r="AS47" i="10"/>
  <c r="AS46" i="10"/>
  <c r="AS45" i="10"/>
  <c r="AS44" i="10"/>
  <c r="AS43" i="10"/>
  <c r="AS42" i="10"/>
  <c r="AS41" i="10"/>
  <c r="AS40" i="10"/>
  <c r="AS39" i="10"/>
  <c r="AS38" i="10"/>
  <c r="AS35" i="10"/>
  <c r="AS34" i="10"/>
  <c r="AS33" i="10"/>
  <c r="AS32" i="10"/>
  <c r="AS31" i="10"/>
  <c r="AS30" i="10"/>
  <c r="AS29" i="10"/>
  <c r="AS28" i="10"/>
  <c r="AS27" i="10"/>
  <c r="AS26" i="10"/>
  <c r="AS25" i="10"/>
  <c r="AS24" i="10"/>
  <c r="AS23" i="10"/>
  <c r="AS20" i="10"/>
  <c r="AS19" i="10"/>
  <c r="AS18" i="10"/>
  <c r="AS17" i="10"/>
  <c r="AS16" i="10"/>
  <c r="AS15" i="10"/>
  <c r="AS14" i="10"/>
  <c r="AS13" i="10"/>
  <c r="AS12" i="10"/>
  <c r="AS11" i="10"/>
  <c r="AS10" i="10"/>
  <c r="AS9" i="10"/>
  <c r="AS8" i="10"/>
  <c r="AS7" i="10"/>
  <c r="AS6" i="10"/>
  <c r="AS5" i="10"/>
  <c r="AS3" i="10"/>
  <c r="AU52" i="4"/>
  <c r="AU38" i="4"/>
  <c r="AU23" i="4"/>
  <c r="AU5" i="4"/>
  <c r="W52" i="5"/>
  <c r="W38" i="5"/>
  <c r="W23" i="5"/>
  <c r="W5" i="5"/>
  <c r="CO52" i="1"/>
  <c r="CO38" i="1"/>
  <c r="CO23" i="1"/>
  <c r="AS21" i="10" s="1"/>
  <c r="CO5" i="1"/>
  <c r="AS52" i="1"/>
  <c r="AS38" i="1"/>
  <c r="AS23" i="1"/>
  <c r="AS5" i="1"/>
  <c r="CH7" i="7"/>
  <c r="CH8" i="7"/>
  <c r="CH9" i="7"/>
  <c r="CH10" i="7"/>
  <c r="CH11" i="7"/>
  <c r="CH12" i="7"/>
  <c r="CH13" i="7"/>
  <c r="CH14" i="7"/>
  <c r="CH15" i="7"/>
  <c r="CH16" i="7"/>
  <c r="CH17" i="7"/>
  <c r="CH18" i="7"/>
  <c r="CH19" i="7"/>
  <c r="CH20" i="7"/>
  <c r="CH21" i="7"/>
  <c r="CH22" i="7"/>
  <c r="CH25" i="7"/>
  <c r="CH26" i="7"/>
  <c r="CH27" i="7"/>
  <c r="CH28" i="7"/>
  <c r="CH29" i="7"/>
  <c r="CH30" i="7"/>
  <c r="CH31" i="7"/>
  <c r="CH32" i="7"/>
  <c r="CH33" i="7"/>
  <c r="CH34" i="7"/>
  <c r="CH35" i="7"/>
  <c r="CH36" i="7"/>
  <c r="CH37" i="7"/>
  <c r="CH40" i="7"/>
  <c r="CH41" i="7"/>
  <c r="CH42" i="7"/>
  <c r="CH43" i="7"/>
  <c r="CH44" i="7"/>
  <c r="CH45" i="7"/>
  <c r="CH46" i="7"/>
  <c r="CH47" i="7"/>
  <c r="CH48" i="7"/>
  <c r="CH49" i="7"/>
  <c r="CH50" i="7"/>
  <c r="CH51" i="7"/>
  <c r="CH54" i="7"/>
  <c r="CH55" i="7"/>
  <c r="CH56" i="7"/>
  <c r="CH57" i="7"/>
  <c r="CH58" i="7"/>
  <c r="CH59" i="7"/>
  <c r="CH60" i="7"/>
  <c r="CH61" i="7"/>
  <c r="CH62" i="7"/>
  <c r="CH63" i="7"/>
  <c r="BS52" i="7"/>
  <c r="BS38" i="7"/>
  <c r="BS23" i="7"/>
  <c r="BS5" i="7"/>
  <c r="AE52" i="7"/>
  <c r="AE38" i="7"/>
  <c r="AE23" i="7"/>
  <c r="AE5" i="7"/>
  <c r="AB52" i="8"/>
  <c r="AB38" i="8"/>
  <c r="AB23" i="8"/>
  <c r="AB5" i="8"/>
  <c r="L52" i="9"/>
  <c r="L38" i="9"/>
  <c r="L23" i="9"/>
  <c r="L5" i="9"/>
  <c r="AW52" i="11"/>
  <c r="AW38" i="11"/>
  <c r="AW23" i="11"/>
  <c r="AW5" i="11"/>
  <c r="W52" i="11"/>
  <c r="W38" i="11"/>
  <c r="W23" i="11"/>
  <c r="W5" i="11"/>
  <c r="AF6" i="7" l="1"/>
  <c r="CH5" i="7"/>
  <c r="AF24" i="7"/>
  <c r="Y6" i="11"/>
  <c r="CQ6" i="1"/>
  <c r="AU2" i="10"/>
  <c r="BU6" i="7"/>
  <c r="CJ4" i="7"/>
  <c r="CQ53" i="1"/>
  <c r="M6" i="9"/>
  <c r="AW6" i="4"/>
  <c r="AY39" i="11"/>
  <c r="CH23" i="7"/>
  <c r="AT2" i="10"/>
  <c r="Y6" i="5"/>
  <c r="AY6" i="11"/>
  <c r="AT39" i="1"/>
  <c r="BU53" i="7"/>
  <c r="M39" i="9"/>
  <c r="AX39" i="11"/>
  <c r="AG24" i="7"/>
  <c r="AY53" i="11"/>
  <c r="M53" i="9"/>
  <c r="AW39" i="4"/>
  <c r="Y39" i="11"/>
  <c r="Y24" i="11"/>
  <c r="CH52" i="7"/>
  <c r="AV39" i="4"/>
  <c r="AV24" i="4"/>
  <c r="AV6" i="4"/>
  <c r="CH38" i="7"/>
  <c r="AS36" i="10"/>
  <c r="AS50" i="10"/>
  <c r="AU4" i="4"/>
  <c r="W4" i="5"/>
  <c r="CO4" i="1"/>
  <c r="AS4" i="1"/>
  <c r="AS6" i="1" s="1"/>
  <c r="BS4" i="7"/>
  <c r="AE4" i="7"/>
  <c r="AB4" i="8"/>
  <c r="L4" i="9"/>
  <c r="L6" i="9" s="1"/>
  <c r="AW4" i="11"/>
  <c r="W4" i="11"/>
  <c r="AR5" i="10"/>
  <c r="AR6" i="10"/>
  <c r="AR7" i="10"/>
  <c r="AR8" i="10"/>
  <c r="AR9" i="10"/>
  <c r="AR10" i="10"/>
  <c r="AR11" i="10"/>
  <c r="AR12" i="10"/>
  <c r="AR13" i="10"/>
  <c r="AR14" i="10"/>
  <c r="AR15" i="10"/>
  <c r="AR16" i="10"/>
  <c r="AR17" i="10"/>
  <c r="AR18" i="10"/>
  <c r="AR19" i="10"/>
  <c r="AR20" i="10"/>
  <c r="AR23" i="10"/>
  <c r="AR24" i="10"/>
  <c r="AR25" i="10"/>
  <c r="AR26" i="10"/>
  <c r="AR27" i="10"/>
  <c r="AR28" i="10"/>
  <c r="AR29" i="10"/>
  <c r="AR30" i="10"/>
  <c r="AR31" i="10"/>
  <c r="AR32" i="10"/>
  <c r="AR33" i="10"/>
  <c r="AR34" i="10"/>
  <c r="AR35" i="10"/>
  <c r="AR38" i="10"/>
  <c r="AR39" i="10"/>
  <c r="AR40" i="10"/>
  <c r="AR41" i="10"/>
  <c r="AR42" i="10"/>
  <c r="AR43" i="10"/>
  <c r="AR44" i="10"/>
  <c r="AR45" i="10"/>
  <c r="AR46" i="10"/>
  <c r="AR47" i="10"/>
  <c r="AR48" i="10"/>
  <c r="AR49" i="10"/>
  <c r="AR52" i="10"/>
  <c r="AR53" i="10"/>
  <c r="AR54" i="10"/>
  <c r="AR55" i="10"/>
  <c r="AR56" i="10"/>
  <c r="AR57" i="10"/>
  <c r="AR58" i="10"/>
  <c r="AR59" i="10"/>
  <c r="AR60" i="10"/>
  <c r="AR61" i="10"/>
  <c r="AV52" i="11"/>
  <c r="AV38" i="11"/>
  <c r="AV23" i="11"/>
  <c r="AV5" i="11"/>
  <c r="AV4" i="11"/>
  <c r="V5" i="11"/>
  <c r="V23" i="11"/>
  <c r="V38" i="11"/>
  <c r="V52" i="11"/>
  <c r="K5" i="9"/>
  <c r="K23" i="9"/>
  <c r="K38" i="9"/>
  <c r="K52" i="9"/>
  <c r="K4" i="9" l="1"/>
  <c r="AW6" i="11"/>
  <c r="K39" i="9"/>
  <c r="AE6" i="7"/>
  <c r="BS6" i="7"/>
  <c r="CH4" i="7"/>
  <c r="CO6" i="1"/>
  <c r="AS2" i="10"/>
  <c r="W6" i="5"/>
  <c r="V4" i="11"/>
  <c r="V6" i="11" s="1"/>
  <c r="K24" i="9"/>
  <c r="K6" i="9"/>
  <c r="AV53" i="11"/>
  <c r="W6" i="11"/>
  <c r="W24" i="5"/>
  <c r="AU6" i="4"/>
  <c r="AU53" i="4"/>
  <c r="AU39" i="4"/>
  <c r="AU24" i="4"/>
  <c r="W53" i="5"/>
  <c r="W39" i="5"/>
  <c r="CO53" i="1"/>
  <c r="CO39" i="1"/>
  <c r="CO24" i="1"/>
  <c r="AS53" i="1"/>
  <c r="AS39" i="1"/>
  <c r="AS24" i="1"/>
  <c r="BS24" i="7"/>
  <c r="BS53" i="7"/>
  <c r="BS39" i="7"/>
  <c r="AE39" i="7"/>
  <c r="AE53" i="7"/>
  <c r="AE24" i="7"/>
  <c r="AB6" i="8"/>
  <c r="AB53" i="8"/>
  <c r="AB24" i="8"/>
  <c r="AB39" i="8"/>
  <c r="L24" i="9"/>
  <c r="L39" i="9"/>
  <c r="L53" i="9"/>
  <c r="AW24" i="11"/>
  <c r="AW53" i="11"/>
  <c r="AW39" i="11"/>
  <c r="W39" i="11"/>
  <c r="W53" i="11"/>
  <c r="W24" i="11"/>
  <c r="AV39" i="11"/>
  <c r="AV24" i="11"/>
  <c r="AV6" i="11"/>
  <c r="V53" i="11"/>
  <c r="K53" i="9"/>
  <c r="V24" i="11" l="1"/>
  <c r="V39" i="11"/>
  <c r="CG7" i="7"/>
  <c r="CG8" i="7"/>
  <c r="CG9" i="7"/>
  <c r="CG10" i="7"/>
  <c r="CG11" i="7"/>
  <c r="CG12" i="7"/>
  <c r="CG13" i="7"/>
  <c r="CG14" i="7"/>
  <c r="CG15" i="7"/>
  <c r="CG16" i="7"/>
  <c r="CG17" i="7"/>
  <c r="CG18" i="7"/>
  <c r="CG19" i="7"/>
  <c r="CG20" i="7"/>
  <c r="CG21" i="7"/>
  <c r="CG22" i="7"/>
  <c r="CG25" i="7"/>
  <c r="CG26" i="7"/>
  <c r="CG27" i="7"/>
  <c r="CG28" i="7"/>
  <c r="CG29" i="7"/>
  <c r="CG30" i="7"/>
  <c r="CG31" i="7"/>
  <c r="CG32" i="7"/>
  <c r="CG33" i="7"/>
  <c r="CG34" i="7"/>
  <c r="CG35" i="7"/>
  <c r="CG36" i="7"/>
  <c r="CG37" i="7"/>
  <c r="CG40" i="7"/>
  <c r="CG41" i="7"/>
  <c r="CG42" i="7"/>
  <c r="CG43" i="7"/>
  <c r="CG44" i="7"/>
  <c r="CG45" i="7"/>
  <c r="CG46" i="7"/>
  <c r="CG47" i="7"/>
  <c r="CG48" i="7"/>
  <c r="CG49" i="7"/>
  <c r="CG50" i="7"/>
  <c r="CG51" i="7"/>
  <c r="CG54" i="7"/>
  <c r="CG55" i="7"/>
  <c r="CG56" i="7"/>
  <c r="CG57" i="7"/>
  <c r="CG58" i="7"/>
  <c r="CG59" i="7"/>
  <c r="CG60" i="7"/>
  <c r="CG61" i="7"/>
  <c r="CG62" i="7"/>
  <c r="CG63" i="7"/>
  <c r="BR5" i="7" l="1"/>
  <c r="BR23" i="7"/>
  <c r="BR38" i="7"/>
  <c r="BR52" i="7"/>
  <c r="AD5" i="7"/>
  <c r="AD23" i="7"/>
  <c r="AD38" i="7"/>
  <c r="AD52" i="7"/>
  <c r="CN5" i="1"/>
  <c r="CN23" i="1"/>
  <c r="CN38" i="1"/>
  <c r="CN52" i="1"/>
  <c r="AR5" i="1"/>
  <c r="AR23" i="1"/>
  <c r="AR38" i="1"/>
  <c r="AR52" i="1"/>
  <c r="V5" i="5"/>
  <c r="V23" i="5"/>
  <c r="V38" i="5"/>
  <c r="V52" i="5"/>
  <c r="AA5" i="8"/>
  <c r="AA23" i="8"/>
  <c r="AA38" i="8"/>
  <c r="AA52" i="8"/>
  <c r="AT5" i="4"/>
  <c r="AT23" i="4"/>
  <c r="AT38" i="4"/>
  <c r="AT52" i="4"/>
  <c r="AR4" i="1" l="1"/>
  <c r="AR53" i="1" s="1"/>
  <c r="AR21" i="10"/>
  <c r="V4" i="5"/>
  <c r="V39" i="5" s="1"/>
  <c r="AD4" i="7"/>
  <c r="AD24" i="7" s="1"/>
  <c r="CG52" i="7"/>
  <c r="AD39" i="7"/>
  <c r="CG38" i="7"/>
  <c r="AR6" i="1"/>
  <c r="AR39" i="1"/>
  <c r="AR24" i="1"/>
  <c r="AT24" i="4"/>
  <c r="CG23" i="7"/>
  <c r="AT4" i="4"/>
  <c r="AT39" i="4" s="1"/>
  <c r="AA4" i="8"/>
  <c r="AA39" i="8" s="1"/>
  <c r="V6" i="5"/>
  <c r="AT53" i="4"/>
  <c r="CN4" i="1"/>
  <c r="CN6" i="1" s="1"/>
  <c r="AR3" i="10"/>
  <c r="AR50" i="10"/>
  <c r="BR4" i="7"/>
  <c r="AR36" i="10"/>
  <c r="BR6" i="7"/>
  <c r="CG5" i="7"/>
  <c r="AD6" i="7" l="1"/>
  <c r="V53" i="5"/>
  <c r="AA6" i="8"/>
  <c r="AD53" i="7"/>
  <c r="AA24" i="8"/>
  <c r="V24" i="5"/>
  <c r="AR2" i="10"/>
  <c r="CN24" i="1"/>
  <c r="BR39" i="7"/>
  <c r="CG4" i="7"/>
  <c r="BR24" i="7"/>
  <c r="AA53" i="8"/>
  <c r="AT6" i="4"/>
  <c r="CN39" i="1"/>
  <c r="CN53" i="1"/>
  <c r="BR53" i="7"/>
  <c r="AU5" i="7"/>
  <c r="AU4" i="7" s="1"/>
  <c r="AU6" i="7" s="1"/>
  <c r="BG5" i="7"/>
  <c r="BG4" i="7" s="1"/>
  <c r="BG6" i="7" s="1"/>
  <c r="AQ52" i="1" l="1"/>
  <c r="AQ38" i="1"/>
  <c r="AQ23" i="1"/>
  <c r="AQ5" i="1"/>
  <c r="AQ4" i="1" l="1"/>
  <c r="AQ39" i="1" l="1"/>
  <c r="AQ53" i="1"/>
  <c r="AQ6" i="1"/>
  <c r="AQ24" i="1"/>
  <c r="U52" i="11"/>
  <c r="U38" i="11"/>
  <c r="U23" i="11"/>
  <c r="U5" i="11"/>
  <c r="AU52" i="11"/>
  <c r="AU38" i="11"/>
  <c r="AU23" i="11"/>
  <c r="AU5" i="11"/>
  <c r="J52" i="9"/>
  <c r="J38" i="9"/>
  <c r="J23" i="9"/>
  <c r="J5" i="9"/>
  <c r="CF7" i="7"/>
  <c r="CF8" i="7"/>
  <c r="CF9" i="7"/>
  <c r="CF10" i="7"/>
  <c r="CF11" i="7"/>
  <c r="CF12" i="7"/>
  <c r="CF13" i="7"/>
  <c r="CF14" i="7"/>
  <c r="CF15" i="7"/>
  <c r="CF16" i="7"/>
  <c r="CF17" i="7"/>
  <c r="CF18" i="7"/>
  <c r="CF19" i="7"/>
  <c r="CF20" i="7"/>
  <c r="CF21" i="7"/>
  <c r="CF22" i="7"/>
  <c r="CF25" i="7"/>
  <c r="CF26" i="7"/>
  <c r="CF27" i="7"/>
  <c r="CF28" i="7"/>
  <c r="CF29" i="7"/>
  <c r="CF30" i="7"/>
  <c r="CF31" i="7"/>
  <c r="CF32" i="7"/>
  <c r="CF33" i="7"/>
  <c r="CF34" i="7"/>
  <c r="CF35" i="7"/>
  <c r="CF36" i="7"/>
  <c r="CF37" i="7"/>
  <c r="CF40" i="7"/>
  <c r="CF41" i="7"/>
  <c r="CF42" i="7"/>
  <c r="CF43" i="7"/>
  <c r="CF44" i="7"/>
  <c r="CF45" i="7"/>
  <c r="CF46" i="7"/>
  <c r="CF47" i="7"/>
  <c r="CF48" i="7"/>
  <c r="CF49" i="7"/>
  <c r="CF50" i="7"/>
  <c r="CF51" i="7"/>
  <c r="CF54" i="7"/>
  <c r="CF55" i="7"/>
  <c r="CF56" i="7"/>
  <c r="CF57" i="7"/>
  <c r="CF58" i="7"/>
  <c r="CF59" i="7"/>
  <c r="CF60" i="7"/>
  <c r="CF61" i="7"/>
  <c r="CF62" i="7"/>
  <c r="CF63" i="7"/>
  <c r="BQ52" i="7"/>
  <c r="BQ38" i="7"/>
  <c r="BQ23" i="7"/>
  <c r="BQ5" i="7"/>
  <c r="AC23" i="7"/>
  <c r="AC52" i="7"/>
  <c r="AC38" i="7"/>
  <c r="AC5" i="7"/>
  <c r="CF23" i="7" l="1"/>
  <c r="CF5" i="7"/>
  <c r="CF52" i="7"/>
  <c r="CF38" i="7"/>
  <c r="U4" i="11"/>
  <c r="AU4" i="11"/>
  <c r="J4" i="9"/>
  <c r="J53" i="9" s="1"/>
  <c r="BQ4" i="7"/>
  <c r="AC4" i="7"/>
  <c r="AQ5" i="10"/>
  <c r="AQ6" i="10"/>
  <c r="AQ7" i="10"/>
  <c r="AQ8" i="10"/>
  <c r="AQ9" i="10"/>
  <c r="AQ10" i="10"/>
  <c r="AQ11" i="10"/>
  <c r="AQ12" i="10"/>
  <c r="AQ13" i="10"/>
  <c r="AQ14" i="10"/>
  <c r="AQ15" i="10"/>
  <c r="AQ16" i="10"/>
  <c r="AQ17" i="10"/>
  <c r="AQ18" i="10"/>
  <c r="AQ19" i="10"/>
  <c r="AQ20" i="10"/>
  <c r="AQ23" i="10"/>
  <c r="AQ24" i="10"/>
  <c r="AQ25" i="10"/>
  <c r="AQ26" i="10"/>
  <c r="AQ27" i="10"/>
  <c r="AQ28" i="10"/>
  <c r="AQ29" i="10"/>
  <c r="AQ30" i="10"/>
  <c r="AQ31" i="10"/>
  <c r="AQ32" i="10"/>
  <c r="AQ33" i="10"/>
  <c r="AQ34" i="10"/>
  <c r="AQ35" i="10"/>
  <c r="AQ38" i="10"/>
  <c r="AQ39" i="10"/>
  <c r="AQ40" i="10"/>
  <c r="AQ41" i="10"/>
  <c r="AQ42" i="10"/>
  <c r="AQ43" i="10"/>
  <c r="AQ44" i="10"/>
  <c r="AQ45" i="10"/>
  <c r="AQ46" i="10"/>
  <c r="AQ47" i="10"/>
  <c r="AQ48" i="10"/>
  <c r="AQ49" i="10"/>
  <c r="AQ52" i="10"/>
  <c r="AQ53" i="10"/>
  <c r="AQ54" i="10"/>
  <c r="AQ55" i="10"/>
  <c r="AQ56" i="10"/>
  <c r="AQ57" i="10"/>
  <c r="AQ58" i="10"/>
  <c r="AQ59" i="10"/>
  <c r="AQ60" i="10"/>
  <c r="AQ61" i="10"/>
  <c r="Z52" i="8"/>
  <c r="Z38" i="8"/>
  <c r="Z23" i="8"/>
  <c r="Z5" i="8"/>
  <c r="CM52" i="1"/>
  <c r="CM38" i="1"/>
  <c r="CM23" i="1"/>
  <c r="CM5" i="1"/>
  <c r="U52" i="5"/>
  <c r="U38" i="5"/>
  <c r="U23" i="5"/>
  <c r="U5" i="5"/>
  <c r="AU39" i="11" l="1"/>
  <c r="CF4" i="7"/>
  <c r="AU24" i="11"/>
  <c r="U39" i="11"/>
  <c r="U53" i="11"/>
  <c r="U6" i="11"/>
  <c r="U24" i="11"/>
  <c r="AU6" i="11"/>
  <c r="AU53" i="11"/>
  <c r="J24" i="9"/>
  <c r="J6" i="9"/>
  <c r="J39" i="9"/>
  <c r="BQ39" i="7"/>
  <c r="BQ53" i="7"/>
  <c r="BQ6" i="7"/>
  <c r="BQ24" i="7"/>
  <c r="AC39" i="7"/>
  <c r="AC53" i="7"/>
  <c r="AC6" i="7"/>
  <c r="AC24" i="7"/>
  <c r="Z4" i="8"/>
  <c r="CM4" i="1"/>
  <c r="CM39" i="1" s="1"/>
  <c r="U4" i="5"/>
  <c r="U53" i="5" s="1"/>
  <c r="E52" i="9"/>
  <c r="E38" i="9"/>
  <c r="E23" i="9"/>
  <c r="E5" i="9"/>
  <c r="CA7" i="7"/>
  <c r="CA8" i="7"/>
  <c r="CA9" i="7"/>
  <c r="CA10" i="7"/>
  <c r="CA11" i="7"/>
  <c r="CA12" i="7"/>
  <c r="CA13" i="7"/>
  <c r="CA14" i="7"/>
  <c r="CA15" i="7"/>
  <c r="CA16" i="7"/>
  <c r="CA17" i="7"/>
  <c r="CA18" i="7"/>
  <c r="CA19" i="7"/>
  <c r="CA20" i="7"/>
  <c r="CA21" i="7"/>
  <c r="CA22" i="7"/>
  <c r="CA25" i="7"/>
  <c r="CA26" i="7"/>
  <c r="CA27" i="7"/>
  <c r="CA28" i="7"/>
  <c r="CA29" i="7"/>
  <c r="CA30" i="7"/>
  <c r="CA31" i="7"/>
  <c r="CA32" i="7"/>
  <c r="CA33" i="7"/>
  <c r="CA34" i="7"/>
  <c r="CA35" i="7"/>
  <c r="CA36" i="7"/>
  <c r="CA37" i="7"/>
  <c r="CA40" i="7"/>
  <c r="CA41" i="7"/>
  <c r="CA42" i="7"/>
  <c r="CA43" i="7"/>
  <c r="CA44" i="7"/>
  <c r="CA45" i="7"/>
  <c r="CA46" i="7"/>
  <c r="CA47" i="7"/>
  <c r="CA48" i="7"/>
  <c r="CA49" i="7"/>
  <c r="CA50" i="7"/>
  <c r="CA51" i="7"/>
  <c r="CA54" i="7"/>
  <c r="CA55" i="7"/>
  <c r="CA56" i="7"/>
  <c r="CA57" i="7"/>
  <c r="CA58" i="7"/>
  <c r="CA59" i="7"/>
  <c r="CA60" i="7"/>
  <c r="CA61" i="7"/>
  <c r="CA62" i="7"/>
  <c r="CA63" i="7"/>
  <c r="U24" i="5" l="1"/>
  <c r="CM24" i="1"/>
  <c r="Z39" i="8"/>
  <c r="Z53" i="8"/>
  <c r="Z6" i="8"/>
  <c r="Z24" i="8"/>
  <c r="CM6" i="1"/>
  <c r="CM53" i="1"/>
  <c r="U6" i="5"/>
  <c r="U39" i="5"/>
  <c r="E4" i="9"/>
  <c r="E24" i="9" s="1"/>
  <c r="E53" i="9"/>
  <c r="E39" i="9"/>
  <c r="E6" i="9"/>
  <c r="AS52" i="4"/>
  <c r="AQ50" i="10" s="1"/>
  <c r="AS38" i="4"/>
  <c r="AQ36" i="10" s="1"/>
  <c r="AS23" i="4"/>
  <c r="AQ21" i="10" s="1"/>
  <c r="AS5" i="4"/>
  <c r="AQ3" i="10" s="1"/>
  <c r="S8" i="2" l="1"/>
  <c r="AS4" i="4"/>
  <c r="AQ2" i="10" s="1"/>
  <c r="AS39" i="4" l="1"/>
  <c r="AS53" i="4"/>
  <c r="AS6" i="4"/>
  <c r="AS24" i="4"/>
  <c r="AP5" i="10" l="1"/>
  <c r="AP6" i="10"/>
  <c r="AP7" i="10"/>
  <c r="AP8" i="10"/>
  <c r="AP9" i="10"/>
  <c r="AP10" i="10"/>
  <c r="AP11" i="10"/>
  <c r="AP12" i="10"/>
  <c r="AP13" i="10"/>
  <c r="AP14" i="10"/>
  <c r="AP15" i="10"/>
  <c r="AP16" i="10"/>
  <c r="AP17" i="10"/>
  <c r="AP18" i="10"/>
  <c r="AP19" i="10"/>
  <c r="AP20" i="10"/>
  <c r="AP23" i="10"/>
  <c r="AP24" i="10"/>
  <c r="AP25" i="10"/>
  <c r="AP26" i="10"/>
  <c r="AP27" i="10"/>
  <c r="AP28" i="10"/>
  <c r="AP29" i="10"/>
  <c r="AP30" i="10"/>
  <c r="AP31" i="10"/>
  <c r="AP32" i="10"/>
  <c r="AP33" i="10"/>
  <c r="AP34" i="10"/>
  <c r="AP35" i="10"/>
  <c r="AP38" i="10"/>
  <c r="AP39" i="10"/>
  <c r="AP40" i="10"/>
  <c r="AP41" i="10"/>
  <c r="AP42" i="10"/>
  <c r="AP43" i="10"/>
  <c r="AP44" i="10"/>
  <c r="AP45" i="10"/>
  <c r="AP46" i="10"/>
  <c r="AP47" i="10"/>
  <c r="AP48" i="10"/>
  <c r="AP49" i="10"/>
  <c r="AP52" i="10"/>
  <c r="AP53" i="10"/>
  <c r="AP54" i="10"/>
  <c r="AP55" i="10"/>
  <c r="AP56" i="10"/>
  <c r="AP57" i="10"/>
  <c r="AP58" i="10"/>
  <c r="AP59" i="10"/>
  <c r="AP60" i="10"/>
  <c r="AP61" i="10"/>
  <c r="AT52" i="11"/>
  <c r="AT38" i="11"/>
  <c r="AT23" i="11"/>
  <c r="AS23" i="11"/>
  <c r="AT5" i="11"/>
  <c r="AT4" i="11" l="1"/>
  <c r="T52" i="11"/>
  <c r="T38" i="11"/>
  <c r="T23" i="11"/>
  <c r="T5" i="11"/>
  <c r="I52" i="9"/>
  <c r="I38" i="9"/>
  <c r="I23" i="9"/>
  <c r="I5" i="9"/>
  <c r="Y52" i="8"/>
  <c r="Y38" i="8"/>
  <c r="Y23" i="8"/>
  <c r="Y5" i="8"/>
  <c r="CE7" i="7"/>
  <c r="CE8" i="7"/>
  <c r="CE9" i="7"/>
  <c r="CE10" i="7"/>
  <c r="CE11" i="7"/>
  <c r="CE12" i="7"/>
  <c r="CE13" i="7"/>
  <c r="CE14" i="7"/>
  <c r="CE15" i="7"/>
  <c r="CE16" i="7"/>
  <c r="CE17" i="7"/>
  <c r="CE18" i="7"/>
  <c r="CE19" i="7"/>
  <c r="CE20" i="7"/>
  <c r="CE21" i="7"/>
  <c r="CE22" i="7"/>
  <c r="CE25" i="7"/>
  <c r="CE26" i="7"/>
  <c r="CE27" i="7"/>
  <c r="CE28" i="7"/>
  <c r="CE29" i="7"/>
  <c r="CE30" i="7"/>
  <c r="CE31" i="7"/>
  <c r="CE32" i="7"/>
  <c r="CE33" i="7"/>
  <c r="CE34" i="7"/>
  <c r="CE35" i="7"/>
  <c r="CE36" i="7"/>
  <c r="CE37" i="7"/>
  <c r="CE40" i="7"/>
  <c r="CE41" i="7"/>
  <c r="CE42" i="7"/>
  <c r="CE43" i="7"/>
  <c r="CE44" i="7"/>
  <c r="CE45" i="7"/>
  <c r="CE46" i="7"/>
  <c r="CE47" i="7"/>
  <c r="CE48" i="7"/>
  <c r="CE49" i="7"/>
  <c r="CE50" i="7"/>
  <c r="CE51" i="7"/>
  <c r="CE54" i="7"/>
  <c r="CE55" i="7"/>
  <c r="CE56" i="7"/>
  <c r="CE57" i="7"/>
  <c r="CE58" i="7"/>
  <c r="CE59" i="7"/>
  <c r="CE60" i="7"/>
  <c r="CE61" i="7"/>
  <c r="CE62" i="7"/>
  <c r="CE63" i="7"/>
  <c r="BP52" i="7"/>
  <c r="BP38" i="7"/>
  <c r="BP23" i="7"/>
  <c r="BP5" i="7"/>
  <c r="AB5" i="7"/>
  <c r="AB52" i="7"/>
  <c r="AB38" i="7"/>
  <c r="AB23" i="7"/>
  <c r="CL52" i="1"/>
  <c r="CL38" i="1"/>
  <c r="CL23" i="1"/>
  <c r="CL5" i="1"/>
  <c r="AP52" i="1"/>
  <c r="AP38" i="1"/>
  <c r="AP23" i="1"/>
  <c r="AP5" i="1"/>
  <c r="T52" i="5"/>
  <c r="T38" i="5"/>
  <c r="T23" i="5"/>
  <c r="T5" i="5"/>
  <c r="AR52" i="4"/>
  <c r="AR38" i="4"/>
  <c r="AR23" i="4"/>
  <c r="AR5" i="4"/>
  <c r="C5" i="10"/>
  <c r="D5" i="10"/>
  <c r="E5" i="10"/>
  <c r="F5" i="10"/>
  <c r="G5" i="10"/>
  <c r="H5" i="10"/>
  <c r="I5" i="10"/>
  <c r="J5" i="10"/>
  <c r="K5" i="10"/>
  <c r="L5" i="10"/>
  <c r="M5" i="10"/>
  <c r="N5" i="10"/>
  <c r="O5" i="10"/>
  <c r="P5" i="10"/>
  <c r="Q5" i="10"/>
  <c r="R5" i="10"/>
  <c r="S5" i="10"/>
  <c r="T5" i="10"/>
  <c r="U5" i="10"/>
  <c r="V5" i="10"/>
  <c r="W5" i="10"/>
  <c r="X5" i="10"/>
  <c r="Y5" i="10"/>
  <c r="Z5" i="10"/>
  <c r="AA5" i="10"/>
  <c r="AB5" i="10"/>
  <c r="AC5" i="10"/>
  <c r="AD5" i="10"/>
  <c r="AE5" i="10"/>
  <c r="AF5" i="10"/>
  <c r="AG5" i="10"/>
  <c r="AH5" i="10"/>
  <c r="AI5" i="10"/>
  <c r="AJ5" i="10"/>
  <c r="AK5" i="10"/>
  <c r="AL5" i="10"/>
  <c r="AM5" i="10"/>
  <c r="AN5" i="10"/>
  <c r="AO5" i="10"/>
  <c r="C6" i="10"/>
  <c r="D6" i="10"/>
  <c r="E6" i="10"/>
  <c r="F6" i="10"/>
  <c r="G6" i="10"/>
  <c r="H6" i="10"/>
  <c r="I6" i="10"/>
  <c r="J6" i="10"/>
  <c r="K6" i="10"/>
  <c r="L6" i="10"/>
  <c r="M6" i="10"/>
  <c r="N6" i="10"/>
  <c r="O6" i="10"/>
  <c r="P6" i="10"/>
  <c r="Q6" i="10"/>
  <c r="R6" i="10"/>
  <c r="S6" i="10"/>
  <c r="T6" i="10"/>
  <c r="U6" i="10"/>
  <c r="V6" i="10"/>
  <c r="W6" i="10"/>
  <c r="X6" i="10"/>
  <c r="Y6" i="10"/>
  <c r="Z6" i="10"/>
  <c r="AA6" i="10"/>
  <c r="AB6" i="10"/>
  <c r="AC6" i="10"/>
  <c r="AD6" i="10"/>
  <c r="AE6" i="10"/>
  <c r="AF6" i="10"/>
  <c r="AG6" i="10"/>
  <c r="AH6" i="10"/>
  <c r="AI6" i="10"/>
  <c r="AJ6" i="10"/>
  <c r="AK6" i="10"/>
  <c r="AL6" i="10"/>
  <c r="AM6" i="10"/>
  <c r="AN6" i="10"/>
  <c r="AO6" i="10"/>
  <c r="C7" i="10"/>
  <c r="D7" i="10"/>
  <c r="E7" i="10"/>
  <c r="F7" i="10"/>
  <c r="G7" i="10"/>
  <c r="H7" i="10"/>
  <c r="I7" i="10"/>
  <c r="J7" i="10"/>
  <c r="K7" i="10"/>
  <c r="L7" i="10"/>
  <c r="M7" i="10"/>
  <c r="N7" i="10"/>
  <c r="O7" i="10"/>
  <c r="P7" i="10"/>
  <c r="Q7" i="10"/>
  <c r="R7" i="10"/>
  <c r="S7" i="10"/>
  <c r="T7" i="10"/>
  <c r="U7" i="10"/>
  <c r="V7" i="10"/>
  <c r="W7" i="10"/>
  <c r="X7" i="10"/>
  <c r="Y7" i="10"/>
  <c r="Z7" i="10"/>
  <c r="AA7" i="10"/>
  <c r="AB7" i="10"/>
  <c r="AC7" i="10"/>
  <c r="AD7" i="10"/>
  <c r="AE7" i="10"/>
  <c r="AF7" i="10"/>
  <c r="AG7" i="10"/>
  <c r="AH7" i="10"/>
  <c r="AI7" i="10"/>
  <c r="AJ7" i="10"/>
  <c r="AK7" i="10"/>
  <c r="AL7" i="10"/>
  <c r="AM7" i="10"/>
  <c r="AN7" i="10"/>
  <c r="AO7" i="10"/>
  <c r="C8" i="10"/>
  <c r="D8" i="10"/>
  <c r="E8" i="10"/>
  <c r="F8" i="10"/>
  <c r="G8" i="10"/>
  <c r="H8" i="10"/>
  <c r="I8" i="10"/>
  <c r="J8" i="10"/>
  <c r="K8" i="10"/>
  <c r="L8" i="10"/>
  <c r="M8" i="10"/>
  <c r="N8" i="10"/>
  <c r="O8" i="10"/>
  <c r="P8" i="10"/>
  <c r="Q8" i="10"/>
  <c r="R8" i="10"/>
  <c r="S8" i="10"/>
  <c r="T8" i="10"/>
  <c r="U8" i="10"/>
  <c r="V8" i="10"/>
  <c r="W8" i="10"/>
  <c r="X8" i="10"/>
  <c r="Y8" i="10"/>
  <c r="Z8" i="10"/>
  <c r="AA8" i="10"/>
  <c r="AB8" i="10"/>
  <c r="AC8" i="10"/>
  <c r="AD8" i="10"/>
  <c r="AE8" i="10"/>
  <c r="AF8" i="10"/>
  <c r="AG8" i="10"/>
  <c r="AH8" i="10"/>
  <c r="AI8" i="10"/>
  <c r="AJ8" i="10"/>
  <c r="AK8" i="10"/>
  <c r="AL8" i="10"/>
  <c r="AM8" i="10"/>
  <c r="AN8" i="10"/>
  <c r="AO8" i="10"/>
  <c r="C9" i="10"/>
  <c r="D9" i="10"/>
  <c r="E9" i="10"/>
  <c r="F9" i="10"/>
  <c r="G9" i="10"/>
  <c r="H9" i="10"/>
  <c r="I9" i="10"/>
  <c r="J9" i="10"/>
  <c r="K9" i="10"/>
  <c r="L9" i="10"/>
  <c r="M9" i="10"/>
  <c r="N9" i="10"/>
  <c r="O9" i="10"/>
  <c r="P9" i="10"/>
  <c r="Q9" i="10"/>
  <c r="R9" i="10"/>
  <c r="S9" i="10"/>
  <c r="T9" i="10"/>
  <c r="U9" i="10"/>
  <c r="V9" i="10"/>
  <c r="W9" i="10"/>
  <c r="X9" i="10"/>
  <c r="Y9" i="10"/>
  <c r="Z9" i="10"/>
  <c r="AA9" i="10"/>
  <c r="AB9" i="10"/>
  <c r="AC9" i="10"/>
  <c r="AD9" i="10"/>
  <c r="AE9" i="10"/>
  <c r="AF9" i="10"/>
  <c r="AG9" i="10"/>
  <c r="AH9" i="10"/>
  <c r="AI9" i="10"/>
  <c r="AJ9" i="10"/>
  <c r="AK9" i="10"/>
  <c r="AL9" i="10"/>
  <c r="AM9" i="10"/>
  <c r="AN9" i="10"/>
  <c r="AO9" i="10"/>
  <c r="C10" i="10"/>
  <c r="D10" i="10"/>
  <c r="E10" i="10"/>
  <c r="F10" i="10"/>
  <c r="G10" i="10"/>
  <c r="H10" i="10"/>
  <c r="I10" i="10"/>
  <c r="J10" i="10"/>
  <c r="K10" i="10"/>
  <c r="L10" i="10"/>
  <c r="M10" i="10"/>
  <c r="N10" i="10"/>
  <c r="O10" i="10"/>
  <c r="P10" i="10"/>
  <c r="Q10" i="10"/>
  <c r="R10" i="10"/>
  <c r="S10" i="10"/>
  <c r="T10" i="10"/>
  <c r="U10" i="10"/>
  <c r="V10" i="10"/>
  <c r="W10" i="10"/>
  <c r="X10" i="10"/>
  <c r="Y10" i="10"/>
  <c r="Z10" i="10"/>
  <c r="AA10" i="10"/>
  <c r="AB10" i="10"/>
  <c r="AC10" i="10"/>
  <c r="AD10" i="10"/>
  <c r="AE10" i="10"/>
  <c r="AF10" i="10"/>
  <c r="AG10" i="10"/>
  <c r="AH10" i="10"/>
  <c r="AI10" i="10"/>
  <c r="AJ10" i="10"/>
  <c r="AK10" i="10"/>
  <c r="AL10" i="10"/>
  <c r="AM10" i="10"/>
  <c r="AN10" i="10"/>
  <c r="AO10" i="10"/>
  <c r="C11" i="10"/>
  <c r="D11" i="10"/>
  <c r="E11" i="10"/>
  <c r="F11" i="10"/>
  <c r="G11" i="10"/>
  <c r="H11" i="10"/>
  <c r="I11" i="10"/>
  <c r="J11" i="10"/>
  <c r="K11" i="10"/>
  <c r="L11" i="10"/>
  <c r="M11" i="10"/>
  <c r="N11" i="10"/>
  <c r="O11" i="10"/>
  <c r="P11" i="10"/>
  <c r="Q11" i="10"/>
  <c r="R11" i="10"/>
  <c r="S11" i="10"/>
  <c r="T11" i="10"/>
  <c r="U11" i="10"/>
  <c r="V11" i="10"/>
  <c r="W11" i="10"/>
  <c r="X11" i="10"/>
  <c r="Y11" i="10"/>
  <c r="Z11" i="10"/>
  <c r="AA11" i="10"/>
  <c r="AB11" i="10"/>
  <c r="AC11" i="10"/>
  <c r="AD11" i="10"/>
  <c r="AE11" i="10"/>
  <c r="AF11" i="10"/>
  <c r="AG11" i="10"/>
  <c r="AH11" i="10"/>
  <c r="AI11" i="10"/>
  <c r="AJ11" i="10"/>
  <c r="AK11" i="10"/>
  <c r="AL11" i="10"/>
  <c r="AM11" i="10"/>
  <c r="AN11" i="10"/>
  <c r="AO11" i="10"/>
  <c r="C12" i="10"/>
  <c r="D12" i="10"/>
  <c r="E12" i="10"/>
  <c r="F12" i="10"/>
  <c r="G12" i="10"/>
  <c r="H12" i="10"/>
  <c r="I12" i="10"/>
  <c r="J12" i="10"/>
  <c r="K12" i="10"/>
  <c r="L12" i="10"/>
  <c r="M12" i="10"/>
  <c r="N12" i="10"/>
  <c r="O12" i="10"/>
  <c r="P12" i="10"/>
  <c r="Q12" i="10"/>
  <c r="R12" i="10"/>
  <c r="S12" i="10"/>
  <c r="T12" i="10"/>
  <c r="U12" i="10"/>
  <c r="V12" i="10"/>
  <c r="W12" i="10"/>
  <c r="X12" i="10"/>
  <c r="Y12" i="10"/>
  <c r="Z12" i="10"/>
  <c r="AA12" i="10"/>
  <c r="AB12" i="10"/>
  <c r="AC12" i="10"/>
  <c r="AD12" i="10"/>
  <c r="AE12" i="10"/>
  <c r="AF12" i="10"/>
  <c r="AG12" i="10"/>
  <c r="AH12" i="10"/>
  <c r="AI12" i="10"/>
  <c r="AJ12" i="10"/>
  <c r="AK12" i="10"/>
  <c r="AL12" i="10"/>
  <c r="AM12" i="10"/>
  <c r="AN12" i="10"/>
  <c r="AO12" i="10"/>
  <c r="C13" i="10"/>
  <c r="D13" i="10"/>
  <c r="E13" i="10"/>
  <c r="F13" i="10"/>
  <c r="G13" i="10"/>
  <c r="H13" i="10"/>
  <c r="I13" i="10"/>
  <c r="J13" i="10"/>
  <c r="K13" i="10"/>
  <c r="L13" i="10"/>
  <c r="M13" i="10"/>
  <c r="N13" i="10"/>
  <c r="O13" i="10"/>
  <c r="P13" i="10"/>
  <c r="Q13" i="10"/>
  <c r="R13" i="10"/>
  <c r="S13" i="10"/>
  <c r="T13" i="10"/>
  <c r="U13" i="10"/>
  <c r="V13" i="10"/>
  <c r="W13" i="10"/>
  <c r="X13" i="10"/>
  <c r="Y13" i="10"/>
  <c r="Z13" i="10"/>
  <c r="AA13" i="10"/>
  <c r="AB13" i="10"/>
  <c r="AC13" i="10"/>
  <c r="AD13" i="10"/>
  <c r="AE13" i="10"/>
  <c r="AF13" i="10"/>
  <c r="AG13" i="10"/>
  <c r="AH13" i="10"/>
  <c r="AI13" i="10"/>
  <c r="AJ13" i="10"/>
  <c r="AK13" i="10"/>
  <c r="AL13" i="10"/>
  <c r="AM13" i="10"/>
  <c r="AN13" i="10"/>
  <c r="AO13" i="10"/>
  <c r="C14" i="10"/>
  <c r="D14" i="10"/>
  <c r="E14" i="10"/>
  <c r="F14" i="10"/>
  <c r="G14" i="10"/>
  <c r="H14" i="10"/>
  <c r="I14" i="10"/>
  <c r="J14" i="10"/>
  <c r="K14" i="10"/>
  <c r="L14" i="10"/>
  <c r="M14" i="10"/>
  <c r="N14" i="10"/>
  <c r="O14" i="10"/>
  <c r="P14" i="10"/>
  <c r="Q14" i="10"/>
  <c r="R14" i="10"/>
  <c r="S14" i="10"/>
  <c r="T14" i="10"/>
  <c r="U14" i="10"/>
  <c r="V14" i="10"/>
  <c r="W14" i="10"/>
  <c r="X14" i="10"/>
  <c r="Y14" i="10"/>
  <c r="Z14" i="10"/>
  <c r="AA14" i="10"/>
  <c r="AB14" i="10"/>
  <c r="AC14" i="10"/>
  <c r="AD14" i="10"/>
  <c r="AE14" i="10"/>
  <c r="AF14" i="10"/>
  <c r="AG14" i="10"/>
  <c r="AH14" i="10"/>
  <c r="AI14" i="10"/>
  <c r="AJ14" i="10"/>
  <c r="AK14" i="10"/>
  <c r="AL14" i="10"/>
  <c r="AM14" i="10"/>
  <c r="AN14" i="10"/>
  <c r="AO14" i="10"/>
  <c r="C15" i="10"/>
  <c r="D15" i="10"/>
  <c r="E15" i="10"/>
  <c r="F15" i="10"/>
  <c r="G15" i="10"/>
  <c r="H15" i="10"/>
  <c r="I15" i="10"/>
  <c r="J15" i="10"/>
  <c r="K15" i="10"/>
  <c r="L15" i="10"/>
  <c r="M15" i="10"/>
  <c r="N15" i="10"/>
  <c r="O15" i="10"/>
  <c r="P15" i="10"/>
  <c r="Q15" i="10"/>
  <c r="R15" i="10"/>
  <c r="S15" i="10"/>
  <c r="T15" i="10"/>
  <c r="U15" i="10"/>
  <c r="V15" i="10"/>
  <c r="W15" i="10"/>
  <c r="X15" i="10"/>
  <c r="Y15" i="10"/>
  <c r="Z15" i="10"/>
  <c r="AA15" i="10"/>
  <c r="AB15" i="10"/>
  <c r="AC15" i="10"/>
  <c r="AD15" i="10"/>
  <c r="AE15" i="10"/>
  <c r="AF15" i="10"/>
  <c r="AG15" i="10"/>
  <c r="AH15" i="10"/>
  <c r="AI15" i="10"/>
  <c r="AJ15" i="10"/>
  <c r="AK15" i="10"/>
  <c r="AL15" i="10"/>
  <c r="AM15" i="10"/>
  <c r="AN15" i="10"/>
  <c r="AO15" i="10"/>
  <c r="C16" i="10"/>
  <c r="D16" i="10"/>
  <c r="E16" i="10"/>
  <c r="F16" i="10"/>
  <c r="G16" i="10"/>
  <c r="H16" i="10"/>
  <c r="I16" i="10"/>
  <c r="J16" i="10"/>
  <c r="K16" i="10"/>
  <c r="L16" i="10"/>
  <c r="M16" i="10"/>
  <c r="N16" i="10"/>
  <c r="O16" i="10"/>
  <c r="P16" i="10"/>
  <c r="Q16" i="10"/>
  <c r="R16" i="10"/>
  <c r="S16" i="10"/>
  <c r="T16" i="10"/>
  <c r="U16" i="10"/>
  <c r="V16" i="10"/>
  <c r="W16" i="10"/>
  <c r="X16" i="10"/>
  <c r="Y16" i="10"/>
  <c r="Z16" i="10"/>
  <c r="AA16" i="10"/>
  <c r="AB16" i="10"/>
  <c r="AC16" i="10"/>
  <c r="AD16" i="10"/>
  <c r="AE16" i="10"/>
  <c r="AF16" i="10"/>
  <c r="AG16" i="10"/>
  <c r="AH16" i="10"/>
  <c r="AI16" i="10"/>
  <c r="AJ16" i="10"/>
  <c r="AK16" i="10"/>
  <c r="AL16" i="10"/>
  <c r="AM16" i="10"/>
  <c r="AN16" i="10"/>
  <c r="AO16" i="10"/>
  <c r="C17" i="10"/>
  <c r="D17" i="10"/>
  <c r="E17" i="10"/>
  <c r="F17" i="10"/>
  <c r="G17" i="10"/>
  <c r="H17" i="10"/>
  <c r="I17" i="10"/>
  <c r="J17" i="10"/>
  <c r="K17" i="10"/>
  <c r="L17" i="10"/>
  <c r="M17" i="10"/>
  <c r="N17" i="10"/>
  <c r="O17" i="10"/>
  <c r="P17" i="10"/>
  <c r="Q17" i="10"/>
  <c r="R17" i="10"/>
  <c r="S17" i="10"/>
  <c r="T17" i="10"/>
  <c r="U17" i="10"/>
  <c r="V17" i="10"/>
  <c r="W17" i="10"/>
  <c r="X17" i="10"/>
  <c r="Y17" i="10"/>
  <c r="Z17" i="10"/>
  <c r="AA17" i="10"/>
  <c r="AB17" i="10"/>
  <c r="AC17" i="10"/>
  <c r="AD17" i="10"/>
  <c r="AE17" i="10"/>
  <c r="AF17" i="10"/>
  <c r="AG17" i="10"/>
  <c r="AH17" i="10"/>
  <c r="AI17" i="10"/>
  <c r="AJ17" i="10"/>
  <c r="AK17" i="10"/>
  <c r="AL17" i="10"/>
  <c r="AM17" i="10"/>
  <c r="AN17" i="10"/>
  <c r="AO17" i="10"/>
  <c r="C18" i="10"/>
  <c r="D18" i="10"/>
  <c r="E18" i="10"/>
  <c r="F18" i="10"/>
  <c r="G18" i="10"/>
  <c r="H18" i="10"/>
  <c r="I18" i="10"/>
  <c r="J18" i="10"/>
  <c r="K18" i="10"/>
  <c r="L18" i="10"/>
  <c r="M18" i="10"/>
  <c r="N18" i="10"/>
  <c r="O18" i="10"/>
  <c r="P18" i="10"/>
  <c r="Q18" i="10"/>
  <c r="R18" i="10"/>
  <c r="S18" i="10"/>
  <c r="T18" i="10"/>
  <c r="U18" i="10"/>
  <c r="V18" i="10"/>
  <c r="W18" i="10"/>
  <c r="X18" i="10"/>
  <c r="Y18" i="10"/>
  <c r="Z18" i="10"/>
  <c r="AA18" i="10"/>
  <c r="AB18" i="10"/>
  <c r="AC18" i="10"/>
  <c r="AD18" i="10"/>
  <c r="AE18" i="10"/>
  <c r="AF18" i="10"/>
  <c r="AG18" i="10"/>
  <c r="AH18" i="10"/>
  <c r="AI18" i="10"/>
  <c r="AJ18" i="10"/>
  <c r="AK18" i="10"/>
  <c r="AL18" i="10"/>
  <c r="AM18" i="10"/>
  <c r="AN18" i="10"/>
  <c r="AO18" i="10"/>
  <c r="C19" i="10"/>
  <c r="D19" i="10"/>
  <c r="E19" i="10"/>
  <c r="F19" i="10"/>
  <c r="G19" i="10"/>
  <c r="H19" i="10"/>
  <c r="I19" i="10"/>
  <c r="J19" i="10"/>
  <c r="K19" i="10"/>
  <c r="L19" i="10"/>
  <c r="M19" i="10"/>
  <c r="N19" i="10"/>
  <c r="O19" i="10"/>
  <c r="P19" i="10"/>
  <c r="Q19" i="10"/>
  <c r="R19" i="10"/>
  <c r="S19" i="10"/>
  <c r="T19" i="10"/>
  <c r="U19" i="10"/>
  <c r="V19" i="10"/>
  <c r="W19" i="10"/>
  <c r="X19" i="10"/>
  <c r="Y19" i="10"/>
  <c r="Z19" i="10"/>
  <c r="AA19" i="10"/>
  <c r="AB19" i="10"/>
  <c r="AC19" i="10"/>
  <c r="AD19" i="10"/>
  <c r="AE19" i="10"/>
  <c r="AF19" i="10"/>
  <c r="AG19" i="10"/>
  <c r="AH19" i="10"/>
  <c r="AI19" i="10"/>
  <c r="AJ19" i="10"/>
  <c r="AK19" i="10"/>
  <c r="AL19" i="10"/>
  <c r="AM19" i="10"/>
  <c r="AN19" i="10"/>
  <c r="AO19" i="10"/>
  <c r="C20" i="10"/>
  <c r="D20" i="10"/>
  <c r="E20" i="10"/>
  <c r="F20" i="10"/>
  <c r="G20" i="10"/>
  <c r="H20" i="10"/>
  <c r="I20" i="10"/>
  <c r="J20" i="10"/>
  <c r="K20" i="10"/>
  <c r="L20" i="10"/>
  <c r="M20" i="10"/>
  <c r="N20" i="10"/>
  <c r="O20" i="10"/>
  <c r="P20" i="10"/>
  <c r="Q20" i="10"/>
  <c r="R20" i="10"/>
  <c r="S20" i="10"/>
  <c r="T20" i="10"/>
  <c r="U20" i="10"/>
  <c r="V20" i="10"/>
  <c r="W20" i="10"/>
  <c r="X20" i="10"/>
  <c r="Y20" i="10"/>
  <c r="Z20" i="10"/>
  <c r="AA20" i="10"/>
  <c r="AB20" i="10"/>
  <c r="AC20" i="10"/>
  <c r="AD20" i="10"/>
  <c r="AE20" i="10"/>
  <c r="AF20" i="10"/>
  <c r="AG20" i="10"/>
  <c r="AH20" i="10"/>
  <c r="AI20" i="10"/>
  <c r="AJ20" i="10"/>
  <c r="AK20" i="10"/>
  <c r="AL20" i="10"/>
  <c r="AM20" i="10"/>
  <c r="AN20" i="10"/>
  <c r="AO20" i="10"/>
  <c r="C23" i="10"/>
  <c r="D23" i="10"/>
  <c r="E23" i="10"/>
  <c r="F23" i="10"/>
  <c r="G23" i="10"/>
  <c r="H23" i="10"/>
  <c r="I23" i="10"/>
  <c r="J23" i="10"/>
  <c r="K23" i="10"/>
  <c r="L23" i="10"/>
  <c r="M23" i="10"/>
  <c r="N23" i="10"/>
  <c r="O23" i="10"/>
  <c r="P23" i="10"/>
  <c r="Q23" i="10"/>
  <c r="R23" i="10"/>
  <c r="S23" i="10"/>
  <c r="T23" i="10"/>
  <c r="U23" i="10"/>
  <c r="V23" i="10"/>
  <c r="W23" i="10"/>
  <c r="X23" i="10"/>
  <c r="Y23" i="10"/>
  <c r="Z23" i="10"/>
  <c r="AA23" i="10"/>
  <c r="AB23" i="10"/>
  <c r="AC23" i="10"/>
  <c r="AD23" i="10"/>
  <c r="AE23" i="10"/>
  <c r="AF23" i="10"/>
  <c r="AG23" i="10"/>
  <c r="AH23" i="10"/>
  <c r="AI23" i="10"/>
  <c r="AJ23" i="10"/>
  <c r="AK23" i="10"/>
  <c r="AL23" i="10"/>
  <c r="AM23" i="10"/>
  <c r="AN23" i="10"/>
  <c r="AO23" i="10"/>
  <c r="C24" i="10"/>
  <c r="D24" i="10"/>
  <c r="E24" i="10"/>
  <c r="F24" i="10"/>
  <c r="G24" i="10"/>
  <c r="H24" i="10"/>
  <c r="I24" i="10"/>
  <c r="J24" i="10"/>
  <c r="K24" i="10"/>
  <c r="L24" i="10"/>
  <c r="M24" i="10"/>
  <c r="N24" i="10"/>
  <c r="O24" i="10"/>
  <c r="P24" i="10"/>
  <c r="Q24" i="10"/>
  <c r="R24" i="10"/>
  <c r="S24" i="10"/>
  <c r="T24" i="10"/>
  <c r="U24" i="10"/>
  <c r="V24" i="10"/>
  <c r="W24" i="10"/>
  <c r="X24" i="10"/>
  <c r="Y24" i="10"/>
  <c r="Z24" i="10"/>
  <c r="AA24" i="10"/>
  <c r="AB24" i="10"/>
  <c r="AC24" i="10"/>
  <c r="AD24" i="10"/>
  <c r="AE24" i="10"/>
  <c r="AF24" i="10"/>
  <c r="AG24" i="10"/>
  <c r="AH24" i="10"/>
  <c r="AI24" i="10"/>
  <c r="AJ24" i="10"/>
  <c r="AK24" i="10"/>
  <c r="AL24" i="10"/>
  <c r="AM24" i="10"/>
  <c r="AN24" i="10"/>
  <c r="AO24" i="10"/>
  <c r="C25" i="10"/>
  <c r="D25" i="10"/>
  <c r="E25" i="10"/>
  <c r="F25" i="10"/>
  <c r="G25" i="10"/>
  <c r="H25" i="10"/>
  <c r="I25" i="10"/>
  <c r="J25" i="10"/>
  <c r="K25" i="10"/>
  <c r="L25" i="10"/>
  <c r="M25" i="10"/>
  <c r="N25" i="10"/>
  <c r="O25" i="10"/>
  <c r="P25" i="10"/>
  <c r="Q25" i="10"/>
  <c r="R25" i="10"/>
  <c r="S25" i="10"/>
  <c r="T25" i="10"/>
  <c r="U25" i="10"/>
  <c r="V25" i="10"/>
  <c r="W25" i="10"/>
  <c r="X25" i="10"/>
  <c r="Y25" i="10"/>
  <c r="Z25" i="10"/>
  <c r="AA25" i="10"/>
  <c r="AB25" i="10"/>
  <c r="AC25" i="10"/>
  <c r="AD25" i="10"/>
  <c r="AE25" i="10"/>
  <c r="AF25" i="10"/>
  <c r="AG25" i="10"/>
  <c r="AH25" i="10"/>
  <c r="AI25" i="10"/>
  <c r="AJ25" i="10"/>
  <c r="AK25" i="10"/>
  <c r="AL25" i="10"/>
  <c r="AM25" i="10"/>
  <c r="AN25" i="10"/>
  <c r="AO25" i="10"/>
  <c r="C26" i="10"/>
  <c r="D26" i="10"/>
  <c r="E26" i="10"/>
  <c r="F26" i="10"/>
  <c r="G26" i="10"/>
  <c r="H26" i="10"/>
  <c r="I26" i="10"/>
  <c r="J26" i="10"/>
  <c r="K26" i="10"/>
  <c r="L26" i="10"/>
  <c r="M26" i="10"/>
  <c r="N26" i="10"/>
  <c r="O26" i="10"/>
  <c r="P26" i="10"/>
  <c r="Q26" i="10"/>
  <c r="R26" i="10"/>
  <c r="S26" i="10"/>
  <c r="T26" i="10"/>
  <c r="U26" i="10"/>
  <c r="V26" i="10"/>
  <c r="W26" i="10"/>
  <c r="X26" i="10"/>
  <c r="Y26" i="10"/>
  <c r="Z26" i="10"/>
  <c r="AA26" i="10"/>
  <c r="AB26" i="10"/>
  <c r="AC26" i="10"/>
  <c r="AD26" i="10"/>
  <c r="AE26" i="10"/>
  <c r="AF26" i="10"/>
  <c r="AG26" i="10"/>
  <c r="AH26" i="10"/>
  <c r="AI26" i="10"/>
  <c r="AJ26" i="10"/>
  <c r="AK26" i="10"/>
  <c r="AL26" i="10"/>
  <c r="AM26" i="10"/>
  <c r="AN26" i="10"/>
  <c r="AO26" i="10"/>
  <c r="C27" i="10"/>
  <c r="D27" i="10"/>
  <c r="E27" i="10"/>
  <c r="F27" i="10"/>
  <c r="G27" i="10"/>
  <c r="H27" i="10"/>
  <c r="I27" i="10"/>
  <c r="J27" i="10"/>
  <c r="K27" i="10"/>
  <c r="L27" i="10"/>
  <c r="M27" i="10"/>
  <c r="N27" i="10"/>
  <c r="O27" i="10"/>
  <c r="P27" i="10"/>
  <c r="Q27" i="10"/>
  <c r="R27" i="10"/>
  <c r="S27" i="10"/>
  <c r="T27" i="10"/>
  <c r="U27" i="10"/>
  <c r="V27" i="10"/>
  <c r="W27" i="10"/>
  <c r="X27" i="10"/>
  <c r="Y27" i="10"/>
  <c r="Z27" i="10"/>
  <c r="AA27" i="10"/>
  <c r="AB27" i="10"/>
  <c r="AC27" i="10"/>
  <c r="AD27" i="10"/>
  <c r="AE27" i="10"/>
  <c r="AF27" i="10"/>
  <c r="AG27" i="10"/>
  <c r="AH27" i="10"/>
  <c r="AI27" i="10"/>
  <c r="AJ27" i="10"/>
  <c r="AK27" i="10"/>
  <c r="AL27" i="10"/>
  <c r="AM27" i="10"/>
  <c r="AN27" i="10"/>
  <c r="AO27" i="10"/>
  <c r="C28" i="10"/>
  <c r="D28" i="10"/>
  <c r="E28" i="10"/>
  <c r="F28" i="10"/>
  <c r="G28" i="10"/>
  <c r="H28" i="10"/>
  <c r="I28" i="10"/>
  <c r="J28" i="10"/>
  <c r="K28" i="10"/>
  <c r="L28" i="10"/>
  <c r="M28" i="10"/>
  <c r="N28" i="10"/>
  <c r="O28" i="10"/>
  <c r="P28" i="10"/>
  <c r="Q28" i="10"/>
  <c r="R28" i="10"/>
  <c r="S28" i="10"/>
  <c r="T28" i="10"/>
  <c r="U28" i="10"/>
  <c r="V28" i="10"/>
  <c r="W28" i="10"/>
  <c r="X28" i="10"/>
  <c r="Y28" i="10"/>
  <c r="Z28" i="10"/>
  <c r="AA28" i="10"/>
  <c r="AB28" i="10"/>
  <c r="AC28" i="10"/>
  <c r="AD28" i="10"/>
  <c r="AE28" i="10"/>
  <c r="AF28" i="10"/>
  <c r="AG28" i="10"/>
  <c r="AH28" i="10"/>
  <c r="AI28" i="10"/>
  <c r="AJ28" i="10"/>
  <c r="AK28" i="10"/>
  <c r="AL28" i="10"/>
  <c r="AM28" i="10"/>
  <c r="AN28" i="10"/>
  <c r="AO28" i="10"/>
  <c r="C29" i="10"/>
  <c r="D29" i="10"/>
  <c r="E29" i="10"/>
  <c r="F29" i="10"/>
  <c r="G29" i="10"/>
  <c r="H29" i="10"/>
  <c r="I29" i="10"/>
  <c r="J29" i="10"/>
  <c r="K29" i="10"/>
  <c r="L29" i="10"/>
  <c r="M29" i="10"/>
  <c r="N29" i="10"/>
  <c r="O29" i="10"/>
  <c r="P29" i="10"/>
  <c r="Q29" i="10"/>
  <c r="R29" i="10"/>
  <c r="S29" i="10"/>
  <c r="T29" i="10"/>
  <c r="U29" i="10"/>
  <c r="V29" i="10"/>
  <c r="W29" i="10"/>
  <c r="X29" i="10"/>
  <c r="Y29" i="10"/>
  <c r="Z29" i="10"/>
  <c r="AA29" i="10"/>
  <c r="AB29" i="10"/>
  <c r="AC29" i="10"/>
  <c r="AD29" i="10"/>
  <c r="AE29" i="10"/>
  <c r="AF29" i="10"/>
  <c r="AG29" i="10"/>
  <c r="AH29" i="10"/>
  <c r="AI29" i="10"/>
  <c r="AJ29" i="10"/>
  <c r="AK29" i="10"/>
  <c r="AL29" i="10"/>
  <c r="AM29" i="10"/>
  <c r="AN29" i="10"/>
  <c r="AO29" i="10"/>
  <c r="C30" i="10"/>
  <c r="D30" i="10"/>
  <c r="E30" i="10"/>
  <c r="F30" i="10"/>
  <c r="G30" i="10"/>
  <c r="H30" i="10"/>
  <c r="I30" i="10"/>
  <c r="J30" i="10"/>
  <c r="K30" i="10"/>
  <c r="L30" i="10"/>
  <c r="M30" i="10"/>
  <c r="N30" i="10"/>
  <c r="O30" i="10"/>
  <c r="P30" i="10"/>
  <c r="Q30" i="10"/>
  <c r="R30" i="10"/>
  <c r="S30" i="10"/>
  <c r="T30" i="10"/>
  <c r="U30" i="10"/>
  <c r="V30" i="10"/>
  <c r="W30" i="10"/>
  <c r="X30" i="10"/>
  <c r="Y30" i="10"/>
  <c r="Z30" i="10"/>
  <c r="AA30" i="10"/>
  <c r="AB30" i="10"/>
  <c r="AC30" i="10"/>
  <c r="AD30" i="10"/>
  <c r="AE30" i="10"/>
  <c r="AF30" i="10"/>
  <c r="AG30" i="10"/>
  <c r="AH30" i="10"/>
  <c r="AI30" i="10"/>
  <c r="AJ30" i="10"/>
  <c r="AK30" i="10"/>
  <c r="AL30" i="10"/>
  <c r="AM30" i="10"/>
  <c r="AN30" i="10"/>
  <c r="AO30" i="10"/>
  <c r="C31" i="10"/>
  <c r="D31" i="10"/>
  <c r="E31" i="10"/>
  <c r="F31" i="10"/>
  <c r="G31" i="10"/>
  <c r="H31" i="10"/>
  <c r="I31" i="10"/>
  <c r="J31" i="10"/>
  <c r="K31" i="10"/>
  <c r="L31" i="10"/>
  <c r="M31" i="10"/>
  <c r="N31" i="10"/>
  <c r="O31" i="10"/>
  <c r="P31" i="10"/>
  <c r="Q31" i="10"/>
  <c r="R31" i="10"/>
  <c r="S31" i="10"/>
  <c r="T31" i="10"/>
  <c r="U31" i="10"/>
  <c r="V31" i="10"/>
  <c r="W31" i="10"/>
  <c r="X31" i="10"/>
  <c r="Y31" i="10"/>
  <c r="Z31" i="10"/>
  <c r="AA31" i="10"/>
  <c r="AB31" i="10"/>
  <c r="AC31" i="10"/>
  <c r="AD31" i="10"/>
  <c r="AE31" i="10"/>
  <c r="AF31" i="10"/>
  <c r="AG31" i="10"/>
  <c r="AH31" i="10"/>
  <c r="AI31" i="10"/>
  <c r="AJ31" i="10"/>
  <c r="AK31" i="10"/>
  <c r="AL31" i="10"/>
  <c r="AM31" i="10"/>
  <c r="AN31" i="10"/>
  <c r="AO31" i="10"/>
  <c r="C32" i="10"/>
  <c r="D32" i="10"/>
  <c r="E32" i="10"/>
  <c r="F32" i="10"/>
  <c r="G32" i="10"/>
  <c r="H32" i="10"/>
  <c r="I32" i="10"/>
  <c r="J32" i="10"/>
  <c r="K32" i="10"/>
  <c r="L32" i="10"/>
  <c r="M32" i="10"/>
  <c r="N32" i="10"/>
  <c r="O32" i="10"/>
  <c r="P32" i="10"/>
  <c r="Q32" i="10"/>
  <c r="R32" i="10"/>
  <c r="S32" i="10"/>
  <c r="T32" i="10"/>
  <c r="U32" i="10"/>
  <c r="V32" i="10"/>
  <c r="W32" i="10"/>
  <c r="X32" i="10"/>
  <c r="Y32" i="10"/>
  <c r="Z32" i="10"/>
  <c r="AA32" i="10"/>
  <c r="AB32" i="10"/>
  <c r="AC32" i="10"/>
  <c r="AD32" i="10"/>
  <c r="AE32" i="10"/>
  <c r="AF32" i="10"/>
  <c r="AG32" i="10"/>
  <c r="AH32" i="10"/>
  <c r="AI32" i="10"/>
  <c r="AJ32" i="10"/>
  <c r="AK32" i="10"/>
  <c r="AL32" i="10"/>
  <c r="AM32" i="10"/>
  <c r="AN32" i="10"/>
  <c r="AO32" i="10"/>
  <c r="C33" i="10"/>
  <c r="D33" i="10"/>
  <c r="E33" i="10"/>
  <c r="F33" i="10"/>
  <c r="G33" i="10"/>
  <c r="H33" i="10"/>
  <c r="I33" i="10"/>
  <c r="J33" i="10"/>
  <c r="K33" i="10"/>
  <c r="L33" i="10"/>
  <c r="M33" i="10"/>
  <c r="N33" i="10"/>
  <c r="O33" i="10"/>
  <c r="P33" i="10"/>
  <c r="Q33" i="10"/>
  <c r="R33" i="10"/>
  <c r="S33" i="10"/>
  <c r="T33" i="10"/>
  <c r="U33" i="10"/>
  <c r="V33" i="10"/>
  <c r="W33" i="10"/>
  <c r="X33" i="10"/>
  <c r="Y33" i="10"/>
  <c r="Z33" i="10"/>
  <c r="AA33" i="10"/>
  <c r="AB33" i="10"/>
  <c r="AC33" i="10"/>
  <c r="AD33" i="10"/>
  <c r="AE33" i="10"/>
  <c r="AF33" i="10"/>
  <c r="AG33" i="10"/>
  <c r="AH33" i="10"/>
  <c r="AI33" i="10"/>
  <c r="AJ33" i="10"/>
  <c r="AK33" i="10"/>
  <c r="AL33" i="10"/>
  <c r="AM33" i="10"/>
  <c r="AN33" i="10"/>
  <c r="AO33" i="10"/>
  <c r="C34" i="10"/>
  <c r="D34" i="10"/>
  <c r="E34" i="10"/>
  <c r="F34" i="10"/>
  <c r="G34" i="10"/>
  <c r="H34" i="10"/>
  <c r="I34" i="10"/>
  <c r="J34" i="10"/>
  <c r="K34" i="10"/>
  <c r="L34" i="10"/>
  <c r="M34" i="10"/>
  <c r="N34" i="10"/>
  <c r="O34" i="10"/>
  <c r="P34" i="10"/>
  <c r="Q34" i="10"/>
  <c r="R34" i="10"/>
  <c r="S34" i="10"/>
  <c r="T34" i="10"/>
  <c r="U34" i="10"/>
  <c r="V34" i="10"/>
  <c r="W34" i="10"/>
  <c r="X34" i="10"/>
  <c r="Y34" i="10"/>
  <c r="Z34" i="10"/>
  <c r="AA34" i="10"/>
  <c r="AB34" i="10"/>
  <c r="AC34" i="10"/>
  <c r="AD34" i="10"/>
  <c r="AE34" i="10"/>
  <c r="AF34" i="10"/>
  <c r="AG34" i="10"/>
  <c r="AH34" i="10"/>
  <c r="AI34" i="10"/>
  <c r="AJ34" i="10"/>
  <c r="AK34" i="10"/>
  <c r="AL34" i="10"/>
  <c r="AM34" i="10"/>
  <c r="AN34" i="10"/>
  <c r="AO34" i="10"/>
  <c r="C35" i="10"/>
  <c r="D35" i="10"/>
  <c r="E35" i="10"/>
  <c r="F35" i="10"/>
  <c r="G35" i="10"/>
  <c r="H35" i="10"/>
  <c r="I35" i="10"/>
  <c r="J35" i="10"/>
  <c r="K35" i="10"/>
  <c r="L35" i="10"/>
  <c r="M35" i="10"/>
  <c r="N35" i="10"/>
  <c r="O35" i="10"/>
  <c r="P35" i="10"/>
  <c r="Q35" i="10"/>
  <c r="R35" i="10"/>
  <c r="S35" i="10"/>
  <c r="T35" i="10"/>
  <c r="U35" i="10"/>
  <c r="V35" i="10"/>
  <c r="W35" i="10"/>
  <c r="X35" i="10"/>
  <c r="Y35" i="10"/>
  <c r="Z35" i="10"/>
  <c r="AA35" i="10"/>
  <c r="AB35" i="10"/>
  <c r="AC35" i="10"/>
  <c r="AD35" i="10"/>
  <c r="AE35" i="10"/>
  <c r="AF35" i="10"/>
  <c r="AG35" i="10"/>
  <c r="AH35" i="10"/>
  <c r="AI35" i="10"/>
  <c r="AJ35" i="10"/>
  <c r="AK35" i="10"/>
  <c r="AL35" i="10"/>
  <c r="AM35" i="10"/>
  <c r="AN35" i="10"/>
  <c r="AO35" i="10"/>
  <c r="C38" i="10"/>
  <c r="D38" i="10"/>
  <c r="E38" i="10"/>
  <c r="F38" i="10"/>
  <c r="G38" i="10"/>
  <c r="H38" i="10"/>
  <c r="I38" i="10"/>
  <c r="J38" i="10"/>
  <c r="K38" i="10"/>
  <c r="L38" i="10"/>
  <c r="M38" i="10"/>
  <c r="N38" i="10"/>
  <c r="O38" i="10"/>
  <c r="P38" i="10"/>
  <c r="Q38" i="10"/>
  <c r="R38" i="10"/>
  <c r="S38" i="10"/>
  <c r="T38" i="10"/>
  <c r="U38" i="10"/>
  <c r="V38" i="10"/>
  <c r="W38" i="10"/>
  <c r="X38" i="10"/>
  <c r="Y38" i="10"/>
  <c r="Z38" i="10"/>
  <c r="AA38" i="10"/>
  <c r="AB38" i="10"/>
  <c r="AC38" i="10"/>
  <c r="AD38" i="10"/>
  <c r="AE38" i="10"/>
  <c r="AF38" i="10"/>
  <c r="AG38" i="10"/>
  <c r="AH38" i="10"/>
  <c r="AI38" i="10"/>
  <c r="AJ38" i="10"/>
  <c r="AK38" i="10"/>
  <c r="AL38" i="10"/>
  <c r="AM38" i="10"/>
  <c r="AN38" i="10"/>
  <c r="AO38" i="10"/>
  <c r="C39" i="10"/>
  <c r="D39" i="10"/>
  <c r="E39" i="10"/>
  <c r="F39" i="10"/>
  <c r="G39" i="10"/>
  <c r="H39" i="10"/>
  <c r="I39" i="10"/>
  <c r="J39" i="10"/>
  <c r="K39" i="10"/>
  <c r="L39" i="10"/>
  <c r="M39" i="10"/>
  <c r="N39" i="10"/>
  <c r="O39" i="10"/>
  <c r="P39" i="10"/>
  <c r="Q39" i="10"/>
  <c r="R39" i="10"/>
  <c r="S39" i="10"/>
  <c r="T39" i="10"/>
  <c r="U39" i="10"/>
  <c r="V39" i="10"/>
  <c r="W39" i="10"/>
  <c r="X39" i="10"/>
  <c r="Y39" i="10"/>
  <c r="Z39" i="10"/>
  <c r="AA39" i="10"/>
  <c r="AB39" i="10"/>
  <c r="AC39" i="10"/>
  <c r="AD39" i="10"/>
  <c r="AE39" i="10"/>
  <c r="AF39" i="10"/>
  <c r="AG39" i="10"/>
  <c r="AH39" i="10"/>
  <c r="AI39" i="10"/>
  <c r="AJ39" i="10"/>
  <c r="AK39" i="10"/>
  <c r="AL39" i="10"/>
  <c r="AM39" i="10"/>
  <c r="AN39" i="10"/>
  <c r="AO39" i="10"/>
  <c r="C40" i="10"/>
  <c r="D40" i="10"/>
  <c r="E40" i="10"/>
  <c r="F40" i="10"/>
  <c r="G40" i="10"/>
  <c r="H40" i="10"/>
  <c r="I40" i="10"/>
  <c r="J40" i="10"/>
  <c r="K40" i="10"/>
  <c r="L40" i="10"/>
  <c r="M40" i="10"/>
  <c r="N40" i="10"/>
  <c r="O40" i="10"/>
  <c r="P40" i="10"/>
  <c r="Q40" i="10"/>
  <c r="R40" i="10"/>
  <c r="S40" i="10"/>
  <c r="T40" i="10"/>
  <c r="U40" i="10"/>
  <c r="V40" i="10"/>
  <c r="W40" i="10"/>
  <c r="X40" i="10"/>
  <c r="Y40" i="10"/>
  <c r="Z40" i="10"/>
  <c r="AA40" i="10"/>
  <c r="AB40" i="10"/>
  <c r="AC40" i="10"/>
  <c r="AD40" i="10"/>
  <c r="AE40" i="10"/>
  <c r="AF40" i="10"/>
  <c r="AG40" i="10"/>
  <c r="AH40" i="10"/>
  <c r="AI40" i="10"/>
  <c r="AJ40" i="10"/>
  <c r="AK40" i="10"/>
  <c r="AL40" i="10"/>
  <c r="AM40" i="10"/>
  <c r="AN40" i="10"/>
  <c r="AO40" i="10"/>
  <c r="C41" i="10"/>
  <c r="D41" i="10"/>
  <c r="E41" i="10"/>
  <c r="F41" i="10"/>
  <c r="G41" i="10"/>
  <c r="H41" i="10"/>
  <c r="I41" i="10"/>
  <c r="J41" i="10"/>
  <c r="K41" i="10"/>
  <c r="L41" i="10"/>
  <c r="M41" i="10"/>
  <c r="N41" i="10"/>
  <c r="O41" i="10"/>
  <c r="P41" i="10"/>
  <c r="Q41" i="10"/>
  <c r="R41" i="10"/>
  <c r="S41" i="10"/>
  <c r="T41" i="10"/>
  <c r="U41" i="10"/>
  <c r="V41" i="10"/>
  <c r="W41" i="10"/>
  <c r="X41" i="10"/>
  <c r="Y41" i="10"/>
  <c r="Z41" i="10"/>
  <c r="AA41" i="10"/>
  <c r="AB41" i="10"/>
  <c r="AC41" i="10"/>
  <c r="AD41" i="10"/>
  <c r="AE41" i="10"/>
  <c r="AF41" i="10"/>
  <c r="AG41" i="10"/>
  <c r="AH41" i="10"/>
  <c r="AI41" i="10"/>
  <c r="AJ41" i="10"/>
  <c r="AK41" i="10"/>
  <c r="AL41" i="10"/>
  <c r="AM41" i="10"/>
  <c r="AN41" i="10"/>
  <c r="AO41" i="10"/>
  <c r="C42" i="10"/>
  <c r="D42" i="10"/>
  <c r="E42" i="10"/>
  <c r="F42" i="10"/>
  <c r="G42" i="10"/>
  <c r="H42" i="10"/>
  <c r="I42" i="10"/>
  <c r="J42" i="10"/>
  <c r="K42" i="10"/>
  <c r="L42" i="10"/>
  <c r="M42" i="10"/>
  <c r="N42" i="10"/>
  <c r="O42" i="10"/>
  <c r="P42" i="10"/>
  <c r="Q42" i="10"/>
  <c r="R42" i="10"/>
  <c r="S42" i="10"/>
  <c r="T42" i="10"/>
  <c r="U42" i="10"/>
  <c r="V42" i="10"/>
  <c r="W42" i="10"/>
  <c r="X42" i="10"/>
  <c r="Y42" i="10"/>
  <c r="Z42" i="10"/>
  <c r="AA42" i="10"/>
  <c r="AB42" i="10"/>
  <c r="AC42" i="10"/>
  <c r="AD42" i="10"/>
  <c r="AE42" i="10"/>
  <c r="AF42" i="10"/>
  <c r="AG42" i="10"/>
  <c r="AH42" i="10"/>
  <c r="AI42" i="10"/>
  <c r="AJ42" i="10"/>
  <c r="AK42" i="10"/>
  <c r="AL42" i="10"/>
  <c r="AM42" i="10"/>
  <c r="AN42" i="10"/>
  <c r="AO42" i="10"/>
  <c r="C43" i="10"/>
  <c r="D43" i="10"/>
  <c r="E43" i="10"/>
  <c r="F43" i="10"/>
  <c r="G43" i="10"/>
  <c r="H43" i="10"/>
  <c r="I43" i="10"/>
  <c r="J43" i="10"/>
  <c r="K43" i="10"/>
  <c r="L43" i="10"/>
  <c r="M43" i="10"/>
  <c r="N43" i="10"/>
  <c r="O43" i="10"/>
  <c r="P43" i="10"/>
  <c r="Q43" i="10"/>
  <c r="R43" i="10"/>
  <c r="S43" i="10"/>
  <c r="T43" i="10"/>
  <c r="U43" i="10"/>
  <c r="V43" i="10"/>
  <c r="W43" i="10"/>
  <c r="X43" i="10"/>
  <c r="Y43" i="10"/>
  <c r="Z43" i="10"/>
  <c r="AA43" i="10"/>
  <c r="AB43" i="10"/>
  <c r="AC43" i="10"/>
  <c r="AD43" i="10"/>
  <c r="AE43" i="10"/>
  <c r="AF43" i="10"/>
  <c r="AG43" i="10"/>
  <c r="AH43" i="10"/>
  <c r="AI43" i="10"/>
  <c r="AJ43" i="10"/>
  <c r="AK43" i="10"/>
  <c r="AL43" i="10"/>
  <c r="AM43" i="10"/>
  <c r="AN43" i="10"/>
  <c r="AO43" i="10"/>
  <c r="C44" i="10"/>
  <c r="D44" i="10"/>
  <c r="E44" i="10"/>
  <c r="F44" i="10"/>
  <c r="G44" i="10"/>
  <c r="H44" i="10"/>
  <c r="I44" i="10"/>
  <c r="J44" i="10"/>
  <c r="K44" i="10"/>
  <c r="L44" i="10"/>
  <c r="M44" i="10"/>
  <c r="N44" i="10"/>
  <c r="O44" i="10"/>
  <c r="P44" i="10"/>
  <c r="Q44" i="10"/>
  <c r="R44" i="10"/>
  <c r="S44" i="10"/>
  <c r="T44" i="10"/>
  <c r="U44" i="10"/>
  <c r="V44" i="10"/>
  <c r="W44" i="10"/>
  <c r="X44" i="10"/>
  <c r="Y44" i="10"/>
  <c r="Z44" i="10"/>
  <c r="AA44" i="10"/>
  <c r="AB44" i="10"/>
  <c r="AC44" i="10"/>
  <c r="AD44" i="10"/>
  <c r="AE44" i="10"/>
  <c r="AF44" i="10"/>
  <c r="AG44" i="10"/>
  <c r="AH44" i="10"/>
  <c r="AI44" i="10"/>
  <c r="AJ44" i="10"/>
  <c r="AK44" i="10"/>
  <c r="AL44" i="10"/>
  <c r="AM44" i="10"/>
  <c r="AN44" i="10"/>
  <c r="AO44" i="10"/>
  <c r="C45" i="10"/>
  <c r="D45" i="10"/>
  <c r="E45" i="10"/>
  <c r="F45" i="10"/>
  <c r="G45" i="10"/>
  <c r="H45" i="10"/>
  <c r="I45" i="10"/>
  <c r="J45" i="10"/>
  <c r="K45" i="10"/>
  <c r="L45" i="10"/>
  <c r="M45" i="10"/>
  <c r="N45" i="10"/>
  <c r="O45" i="10"/>
  <c r="P45" i="10"/>
  <c r="Q45" i="10"/>
  <c r="R45" i="10"/>
  <c r="S45" i="10"/>
  <c r="T45" i="10"/>
  <c r="U45" i="10"/>
  <c r="V45" i="10"/>
  <c r="W45" i="10"/>
  <c r="X45" i="10"/>
  <c r="Y45" i="10"/>
  <c r="Z45" i="10"/>
  <c r="AA45" i="10"/>
  <c r="AB45" i="10"/>
  <c r="AC45" i="10"/>
  <c r="AD45" i="10"/>
  <c r="AE45" i="10"/>
  <c r="AF45" i="10"/>
  <c r="AG45" i="10"/>
  <c r="AH45" i="10"/>
  <c r="AI45" i="10"/>
  <c r="AJ45" i="10"/>
  <c r="AK45" i="10"/>
  <c r="AL45" i="10"/>
  <c r="AM45" i="10"/>
  <c r="AN45" i="10"/>
  <c r="AO45" i="10"/>
  <c r="C46" i="10"/>
  <c r="D46" i="10"/>
  <c r="E46" i="10"/>
  <c r="F46" i="10"/>
  <c r="G46" i="10"/>
  <c r="H46" i="10"/>
  <c r="I46" i="10"/>
  <c r="J46" i="10"/>
  <c r="K46" i="10"/>
  <c r="L46" i="10"/>
  <c r="M46" i="10"/>
  <c r="N46" i="10"/>
  <c r="O46" i="10"/>
  <c r="P46" i="10"/>
  <c r="Q46" i="10"/>
  <c r="R46" i="10"/>
  <c r="S46" i="10"/>
  <c r="T46" i="10"/>
  <c r="U46" i="10"/>
  <c r="V46" i="10"/>
  <c r="W46" i="10"/>
  <c r="X46" i="10"/>
  <c r="Y46" i="10"/>
  <c r="Z46" i="10"/>
  <c r="AA46" i="10"/>
  <c r="AB46" i="10"/>
  <c r="AC46" i="10"/>
  <c r="AD46" i="10"/>
  <c r="AE46" i="10"/>
  <c r="AF46" i="10"/>
  <c r="AG46" i="10"/>
  <c r="AH46" i="10"/>
  <c r="AI46" i="10"/>
  <c r="AJ46" i="10"/>
  <c r="AK46" i="10"/>
  <c r="AL46" i="10"/>
  <c r="AM46" i="10"/>
  <c r="AN46" i="10"/>
  <c r="AO46" i="10"/>
  <c r="C47" i="10"/>
  <c r="D47" i="10"/>
  <c r="E47" i="10"/>
  <c r="F47" i="10"/>
  <c r="G47" i="10"/>
  <c r="H47" i="10"/>
  <c r="I47" i="10"/>
  <c r="J47" i="10"/>
  <c r="K47" i="10"/>
  <c r="L47" i="10"/>
  <c r="M47" i="10"/>
  <c r="N47" i="10"/>
  <c r="O47" i="10"/>
  <c r="P47" i="10"/>
  <c r="Q47" i="10"/>
  <c r="R47" i="10"/>
  <c r="S47" i="10"/>
  <c r="T47" i="10"/>
  <c r="U47" i="10"/>
  <c r="V47" i="10"/>
  <c r="W47" i="10"/>
  <c r="X47" i="10"/>
  <c r="Y47" i="10"/>
  <c r="Z47" i="10"/>
  <c r="AA47" i="10"/>
  <c r="AB47" i="10"/>
  <c r="AC47" i="10"/>
  <c r="AD47" i="10"/>
  <c r="AE47" i="10"/>
  <c r="AF47" i="10"/>
  <c r="AG47" i="10"/>
  <c r="AH47" i="10"/>
  <c r="AI47" i="10"/>
  <c r="AJ47" i="10"/>
  <c r="AK47" i="10"/>
  <c r="AL47" i="10"/>
  <c r="AM47" i="10"/>
  <c r="AN47" i="10"/>
  <c r="AO47" i="10"/>
  <c r="C48" i="10"/>
  <c r="D48" i="10"/>
  <c r="E48" i="10"/>
  <c r="F48" i="10"/>
  <c r="G48" i="10"/>
  <c r="H48" i="10"/>
  <c r="I48" i="10"/>
  <c r="J48" i="10"/>
  <c r="K48" i="10"/>
  <c r="L48" i="10"/>
  <c r="M48" i="10"/>
  <c r="N48" i="10"/>
  <c r="O48" i="10"/>
  <c r="P48" i="10"/>
  <c r="Q48" i="10"/>
  <c r="R48" i="10"/>
  <c r="S48" i="10"/>
  <c r="T48" i="10"/>
  <c r="U48" i="10"/>
  <c r="V48" i="10"/>
  <c r="W48" i="10"/>
  <c r="X48" i="10"/>
  <c r="Y48" i="10"/>
  <c r="Z48" i="10"/>
  <c r="AA48" i="10"/>
  <c r="AB48" i="10"/>
  <c r="AC48" i="10"/>
  <c r="AD48" i="10"/>
  <c r="AE48" i="10"/>
  <c r="AF48" i="10"/>
  <c r="AG48" i="10"/>
  <c r="AH48" i="10"/>
  <c r="AI48" i="10"/>
  <c r="AJ48" i="10"/>
  <c r="AK48" i="10"/>
  <c r="AL48" i="10"/>
  <c r="AM48" i="10"/>
  <c r="AN48" i="10"/>
  <c r="AO48" i="10"/>
  <c r="C49" i="10"/>
  <c r="D49" i="10"/>
  <c r="E49" i="10"/>
  <c r="F49" i="10"/>
  <c r="G49" i="10"/>
  <c r="H49" i="10"/>
  <c r="I49" i="10"/>
  <c r="J49" i="10"/>
  <c r="K49" i="10"/>
  <c r="L49" i="10"/>
  <c r="M49" i="10"/>
  <c r="N49" i="10"/>
  <c r="O49" i="10"/>
  <c r="P49" i="10"/>
  <c r="Q49" i="10"/>
  <c r="R49" i="10"/>
  <c r="S49" i="10"/>
  <c r="T49" i="10"/>
  <c r="U49" i="10"/>
  <c r="V49" i="10"/>
  <c r="W49" i="10"/>
  <c r="X49" i="10"/>
  <c r="Y49" i="10"/>
  <c r="Z49" i="10"/>
  <c r="AA49" i="10"/>
  <c r="AB49" i="10"/>
  <c r="AC49" i="10"/>
  <c r="AD49" i="10"/>
  <c r="AE49" i="10"/>
  <c r="AF49" i="10"/>
  <c r="AG49" i="10"/>
  <c r="AH49" i="10"/>
  <c r="AI49" i="10"/>
  <c r="AJ49" i="10"/>
  <c r="AK49" i="10"/>
  <c r="AL49" i="10"/>
  <c r="AM49" i="10"/>
  <c r="AN49" i="10"/>
  <c r="AO49" i="10"/>
  <c r="C52" i="10"/>
  <c r="D52" i="10"/>
  <c r="E52" i="10"/>
  <c r="F52" i="10"/>
  <c r="G52" i="10"/>
  <c r="H52" i="10"/>
  <c r="I52" i="10"/>
  <c r="J52" i="10"/>
  <c r="K52" i="10"/>
  <c r="L52" i="10"/>
  <c r="M52" i="10"/>
  <c r="N52" i="10"/>
  <c r="O52" i="10"/>
  <c r="P52" i="10"/>
  <c r="Q52" i="10"/>
  <c r="R52" i="10"/>
  <c r="S52" i="10"/>
  <c r="T52" i="10"/>
  <c r="U52" i="10"/>
  <c r="V52" i="10"/>
  <c r="W52" i="10"/>
  <c r="X52" i="10"/>
  <c r="Y52" i="10"/>
  <c r="Z52" i="10"/>
  <c r="AA52" i="10"/>
  <c r="AB52" i="10"/>
  <c r="AC52" i="10"/>
  <c r="AD52" i="10"/>
  <c r="AE52" i="10"/>
  <c r="AF52" i="10"/>
  <c r="AG52" i="10"/>
  <c r="AH52" i="10"/>
  <c r="AI52" i="10"/>
  <c r="AJ52" i="10"/>
  <c r="AK52" i="10"/>
  <c r="AL52" i="10"/>
  <c r="AM52" i="10"/>
  <c r="AN52" i="10"/>
  <c r="AO52" i="10"/>
  <c r="C53" i="10"/>
  <c r="D53" i="10"/>
  <c r="E53" i="10"/>
  <c r="F53" i="10"/>
  <c r="G53" i="10"/>
  <c r="H53" i="10"/>
  <c r="I53" i="10"/>
  <c r="J53" i="10"/>
  <c r="K53" i="10"/>
  <c r="L53" i="10"/>
  <c r="M53" i="10"/>
  <c r="N53" i="10"/>
  <c r="O53" i="10"/>
  <c r="P53" i="10"/>
  <c r="Q53" i="10"/>
  <c r="R53" i="10"/>
  <c r="S53" i="10"/>
  <c r="T53" i="10"/>
  <c r="U53" i="10"/>
  <c r="V53" i="10"/>
  <c r="W53" i="10"/>
  <c r="X53" i="10"/>
  <c r="Y53" i="10"/>
  <c r="Z53" i="10"/>
  <c r="AA53" i="10"/>
  <c r="AB53" i="10"/>
  <c r="AC53" i="10"/>
  <c r="AD53" i="10"/>
  <c r="AE53" i="10"/>
  <c r="AF53" i="10"/>
  <c r="AG53" i="10"/>
  <c r="AH53" i="10"/>
  <c r="AI53" i="10"/>
  <c r="AJ53" i="10"/>
  <c r="AK53" i="10"/>
  <c r="AL53" i="10"/>
  <c r="AM53" i="10"/>
  <c r="AN53" i="10"/>
  <c r="AO53" i="10"/>
  <c r="C54" i="10"/>
  <c r="D54" i="10"/>
  <c r="E54" i="10"/>
  <c r="F54" i="10"/>
  <c r="G54" i="10"/>
  <c r="H54" i="10"/>
  <c r="I54" i="10"/>
  <c r="J54" i="10"/>
  <c r="K54" i="10"/>
  <c r="L54" i="10"/>
  <c r="M54" i="10"/>
  <c r="N54" i="10"/>
  <c r="O54" i="10"/>
  <c r="P54" i="10"/>
  <c r="Q54" i="10"/>
  <c r="R54" i="10"/>
  <c r="S54" i="10"/>
  <c r="T54" i="10"/>
  <c r="U54" i="10"/>
  <c r="V54" i="10"/>
  <c r="W54" i="10"/>
  <c r="X54" i="10"/>
  <c r="Y54" i="10"/>
  <c r="Z54" i="10"/>
  <c r="AA54" i="10"/>
  <c r="AB54" i="10"/>
  <c r="AC54" i="10"/>
  <c r="AD54" i="10"/>
  <c r="AE54" i="10"/>
  <c r="AF54" i="10"/>
  <c r="AG54" i="10"/>
  <c r="AH54" i="10"/>
  <c r="AI54" i="10"/>
  <c r="AJ54" i="10"/>
  <c r="AK54" i="10"/>
  <c r="AL54" i="10"/>
  <c r="AM54" i="10"/>
  <c r="AN54" i="10"/>
  <c r="AO54" i="10"/>
  <c r="C55" i="10"/>
  <c r="D55" i="10"/>
  <c r="E55" i="10"/>
  <c r="F55" i="10"/>
  <c r="G55" i="10"/>
  <c r="H55" i="10"/>
  <c r="I55" i="10"/>
  <c r="J55" i="10"/>
  <c r="K55" i="10"/>
  <c r="L55" i="10"/>
  <c r="M55" i="10"/>
  <c r="N55" i="10"/>
  <c r="O55" i="10"/>
  <c r="P55" i="10"/>
  <c r="Q55" i="10"/>
  <c r="R55" i="10"/>
  <c r="S55" i="10"/>
  <c r="T55" i="10"/>
  <c r="U55" i="10"/>
  <c r="V55" i="10"/>
  <c r="W55" i="10"/>
  <c r="X55" i="10"/>
  <c r="Y55" i="10"/>
  <c r="Z55" i="10"/>
  <c r="AA55" i="10"/>
  <c r="AB55" i="10"/>
  <c r="AC55" i="10"/>
  <c r="AD55" i="10"/>
  <c r="AE55" i="10"/>
  <c r="AF55" i="10"/>
  <c r="AG55" i="10"/>
  <c r="AH55" i="10"/>
  <c r="AI55" i="10"/>
  <c r="AJ55" i="10"/>
  <c r="AK55" i="10"/>
  <c r="AL55" i="10"/>
  <c r="AM55" i="10"/>
  <c r="AN55" i="10"/>
  <c r="AO55" i="10"/>
  <c r="C56" i="10"/>
  <c r="D56" i="10"/>
  <c r="E56" i="10"/>
  <c r="F56" i="10"/>
  <c r="G56" i="10"/>
  <c r="H56" i="10"/>
  <c r="I56" i="10"/>
  <c r="J56" i="10"/>
  <c r="K56" i="10"/>
  <c r="L56" i="10"/>
  <c r="M56" i="10"/>
  <c r="N56" i="10"/>
  <c r="O56" i="10"/>
  <c r="P56" i="10"/>
  <c r="Q56" i="10"/>
  <c r="R56" i="10"/>
  <c r="S56" i="10"/>
  <c r="T56" i="10"/>
  <c r="U56" i="10"/>
  <c r="V56" i="10"/>
  <c r="W56" i="10"/>
  <c r="X56" i="10"/>
  <c r="Y56" i="10"/>
  <c r="Z56" i="10"/>
  <c r="AA56" i="10"/>
  <c r="AB56" i="10"/>
  <c r="AC56" i="10"/>
  <c r="AD56" i="10"/>
  <c r="AE56" i="10"/>
  <c r="AF56" i="10"/>
  <c r="AG56" i="10"/>
  <c r="AH56" i="10"/>
  <c r="AI56" i="10"/>
  <c r="AJ56" i="10"/>
  <c r="AK56" i="10"/>
  <c r="AL56" i="10"/>
  <c r="AM56" i="10"/>
  <c r="AN56" i="10"/>
  <c r="AO56" i="10"/>
  <c r="C57" i="10"/>
  <c r="D57" i="10"/>
  <c r="E57" i="10"/>
  <c r="F57" i="10"/>
  <c r="G57" i="10"/>
  <c r="H57" i="10"/>
  <c r="I57" i="10"/>
  <c r="J57" i="10"/>
  <c r="K57" i="10"/>
  <c r="L57" i="10"/>
  <c r="M57" i="10"/>
  <c r="N57" i="10"/>
  <c r="O57" i="10"/>
  <c r="P57" i="10"/>
  <c r="Q57" i="10"/>
  <c r="R57" i="10"/>
  <c r="S57" i="10"/>
  <c r="T57" i="10"/>
  <c r="U57" i="10"/>
  <c r="V57" i="10"/>
  <c r="W57" i="10"/>
  <c r="X57" i="10"/>
  <c r="Y57" i="10"/>
  <c r="Z57" i="10"/>
  <c r="AA57" i="10"/>
  <c r="AB57" i="10"/>
  <c r="AC57" i="10"/>
  <c r="AD57" i="10"/>
  <c r="AE57" i="10"/>
  <c r="AF57" i="10"/>
  <c r="AG57" i="10"/>
  <c r="AH57" i="10"/>
  <c r="AI57" i="10"/>
  <c r="AJ57" i="10"/>
  <c r="AK57" i="10"/>
  <c r="AL57" i="10"/>
  <c r="AM57" i="10"/>
  <c r="AN57" i="10"/>
  <c r="AO57" i="10"/>
  <c r="C58" i="10"/>
  <c r="D58" i="10"/>
  <c r="E58" i="10"/>
  <c r="F58" i="10"/>
  <c r="G58" i="10"/>
  <c r="H58" i="10"/>
  <c r="I58" i="10"/>
  <c r="J58" i="10"/>
  <c r="K58" i="10"/>
  <c r="L58" i="10"/>
  <c r="M58" i="10"/>
  <c r="N58" i="10"/>
  <c r="O58" i="10"/>
  <c r="P58" i="10"/>
  <c r="Q58" i="10"/>
  <c r="R58" i="10"/>
  <c r="S58" i="10"/>
  <c r="T58" i="10"/>
  <c r="U58" i="10"/>
  <c r="V58" i="10"/>
  <c r="W58" i="10"/>
  <c r="X58" i="10"/>
  <c r="Y58" i="10"/>
  <c r="Z58" i="10"/>
  <c r="AA58" i="10"/>
  <c r="AB58" i="10"/>
  <c r="AC58" i="10"/>
  <c r="AD58" i="10"/>
  <c r="AE58" i="10"/>
  <c r="AF58" i="10"/>
  <c r="AG58" i="10"/>
  <c r="AH58" i="10"/>
  <c r="AI58" i="10"/>
  <c r="AJ58" i="10"/>
  <c r="AK58" i="10"/>
  <c r="AL58" i="10"/>
  <c r="AM58" i="10"/>
  <c r="AN58" i="10"/>
  <c r="AO58" i="10"/>
  <c r="C59" i="10"/>
  <c r="D59" i="10"/>
  <c r="E59" i="10"/>
  <c r="F59" i="10"/>
  <c r="G59" i="10"/>
  <c r="H59" i="10"/>
  <c r="I59" i="10"/>
  <c r="J59" i="10"/>
  <c r="K59" i="10"/>
  <c r="L59" i="10"/>
  <c r="M59" i="10"/>
  <c r="N59" i="10"/>
  <c r="O59" i="10"/>
  <c r="P59" i="10"/>
  <c r="Q59" i="10"/>
  <c r="R59" i="10"/>
  <c r="S59" i="10"/>
  <c r="T59" i="10"/>
  <c r="U59" i="10"/>
  <c r="V59" i="10"/>
  <c r="W59" i="10"/>
  <c r="X59" i="10"/>
  <c r="Y59" i="10"/>
  <c r="Z59" i="10"/>
  <c r="AA59" i="10"/>
  <c r="AB59" i="10"/>
  <c r="AC59" i="10"/>
  <c r="AD59" i="10"/>
  <c r="AE59" i="10"/>
  <c r="AF59" i="10"/>
  <c r="AG59" i="10"/>
  <c r="AH59" i="10"/>
  <c r="AI59" i="10"/>
  <c r="AJ59" i="10"/>
  <c r="AK59" i="10"/>
  <c r="AL59" i="10"/>
  <c r="AM59" i="10"/>
  <c r="AN59" i="10"/>
  <c r="AO59" i="10"/>
  <c r="C60" i="10"/>
  <c r="D60" i="10"/>
  <c r="E60" i="10"/>
  <c r="F60" i="10"/>
  <c r="G60" i="10"/>
  <c r="H60" i="10"/>
  <c r="I60" i="10"/>
  <c r="J60" i="10"/>
  <c r="K60" i="10"/>
  <c r="L60" i="10"/>
  <c r="M60" i="10"/>
  <c r="N60" i="10"/>
  <c r="O60" i="10"/>
  <c r="P60" i="10"/>
  <c r="Q60" i="10"/>
  <c r="R60" i="10"/>
  <c r="S60" i="10"/>
  <c r="T60" i="10"/>
  <c r="U60" i="10"/>
  <c r="V60" i="10"/>
  <c r="W60" i="10"/>
  <c r="X60" i="10"/>
  <c r="Y60" i="10"/>
  <c r="Z60" i="10"/>
  <c r="AA60" i="10"/>
  <c r="AB60" i="10"/>
  <c r="AC60" i="10"/>
  <c r="AD60" i="10"/>
  <c r="AE60" i="10"/>
  <c r="AF60" i="10"/>
  <c r="AG60" i="10"/>
  <c r="AH60" i="10"/>
  <c r="AI60" i="10"/>
  <c r="AJ60" i="10"/>
  <c r="AK60" i="10"/>
  <c r="AL60" i="10"/>
  <c r="AM60" i="10"/>
  <c r="AN60" i="10"/>
  <c r="AO60" i="10"/>
  <c r="C61" i="10"/>
  <c r="D61" i="10"/>
  <c r="E61" i="10"/>
  <c r="F61" i="10"/>
  <c r="G61" i="10"/>
  <c r="H61" i="10"/>
  <c r="I61" i="10"/>
  <c r="J61" i="10"/>
  <c r="K61" i="10"/>
  <c r="L61" i="10"/>
  <c r="M61" i="10"/>
  <c r="N61" i="10"/>
  <c r="O61" i="10"/>
  <c r="P61" i="10"/>
  <c r="Q61" i="10"/>
  <c r="R61" i="10"/>
  <c r="S61" i="10"/>
  <c r="T61" i="10"/>
  <c r="U61" i="10"/>
  <c r="V61" i="10"/>
  <c r="W61" i="10"/>
  <c r="X61" i="10"/>
  <c r="Y61" i="10"/>
  <c r="Z61" i="10"/>
  <c r="AA61" i="10"/>
  <c r="AB61" i="10"/>
  <c r="AC61" i="10"/>
  <c r="AD61" i="10"/>
  <c r="AE61" i="10"/>
  <c r="AF61" i="10"/>
  <c r="AG61" i="10"/>
  <c r="AH61" i="10"/>
  <c r="AI61" i="10"/>
  <c r="AJ61" i="10"/>
  <c r="AK61" i="10"/>
  <c r="AL61" i="10"/>
  <c r="AM61" i="10"/>
  <c r="AN61" i="10"/>
  <c r="AO61" i="10"/>
  <c r="B5" i="10"/>
  <c r="B6" i="10"/>
  <c r="B7" i="10"/>
  <c r="B8" i="10"/>
  <c r="B9" i="10"/>
  <c r="B10" i="10"/>
  <c r="B11" i="10"/>
  <c r="B12" i="10"/>
  <c r="B13" i="10"/>
  <c r="B14" i="10"/>
  <c r="B15" i="10"/>
  <c r="B16" i="10"/>
  <c r="B17" i="10"/>
  <c r="B18" i="10"/>
  <c r="B19" i="10"/>
  <c r="B20" i="10"/>
  <c r="B23" i="10"/>
  <c r="B24" i="10"/>
  <c r="B25" i="10"/>
  <c r="B26" i="10"/>
  <c r="B27" i="10"/>
  <c r="B28" i="10"/>
  <c r="B29" i="10"/>
  <c r="B30" i="10"/>
  <c r="B31" i="10"/>
  <c r="B32" i="10"/>
  <c r="B33" i="10"/>
  <c r="B34" i="10"/>
  <c r="B35" i="10"/>
  <c r="B38" i="10"/>
  <c r="B39" i="10"/>
  <c r="B40" i="10"/>
  <c r="B41" i="10"/>
  <c r="B42" i="10"/>
  <c r="B43" i="10"/>
  <c r="B44" i="10"/>
  <c r="B45" i="10"/>
  <c r="B46" i="10"/>
  <c r="B47" i="10"/>
  <c r="B48" i="10"/>
  <c r="B49" i="10"/>
  <c r="B52" i="10"/>
  <c r="B53" i="10"/>
  <c r="B54" i="10"/>
  <c r="B55" i="10"/>
  <c r="B56" i="10"/>
  <c r="B57" i="10"/>
  <c r="B58" i="10"/>
  <c r="B59" i="10"/>
  <c r="B60" i="10"/>
  <c r="B61" i="10"/>
  <c r="BY7" i="7"/>
  <c r="BZ7" i="7"/>
  <c r="CB7" i="7"/>
  <c r="CC7" i="7"/>
  <c r="CD7" i="7"/>
  <c r="BY8" i="7"/>
  <c r="BZ8" i="7"/>
  <c r="CB8" i="7"/>
  <c r="CC8" i="7"/>
  <c r="CD8" i="7"/>
  <c r="BY9" i="7"/>
  <c r="BZ9" i="7"/>
  <c r="CB9" i="7"/>
  <c r="CC9" i="7"/>
  <c r="CD9" i="7"/>
  <c r="BY10" i="7"/>
  <c r="BZ10" i="7"/>
  <c r="CB10" i="7"/>
  <c r="CC10" i="7"/>
  <c r="CD10" i="7"/>
  <c r="BY11" i="7"/>
  <c r="BZ11" i="7"/>
  <c r="CB11" i="7"/>
  <c r="CC11" i="7"/>
  <c r="CD11" i="7"/>
  <c r="BY12" i="7"/>
  <c r="BZ12" i="7"/>
  <c r="CB12" i="7"/>
  <c r="CC12" i="7"/>
  <c r="CD12" i="7"/>
  <c r="BY13" i="7"/>
  <c r="BZ13" i="7"/>
  <c r="CB13" i="7"/>
  <c r="CC13" i="7"/>
  <c r="CD13" i="7"/>
  <c r="BY14" i="7"/>
  <c r="BZ14" i="7"/>
  <c r="CB14" i="7"/>
  <c r="CC14" i="7"/>
  <c r="CD14" i="7"/>
  <c r="BY15" i="7"/>
  <c r="BZ15" i="7"/>
  <c r="CB15" i="7"/>
  <c r="CC15" i="7"/>
  <c r="CD15" i="7"/>
  <c r="BY16" i="7"/>
  <c r="BZ16" i="7"/>
  <c r="CB16" i="7"/>
  <c r="CC16" i="7"/>
  <c r="CD16" i="7"/>
  <c r="BY17" i="7"/>
  <c r="BZ17" i="7"/>
  <c r="CB17" i="7"/>
  <c r="CC17" i="7"/>
  <c r="CD17" i="7"/>
  <c r="BY18" i="7"/>
  <c r="BZ18" i="7"/>
  <c r="CB18" i="7"/>
  <c r="CC18" i="7"/>
  <c r="CD18" i="7"/>
  <c r="BY19" i="7"/>
  <c r="BZ19" i="7"/>
  <c r="CB19" i="7"/>
  <c r="CC19" i="7"/>
  <c r="CD19" i="7"/>
  <c r="BY20" i="7"/>
  <c r="BZ20" i="7"/>
  <c r="CB20" i="7"/>
  <c r="CC20" i="7"/>
  <c r="CD20" i="7"/>
  <c r="BY21" i="7"/>
  <c r="BZ21" i="7"/>
  <c r="CB21" i="7"/>
  <c r="CC21" i="7"/>
  <c r="CD21" i="7"/>
  <c r="BY22" i="7"/>
  <c r="BZ22" i="7"/>
  <c r="CB22" i="7"/>
  <c r="CC22" i="7"/>
  <c r="CD22" i="7"/>
  <c r="BY25" i="7"/>
  <c r="BZ25" i="7"/>
  <c r="CB25" i="7"/>
  <c r="CC25" i="7"/>
  <c r="CD25" i="7"/>
  <c r="BY26" i="7"/>
  <c r="BZ26" i="7"/>
  <c r="CB26" i="7"/>
  <c r="CC26" i="7"/>
  <c r="CD26" i="7"/>
  <c r="BY27" i="7"/>
  <c r="BZ27" i="7"/>
  <c r="CB27" i="7"/>
  <c r="CC27" i="7"/>
  <c r="CD27" i="7"/>
  <c r="BY28" i="7"/>
  <c r="BZ28" i="7"/>
  <c r="CB28" i="7"/>
  <c r="CC28" i="7"/>
  <c r="CD28" i="7"/>
  <c r="BY29" i="7"/>
  <c r="BZ29" i="7"/>
  <c r="CB29" i="7"/>
  <c r="CC29" i="7"/>
  <c r="CD29" i="7"/>
  <c r="BY30" i="7"/>
  <c r="BZ30" i="7"/>
  <c r="CB30" i="7"/>
  <c r="CC30" i="7"/>
  <c r="CD30" i="7"/>
  <c r="BY31" i="7"/>
  <c r="BZ31" i="7"/>
  <c r="CB31" i="7"/>
  <c r="CC31" i="7"/>
  <c r="CD31" i="7"/>
  <c r="BY32" i="7"/>
  <c r="BZ32" i="7"/>
  <c r="CB32" i="7"/>
  <c r="CC32" i="7"/>
  <c r="CD32" i="7"/>
  <c r="BY33" i="7"/>
  <c r="BZ33" i="7"/>
  <c r="CB33" i="7"/>
  <c r="CC33" i="7"/>
  <c r="CD33" i="7"/>
  <c r="BY34" i="7"/>
  <c r="BZ34" i="7"/>
  <c r="CB34" i="7"/>
  <c r="CC34" i="7"/>
  <c r="CD34" i="7"/>
  <c r="BY35" i="7"/>
  <c r="BZ35" i="7"/>
  <c r="CB35" i="7"/>
  <c r="CC35" i="7"/>
  <c r="CD35" i="7"/>
  <c r="BY36" i="7"/>
  <c r="BZ36" i="7"/>
  <c r="CB36" i="7"/>
  <c r="CC36" i="7"/>
  <c r="CD36" i="7"/>
  <c r="BY37" i="7"/>
  <c r="BZ37" i="7"/>
  <c r="CB37" i="7"/>
  <c r="CC37" i="7"/>
  <c r="CD37" i="7"/>
  <c r="BY40" i="7"/>
  <c r="BZ40" i="7"/>
  <c r="CB40" i="7"/>
  <c r="CC40" i="7"/>
  <c r="CD40" i="7"/>
  <c r="BY41" i="7"/>
  <c r="BZ41" i="7"/>
  <c r="CB41" i="7"/>
  <c r="CC41" i="7"/>
  <c r="CD41" i="7"/>
  <c r="BY42" i="7"/>
  <c r="BZ42" i="7"/>
  <c r="CB42" i="7"/>
  <c r="CC42" i="7"/>
  <c r="CD42" i="7"/>
  <c r="BY43" i="7"/>
  <c r="BZ43" i="7"/>
  <c r="CB43" i="7"/>
  <c r="CC43" i="7"/>
  <c r="CD43" i="7"/>
  <c r="BY44" i="7"/>
  <c r="BZ44" i="7"/>
  <c r="CB44" i="7"/>
  <c r="CC44" i="7"/>
  <c r="CD44" i="7"/>
  <c r="BY45" i="7"/>
  <c r="BZ45" i="7"/>
  <c r="CB45" i="7"/>
  <c r="CC45" i="7"/>
  <c r="CD45" i="7"/>
  <c r="BY46" i="7"/>
  <c r="BZ46" i="7"/>
  <c r="CB46" i="7"/>
  <c r="CC46" i="7"/>
  <c r="CD46" i="7"/>
  <c r="BY47" i="7"/>
  <c r="BZ47" i="7"/>
  <c r="CB47" i="7"/>
  <c r="CC47" i="7"/>
  <c r="CD47" i="7"/>
  <c r="BY48" i="7"/>
  <c r="BZ48" i="7"/>
  <c r="CB48" i="7"/>
  <c r="CC48" i="7"/>
  <c r="CD48" i="7"/>
  <c r="BY49" i="7"/>
  <c r="BZ49" i="7"/>
  <c r="CB49" i="7"/>
  <c r="CC49" i="7"/>
  <c r="CD49" i="7"/>
  <c r="BY50" i="7"/>
  <c r="BZ50" i="7"/>
  <c r="CB50" i="7"/>
  <c r="CC50" i="7"/>
  <c r="CD50" i="7"/>
  <c r="BY51" i="7"/>
  <c r="BZ51" i="7"/>
  <c r="CB51" i="7"/>
  <c r="CC51" i="7"/>
  <c r="CD51" i="7"/>
  <c r="BY54" i="7"/>
  <c r="BZ54" i="7"/>
  <c r="CB54" i="7"/>
  <c r="CC54" i="7"/>
  <c r="CD54" i="7"/>
  <c r="BY55" i="7"/>
  <c r="BZ55" i="7"/>
  <c r="CB55" i="7"/>
  <c r="CC55" i="7"/>
  <c r="CD55" i="7"/>
  <c r="BY56" i="7"/>
  <c r="BZ56" i="7"/>
  <c r="CB56" i="7"/>
  <c r="CC56" i="7"/>
  <c r="CD56" i="7"/>
  <c r="BY57" i="7"/>
  <c r="BZ57" i="7"/>
  <c r="CB57" i="7"/>
  <c r="CC57" i="7"/>
  <c r="CD57" i="7"/>
  <c r="BY58" i="7"/>
  <c r="BZ58" i="7"/>
  <c r="CB58" i="7"/>
  <c r="CC58" i="7"/>
  <c r="CD58" i="7"/>
  <c r="BY59" i="7"/>
  <c r="BZ59" i="7"/>
  <c r="CB59" i="7"/>
  <c r="CC59" i="7"/>
  <c r="CD59" i="7"/>
  <c r="BY60" i="7"/>
  <c r="BZ60" i="7"/>
  <c r="CB60" i="7"/>
  <c r="CC60" i="7"/>
  <c r="CD60" i="7"/>
  <c r="BY61" i="7"/>
  <c r="BZ61" i="7"/>
  <c r="CB61" i="7"/>
  <c r="CC61" i="7"/>
  <c r="CD61" i="7"/>
  <c r="BY62" i="7"/>
  <c r="BZ62" i="7"/>
  <c r="CB62" i="7"/>
  <c r="CC62" i="7"/>
  <c r="CD62" i="7"/>
  <c r="BY63" i="7"/>
  <c r="BZ63" i="7"/>
  <c r="CB63" i="7"/>
  <c r="CC63" i="7"/>
  <c r="CD63" i="7"/>
  <c r="BX63" i="7"/>
  <c r="BX62" i="7"/>
  <c r="BX61" i="7"/>
  <c r="BX60" i="7"/>
  <c r="BX59" i="7"/>
  <c r="BX58" i="7"/>
  <c r="BX57" i="7"/>
  <c r="BX56" i="7"/>
  <c r="BX55" i="7"/>
  <c r="BX54" i="7"/>
  <c r="BX51" i="7"/>
  <c r="BX50" i="7"/>
  <c r="BX49" i="7"/>
  <c r="BX48" i="7"/>
  <c r="BX47" i="7"/>
  <c r="BX46" i="7"/>
  <c r="BX45" i="7"/>
  <c r="BX44" i="7"/>
  <c r="BX43" i="7"/>
  <c r="BX42" i="7"/>
  <c r="BX41" i="7"/>
  <c r="BX40" i="7"/>
  <c r="BX37" i="7"/>
  <c r="BX36" i="7"/>
  <c r="BX35" i="7"/>
  <c r="BX34" i="7"/>
  <c r="BX33" i="7"/>
  <c r="BX32" i="7"/>
  <c r="BX31" i="7"/>
  <c r="BX30" i="7"/>
  <c r="BX29" i="7"/>
  <c r="BX28" i="7"/>
  <c r="BX27" i="7"/>
  <c r="BX26" i="7"/>
  <c r="BX25" i="7"/>
  <c r="BX22" i="7"/>
  <c r="BX21" i="7"/>
  <c r="BX20" i="7"/>
  <c r="BX19" i="7"/>
  <c r="BX18" i="7"/>
  <c r="BX17" i="7"/>
  <c r="BX16" i="7"/>
  <c r="BX15" i="7"/>
  <c r="BX14" i="7"/>
  <c r="BX13" i="7"/>
  <c r="BX12" i="7"/>
  <c r="BX11" i="7"/>
  <c r="BX10" i="7"/>
  <c r="BX9" i="7"/>
  <c r="BX8" i="7"/>
  <c r="BX7" i="7"/>
  <c r="S5" i="7"/>
  <c r="T5" i="7"/>
  <c r="Q5" i="7"/>
  <c r="AT39" i="11" l="1"/>
  <c r="CE52" i="7"/>
  <c r="AP3" i="10"/>
  <c r="AT6" i="11"/>
  <c r="AP21" i="10"/>
  <c r="CE23" i="7"/>
  <c r="AP36" i="10"/>
  <c r="CE5" i="7"/>
  <c r="AT24" i="11"/>
  <c r="AP50" i="10"/>
  <c r="CE38" i="7"/>
  <c r="AT53" i="11"/>
  <c r="T4" i="11"/>
  <c r="I4" i="9"/>
  <c r="I39" i="9" s="1"/>
  <c r="Y4" i="8"/>
  <c r="Y24" i="8" s="1"/>
  <c r="BP4" i="7"/>
  <c r="AB4" i="7"/>
  <c r="CL4" i="1"/>
  <c r="AP4" i="1"/>
  <c r="AP53" i="1" s="1"/>
  <c r="T4" i="5"/>
  <c r="AR4" i="4"/>
  <c r="S4" i="7"/>
  <c r="S6" i="7" s="1"/>
  <c r="T4" i="7"/>
  <c r="T6" i="7" s="1"/>
  <c r="Q4" i="7"/>
  <c r="Q6" i="7" s="1"/>
  <c r="CL6" i="1" l="1"/>
  <c r="AR39" i="4"/>
  <c r="T6" i="5"/>
  <c r="AB53" i="7"/>
  <c r="BP24" i="7"/>
  <c r="CE4" i="7"/>
  <c r="T39" i="5"/>
  <c r="AR6" i="4"/>
  <c r="AB24" i="7"/>
  <c r="T6" i="11"/>
  <c r="CL53" i="1"/>
  <c r="AP2" i="10"/>
  <c r="AR24" i="4"/>
  <c r="AB39" i="7"/>
  <c r="T53" i="11"/>
  <c r="T39" i="11"/>
  <c r="T24" i="11"/>
  <c r="I24" i="9"/>
  <c r="I6" i="9"/>
  <c r="I53" i="9"/>
  <c r="Y39" i="8"/>
  <c r="Y6" i="8"/>
  <c r="Y53" i="8"/>
  <c r="BP6" i="7"/>
  <c r="BP39" i="7"/>
  <c r="BP53" i="7"/>
  <c r="AB6" i="7"/>
  <c r="CL24" i="1"/>
  <c r="CL39" i="1"/>
  <c r="AP6" i="1"/>
  <c r="AP24" i="1"/>
  <c r="AP39" i="1"/>
  <c r="T24" i="5"/>
  <c r="T53" i="5"/>
  <c r="AR53" i="4"/>
  <c r="R67" i="2"/>
  <c r="R66" i="2"/>
  <c r="S65" i="2"/>
  <c r="R65" i="2"/>
  <c r="R64" i="2"/>
  <c r="R63" i="2"/>
  <c r="R62" i="2"/>
  <c r="S61" i="2"/>
  <c r="R61" i="2"/>
  <c r="R60" i="2"/>
  <c r="S59" i="2"/>
  <c r="R59" i="2"/>
  <c r="R58" i="2"/>
  <c r="R55" i="2"/>
  <c r="S54" i="2"/>
  <c r="R54" i="2"/>
  <c r="R53" i="2"/>
  <c r="S52" i="2"/>
  <c r="R52" i="2"/>
  <c r="S51" i="2"/>
  <c r="R51" i="2"/>
  <c r="R50" i="2"/>
  <c r="S49" i="2"/>
  <c r="R49" i="2"/>
  <c r="R48" i="2"/>
  <c r="S47" i="2"/>
  <c r="R47" i="2"/>
  <c r="S46" i="2"/>
  <c r="R46" i="2"/>
  <c r="R45" i="2"/>
  <c r="R44" i="2"/>
  <c r="S41" i="2"/>
  <c r="R41" i="2"/>
  <c r="R40" i="2"/>
  <c r="S39" i="2"/>
  <c r="R39" i="2"/>
  <c r="S38" i="2"/>
  <c r="R38" i="2"/>
  <c r="S37" i="2"/>
  <c r="R37" i="2"/>
  <c r="S36" i="2"/>
  <c r="R36" i="2"/>
  <c r="S35" i="2"/>
  <c r="R35" i="2"/>
  <c r="S34" i="2"/>
  <c r="R34" i="2"/>
  <c r="S33" i="2"/>
  <c r="R33" i="2"/>
  <c r="S32" i="2"/>
  <c r="R32" i="2"/>
  <c r="R31" i="2"/>
  <c r="S30" i="2"/>
  <c r="R30" i="2"/>
  <c r="S29" i="2"/>
  <c r="R29" i="2"/>
  <c r="S66" i="2" l="1"/>
  <c r="S60" i="2"/>
  <c r="S62" i="2"/>
  <c r="S31" i="2"/>
  <c r="S40" i="2"/>
  <c r="S44" i="2"/>
  <c r="S45" i="2"/>
  <c r="S48" i="2"/>
  <c r="S50" i="2"/>
  <c r="S53" i="2"/>
  <c r="S55" i="2"/>
  <c r="S58" i="2"/>
  <c r="S63" i="2"/>
  <c r="S64" i="2"/>
  <c r="S67" i="2"/>
  <c r="S11" i="2" l="1"/>
  <c r="S12" i="2"/>
  <c r="S13" i="2"/>
  <c r="R11" i="2"/>
  <c r="R12" i="2"/>
  <c r="R13" i="2"/>
  <c r="AS52" i="11" l="1"/>
  <c r="AR52" i="11"/>
  <c r="AQ52" i="11"/>
  <c r="AP52" i="11"/>
  <c r="AO52" i="11"/>
  <c r="AN52" i="11"/>
  <c r="AM52" i="11"/>
  <c r="AL52" i="11"/>
  <c r="AK52" i="11"/>
  <c r="AJ52" i="11"/>
  <c r="AI52" i="11"/>
  <c r="AH52" i="11"/>
  <c r="AG52" i="11"/>
  <c r="AF52" i="11"/>
  <c r="AE52" i="11"/>
  <c r="AS38" i="11"/>
  <c r="AR38" i="11"/>
  <c r="AQ38" i="11"/>
  <c r="AP38" i="11"/>
  <c r="AO38" i="11"/>
  <c r="AN38" i="11"/>
  <c r="AM38" i="11"/>
  <c r="AL38" i="11"/>
  <c r="AK38" i="11"/>
  <c r="AJ38" i="11"/>
  <c r="AI38" i="11"/>
  <c r="AH38" i="11"/>
  <c r="AG38" i="11"/>
  <c r="AF38" i="11"/>
  <c r="AE38" i="11"/>
  <c r="AR23" i="11"/>
  <c r="AQ23" i="11"/>
  <c r="AP23" i="11"/>
  <c r="AO23" i="11"/>
  <c r="AN23" i="11"/>
  <c r="AM23" i="11"/>
  <c r="AL23" i="11"/>
  <c r="AK23" i="11"/>
  <c r="AJ23" i="11"/>
  <c r="AI23" i="11"/>
  <c r="AH23" i="11"/>
  <c r="AG23" i="11"/>
  <c r="AF23" i="11"/>
  <c r="AE23" i="11"/>
  <c r="AB52" i="11"/>
  <c r="AB38" i="11"/>
  <c r="AB23" i="11"/>
  <c r="AS5" i="11"/>
  <c r="AR5" i="11"/>
  <c r="AQ5" i="11"/>
  <c r="AP5" i="11"/>
  <c r="AO5" i="11"/>
  <c r="AN5" i="11"/>
  <c r="AM5" i="11"/>
  <c r="AL5" i="11"/>
  <c r="AK5" i="11"/>
  <c r="AJ5" i="11"/>
  <c r="AI5" i="11"/>
  <c r="AH5" i="11"/>
  <c r="AG5" i="11"/>
  <c r="AF5" i="11"/>
  <c r="AE5" i="11"/>
  <c r="AB5" i="11"/>
  <c r="S52" i="11"/>
  <c r="R52" i="11"/>
  <c r="Q52" i="11"/>
  <c r="P52" i="11"/>
  <c r="O52" i="11"/>
  <c r="N52" i="11"/>
  <c r="M52" i="11"/>
  <c r="L52" i="11"/>
  <c r="K52" i="11"/>
  <c r="J52" i="11"/>
  <c r="I52" i="11"/>
  <c r="H52" i="11"/>
  <c r="G52" i="11"/>
  <c r="F52" i="11"/>
  <c r="E52" i="11"/>
  <c r="B52" i="11"/>
  <c r="S38" i="11"/>
  <c r="R38" i="11"/>
  <c r="Q38" i="11"/>
  <c r="P38" i="11"/>
  <c r="O38" i="11"/>
  <c r="N38" i="11"/>
  <c r="M38" i="11"/>
  <c r="L38" i="11"/>
  <c r="K38" i="11"/>
  <c r="J38" i="11"/>
  <c r="I38" i="11"/>
  <c r="H38" i="11"/>
  <c r="G38" i="11"/>
  <c r="F38" i="11"/>
  <c r="E38" i="11"/>
  <c r="B38" i="11"/>
  <c r="S23" i="11"/>
  <c r="R23" i="11"/>
  <c r="Q23" i="11"/>
  <c r="P23" i="11"/>
  <c r="O23" i="11"/>
  <c r="N23" i="11"/>
  <c r="M23" i="11"/>
  <c r="L23" i="11"/>
  <c r="K23" i="11"/>
  <c r="J23" i="11"/>
  <c r="I23" i="11"/>
  <c r="H23" i="11"/>
  <c r="G23" i="11"/>
  <c r="F23" i="11"/>
  <c r="E23" i="11"/>
  <c r="B23" i="11"/>
  <c r="S5" i="11"/>
  <c r="R5" i="11"/>
  <c r="Q5" i="11"/>
  <c r="P5" i="11"/>
  <c r="O5" i="11"/>
  <c r="N5" i="11"/>
  <c r="N4" i="11" s="1"/>
  <c r="N53" i="11" s="1"/>
  <c r="M5" i="11"/>
  <c r="L5" i="11"/>
  <c r="L4" i="11" s="1"/>
  <c r="L53" i="11" s="1"/>
  <c r="K5" i="11"/>
  <c r="J5" i="11"/>
  <c r="J4" i="11" s="1"/>
  <c r="J53" i="11" s="1"/>
  <c r="I5" i="11"/>
  <c r="H5" i="11"/>
  <c r="H4" i="11" s="1"/>
  <c r="H53" i="11" s="1"/>
  <c r="G5" i="11"/>
  <c r="F5" i="11"/>
  <c r="F4" i="11" s="1"/>
  <c r="F53" i="11" s="1"/>
  <c r="E5" i="11"/>
  <c r="B5" i="11"/>
  <c r="AD22" i="11"/>
  <c r="AC22" i="11"/>
  <c r="D22" i="11"/>
  <c r="C22" i="11"/>
  <c r="AD21" i="11"/>
  <c r="AC21" i="11"/>
  <c r="D21" i="11"/>
  <c r="C21" i="11"/>
  <c r="AD20" i="11"/>
  <c r="AC20" i="11"/>
  <c r="D20" i="11"/>
  <c r="C20" i="11"/>
  <c r="AD19" i="11"/>
  <c r="AC19" i="11"/>
  <c r="D19" i="11"/>
  <c r="C19" i="11"/>
  <c r="AD18" i="11"/>
  <c r="AC18" i="11"/>
  <c r="D18" i="11"/>
  <c r="C18" i="11"/>
  <c r="AD17" i="11"/>
  <c r="AC17" i="11"/>
  <c r="D17" i="11"/>
  <c r="C17" i="11"/>
  <c r="AD16" i="11"/>
  <c r="AC16" i="11"/>
  <c r="D16" i="11"/>
  <c r="C16" i="11"/>
  <c r="AD15" i="11"/>
  <c r="AC15" i="11"/>
  <c r="D15" i="11"/>
  <c r="C15" i="11"/>
  <c r="AD14" i="11"/>
  <c r="AC14" i="11"/>
  <c r="D14" i="11"/>
  <c r="C14" i="11"/>
  <c r="AD13" i="11"/>
  <c r="AC13" i="11"/>
  <c r="D13" i="11"/>
  <c r="C13" i="11"/>
  <c r="AD12" i="11"/>
  <c r="AC12" i="11"/>
  <c r="D12" i="11"/>
  <c r="C12" i="11"/>
  <c r="AD11" i="11"/>
  <c r="AC11" i="11"/>
  <c r="D11" i="11"/>
  <c r="C11" i="11"/>
  <c r="AD10" i="11"/>
  <c r="AC10" i="11"/>
  <c r="D10" i="11"/>
  <c r="C10" i="11"/>
  <c r="AD8" i="11"/>
  <c r="AC8" i="11"/>
  <c r="D8" i="11"/>
  <c r="C8" i="11"/>
  <c r="AD7" i="11"/>
  <c r="AC7" i="11"/>
  <c r="D7" i="11"/>
  <c r="C7" i="11"/>
  <c r="AD4" i="11"/>
  <c r="AC4" i="11"/>
  <c r="D4" i="11"/>
  <c r="C4" i="11"/>
  <c r="B52" i="9"/>
  <c r="C52" i="9"/>
  <c r="D52" i="9"/>
  <c r="F52" i="9"/>
  <c r="G52" i="9"/>
  <c r="H52" i="9"/>
  <c r="B38" i="9"/>
  <c r="C38" i="9"/>
  <c r="D38" i="9"/>
  <c r="F38" i="9"/>
  <c r="G38" i="9"/>
  <c r="H38" i="9"/>
  <c r="B5" i="9"/>
  <c r="C5" i="9"/>
  <c r="D5" i="9"/>
  <c r="F5" i="9"/>
  <c r="G5" i="9"/>
  <c r="H5" i="9"/>
  <c r="B23" i="9"/>
  <c r="C23" i="9"/>
  <c r="D23" i="9"/>
  <c r="F23" i="9"/>
  <c r="G23" i="9"/>
  <c r="H23" i="9"/>
  <c r="BO52" i="7"/>
  <c r="BN52" i="7"/>
  <c r="BM52" i="7"/>
  <c r="BL52" i="7"/>
  <c r="BK52" i="7"/>
  <c r="BJ52" i="7"/>
  <c r="BI52" i="7"/>
  <c r="BH52" i="7"/>
  <c r="BF52" i="7"/>
  <c r="BE52" i="7"/>
  <c r="BD52" i="7"/>
  <c r="BC52" i="7"/>
  <c r="BB52" i="7"/>
  <c r="BA52" i="7"/>
  <c r="AZ52" i="7"/>
  <c r="AY52" i="7"/>
  <c r="AX52" i="7"/>
  <c r="AW52" i="7"/>
  <c r="AV52" i="7"/>
  <c r="AT52" i="7"/>
  <c r="AS52" i="7"/>
  <c r="AR52" i="7"/>
  <c r="AQ52" i="7"/>
  <c r="AP52" i="7"/>
  <c r="AO52" i="7"/>
  <c r="AN52" i="7"/>
  <c r="AM52" i="7"/>
  <c r="AL52" i="7"/>
  <c r="AK52" i="7"/>
  <c r="AJ52" i="7"/>
  <c r="AA52" i="7"/>
  <c r="Z52" i="7"/>
  <c r="Y52" i="7"/>
  <c r="X52" i="7"/>
  <c r="W52" i="7"/>
  <c r="V52" i="7"/>
  <c r="U52" i="7"/>
  <c r="R52" i="7"/>
  <c r="P52" i="7"/>
  <c r="O52" i="7"/>
  <c r="N52" i="7"/>
  <c r="M52" i="7"/>
  <c r="L52" i="7"/>
  <c r="K52" i="7"/>
  <c r="J52" i="7"/>
  <c r="I52" i="7"/>
  <c r="H52" i="7"/>
  <c r="G52" i="7"/>
  <c r="F52" i="7"/>
  <c r="E52" i="7"/>
  <c r="E53" i="7" s="1"/>
  <c r="D52" i="7"/>
  <c r="D53" i="7" s="1"/>
  <c r="C52" i="7"/>
  <c r="C53" i="7" s="1"/>
  <c r="B52" i="7"/>
  <c r="BO38" i="7"/>
  <c r="BN38" i="7"/>
  <c r="BM38" i="7"/>
  <c r="BL38" i="7"/>
  <c r="BK38" i="7"/>
  <c r="BJ38" i="7"/>
  <c r="BI38" i="7"/>
  <c r="BH38" i="7"/>
  <c r="BF38" i="7"/>
  <c r="BE38" i="7"/>
  <c r="BD38" i="7"/>
  <c r="BC38" i="7"/>
  <c r="BB38" i="7"/>
  <c r="BA38" i="7"/>
  <c r="AZ38" i="7"/>
  <c r="AY38" i="7"/>
  <c r="AX38" i="7"/>
  <c r="AW38" i="7"/>
  <c r="AV38" i="7"/>
  <c r="AT38" i="7"/>
  <c r="AS38" i="7"/>
  <c r="AR38" i="7"/>
  <c r="AQ38" i="7"/>
  <c r="AP38" i="7"/>
  <c r="AO38" i="7"/>
  <c r="AN38" i="7"/>
  <c r="AM38" i="7"/>
  <c r="AL38" i="7"/>
  <c r="AK38" i="7"/>
  <c r="AJ38" i="7"/>
  <c r="AA38" i="7"/>
  <c r="Z38" i="7"/>
  <c r="Y38" i="7"/>
  <c r="X38" i="7"/>
  <c r="W38" i="7"/>
  <c r="V38" i="7"/>
  <c r="U38" i="7"/>
  <c r="R38" i="7"/>
  <c r="P38" i="7"/>
  <c r="O38" i="7"/>
  <c r="N38" i="7"/>
  <c r="M38" i="7"/>
  <c r="L38" i="7"/>
  <c r="K38" i="7"/>
  <c r="J38" i="7"/>
  <c r="I38" i="7"/>
  <c r="H38" i="7"/>
  <c r="G38" i="7"/>
  <c r="F38" i="7"/>
  <c r="E38" i="7"/>
  <c r="E39" i="7" s="1"/>
  <c r="D38" i="7"/>
  <c r="D39" i="7" s="1"/>
  <c r="C38" i="7"/>
  <c r="C39" i="7" s="1"/>
  <c r="B38" i="7"/>
  <c r="BO23" i="7"/>
  <c r="BN23" i="7"/>
  <c r="BM23" i="7"/>
  <c r="BK23" i="7"/>
  <c r="BJ23" i="7"/>
  <c r="BI23" i="7"/>
  <c r="BH23" i="7"/>
  <c r="BF23" i="7"/>
  <c r="BE23" i="7"/>
  <c r="BD23" i="7"/>
  <c r="BC23" i="7"/>
  <c r="BB23" i="7"/>
  <c r="BA23" i="7"/>
  <c r="AZ23" i="7"/>
  <c r="AY23" i="7"/>
  <c r="AX23" i="7"/>
  <c r="AW23" i="7"/>
  <c r="AV23" i="7"/>
  <c r="AT23" i="7"/>
  <c r="AS23" i="7"/>
  <c r="AR23" i="7"/>
  <c r="AQ23" i="7"/>
  <c r="AP23" i="7"/>
  <c r="AO23" i="7"/>
  <c r="AN23" i="7"/>
  <c r="AM23" i="7"/>
  <c r="AL23" i="7"/>
  <c r="AK23" i="7"/>
  <c r="AJ23" i="7"/>
  <c r="AA23" i="7"/>
  <c r="Z23" i="7"/>
  <c r="Y23" i="7"/>
  <c r="X23" i="7"/>
  <c r="W23" i="7"/>
  <c r="V23" i="7"/>
  <c r="U23" i="7"/>
  <c r="R23" i="7"/>
  <c r="P23" i="7"/>
  <c r="O23" i="7"/>
  <c r="N23" i="7"/>
  <c r="M23" i="7"/>
  <c r="L23" i="7"/>
  <c r="K23" i="7"/>
  <c r="J23" i="7"/>
  <c r="I23" i="7"/>
  <c r="H23" i="7"/>
  <c r="G23" i="7"/>
  <c r="F23" i="7"/>
  <c r="E23" i="7"/>
  <c r="E24" i="7" s="1"/>
  <c r="D23" i="7"/>
  <c r="D24" i="7" s="1"/>
  <c r="C23" i="7"/>
  <c r="C24" i="7" s="1"/>
  <c r="B23" i="7"/>
  <c r="BO5" i="7"/>
  <c r="BN5" i="7"/>
  <c r="BM5" i="7"/>
  <c r="BL5" i="7"/>
  <c r="BK5" i="7"/>
  <c r="BJ5" i="7"/>
  <c r="BI5" i="7"/>
  <c r="BH5" i="7"/>
  <c r="BF5" i="7"/>
  <c r="BE5" i="7"/>
  <c r="BD5" i="7"/>
  <c r="BC5" i="7"/>
  <c r="BB5" i="7"/>
  <c r="BA5" i="7"/>
  <c r="AZ5" i="7"/>
  <c r="AY5" i="7"/>
  <c r="AX5" i="7"/>
  <c r="AW5" i="7"/>
  <c r="AV5" i="7"/>
  <c r="AT5" i="7"/>
  <c r="AS5" i="7"/>
  <c r="AR5" i="7"/>
  <c r="AQ5" i="7"/>
  <c r="AP5" i="7"/>
  <c r="AO5" i="7"/>
  <c r="AN5" i="7"/>
  <c r="AM5" i="7"/>
  <c r="AL5" i="7"/>
  <c r="AK5" i="7"/>
  <c r="AJ5" i="7"/>
  <c r="AA5" i="7"/>
  <c r="Z5" i="7"/>
  <c r="Y5" i="7"/>
  <c r="X5" i="7"/>
  <c r="W5" i="7"/>
  <c r="V5" i="7"/>
  <c r="U5" i="7"/>
  <c r="R5" i="7"/>
  <c r="P5" i="7"/>
  <c r="O5" i="7"/>
  <c r="N5" i="7"/>
  <c r="M5" i="7"/>
  <c r="L5" i="7"/>
  <c r="K5" i="7"/>
  <c r="J5" i="7"/>
  <c r="G5" i="7"/>
  <c r="R4" i="11" l="1"/>
  <c r="AJ4" i="11"/>
  <c r="AJ53" i="11" s="1"/>
  <c r="AR4" i="11"/>
  <c r="AR6" i="11" s="1"/>
  <c r="AH4" i="11"/>
  <c r="AH53" i="11" s="1"/>
  <c r="CA23" i="7"/>
  <c r="CA38" i="7"/>
  <c r="CA5" i="7"/>
  <c r="CA52" i="7"/>
  <c r="AL4" i="11"/>
  <c r="AL53" i="11" s="1"/>
  <c r="AN4" i="11"/>
  <c r="AN53" i="11" s="1"/>
  <c r="AP4" i="11"/>
  <c r="AF4" i="11"/>
  <c r="AF53" i="11" s="1"/>
  <c r="P4" i="11"/>
  <c r="P53" i="11" s="1"/>
  <c r="U4" i="7"/>
  <c r="U39" i="7" s="1"/>
  <c r="AP4" i="7"/>
  <c r="AP39" i="7" s="1"/>
  <c r="AY4" i="7"/>
  <c r="AY53" i="7" s="1"/>
  <c r="BH4" i="7"/>
  <c r="BH39" i="7" s="1"/>
  <c r="J4" i="7"/>
  <c r="J6" i="7" s="1"/>
  <c r="V4" i="7"/>
  <c r="V6" i="7" s="1"/>
  <c r="AS4" i="7"/>
  <c r="AS53" i="7" s="1"/>
  <c r="BB4" i="7"/>
  <c r="BB39" i="7" s="1"/>
  <c r="AT4" i="7"/>
  <c r="AT53" i="7" s="1"/>
  <c r="L4" i="7"/>
  <c r="L53" i="7" s="1"/>
  <c r="AM4" i="7"/>
  <c r="AM39" i="7" s="1"/>
  <c r="BD4" i="7"/>
  <c r="BD39" i="7" s="1"/>
  <c r="M4" i="7"/>
  <c r="M53" i="7" s="1"/>
  <c r="AN4" i="7"/>
  <c r="AN39" i="7" s="1"/>
  <c r="AW4" i="7"/>
  <c r="AW53" i="7" s="1"/>
  <c r="BE4" i="7"/>
  <c r="BE6" i="7" s="1"/>
  <c r="K4" i="7"/>
  <c r="K39" i="7" s="1"/>
  <c r="BC4" i="7"/>
  <c r="BC6" i="7" s="1"/>
  <c r="W4" i="7"/>
  <c r="AV4" i="7"/>
  <c r="AV53" i="7" s="1"/>
  <c r="N4" i="7"/>
  <c r="N53" i="7" s="1"/>
  <c r="Y4" i="7"/>
  <c r="AO4" i="7"/>
  <c r="AO6" i="7" s="1"/>
  <c r="AX4" i="7"/>
  <c r="AX24" i="7" s="1"/>
  <c r="BF4" i="7"/>
  <c r="BF39" i="7" s="1"/>
  <c r="AL4" i="7"/>
  <c r="AL39" i="7" s="1"/>
  <c r="P4" i="7"/>
  <c r="P53" i="7" s="1"/>
  <c r="AQ4" i="7"/>
  <c r="AQ39" i="7" s="1"/>
  <c r="AZ4" i="7"/>
  <c r="AZ53" i="7" s="1"/>
  <c r="AJ4" i="7"/>
  <c r="AJ53" i="7" s="1"/>
  <c r="AR4" i="7"/>
  <c r="AR53" i="7" s="1"/>
  <c r="BA4" i="7"/>
  <c r="BA53" i="7" s="1"/>
  <c r="BO4" i="7"/>
  <c r="BO6" i="7" s="1"/>
  <c r="CD5" i="7"/>
  <c r="BX5" i="7"/>
  <c r="BZ5" i="7"/>
  <c r="CB5" i="7"/>
  <c r="BY23" i="7"/>
  <c r="CC23" i="7"/>
  <c r="BX38" i="7"/>
  <c r="BZ38" i="7"/>
  <c r="CB38" i="7"/>
  <c r="CD38" i="7"/>
  <c r="BY52" i="7"/>
  <c r="CC52" i="7"/>
  <c r="BY5" i="7"/>
  <c r="CC5" i="7"/>
  <c r="BX23" i="7"/>
  <c r="BZ23" i="7"/>
  <c r="CB23" i="7"/>
  <c r="CD23" i="7"/>
  <c r="BY38" i="7"/>
  <c r="CC38" i="7"/>
  <c r="BX52" i="7"/>
  <c r="BZ52" i="7"/>
  <c r="CB52" i="7"/>
  <c r="CD52" i="7"/>
  <c r="BK4" i="7"/>
  <c r="BK39" i="7" s="1"/>
  <c r="BM4" i="7"/>
  <c r="BI4" i="7"/>
  <c r="O4" i="7"/>
  <c r="O6" i="7" s="1"/>
  <c r="R4" i="7"/>
  <c r="R39" i="7" s="1"/>
  <c r="BL4" i="7"/>
  <c r="AK4" i="7"/>
  <c r="AK6" i="7" s="1"/>
  <c r="X4" i="7"/>
  <c r="Z4" i="7"/>
  <c r="BJ4" i="7"/>
  <c r="BN4" i="7"/>
  <c r="AE4" i="11"/>
  <c r="AE53" i="11" s="1"/>
  <c r="AG4" i="11"/>
  <c r="AG53" i="11" s="1"/>
  <c r="AI4" i="11"/>
  <c r="AI53" i="11" s="1"/>
  <c r="AK4" i="11"/>
  <c r="AK53" i="11" s="1"/>
  <c r="AM4" i="11"/>
  <c r="AM53" i="11" s="1"/>
  <c r="AO4" i="11"/>
  <c r="AO24" i="11" s="1"/>
  <c r="AQ4" i="11"/>
  <c r="AQ53" i="11" s="1"/>
  <c r="AS4" i="11"/>
  <c r="AS53" i="11" s="1"/>
  <c r="AI39" i="11"/>
  <c r="AF39" i="11"/>
  <c r="AJ39" i="11"/>
  <c r="AR39" i="11"/>
  <c r="AF24" i="11"/>
  <c r="AJ6" i="11"/>
  <c r="AB4" i="11"/>
  <c r="AB6" i="11" s="1"/>
  <c r="AD5" i="11"/>
  <c r="AD6" i="11" s="1"/>
  <c r="G4" i="9"/>
  <c r="G6" i="9" s="1"/>
  <c r="D4" i="9"/>
  <c r="D6" i="9" s="1"/>
  <c r="B4" i="9"/>
  <c r="B6" i="9" s="1"/>
  <c r="H4" i="9"/>
  <c r="H6" i="9" s="1"/>
  <c r="F4" i="9"/>
  <c r="F6" i="9" s="1"/>
  <c r="C4" i="9"/>
  <c r="C6" i="9" s="1"/>
  <c r="B4" i="11"/>
  <c r="B6" i="11" s="1"/>
  <c r="E4" i="11"/>
  <c r="E53" i="11" s="1"/>
  <c r="G4" i="11"/>
  <c r="G53" i="11" s="1"/>
  <c r="I4" i="11"/>
  <c r="I53" i="11" s="1"/>
  <c r="K4" i="11"/>
  <c r="K53" i="11" s="1"/>
  <c r="M4" i="11"/>
  <c r="M53" i="11" s="1"/>
  <c r="O4" i="11"/>
  <c r="O6" i="11" s="1"/>
  <c r="Q4" i="11"/>
  <c r="Q53" i="11" s="1"/>
  <c r="S4" i="11"/>
  <c r="S53" i="11" s="1"/>
  <c r="F39" i="11"/>
  <c r="H39" i="11"/>
  <c r="J39" i="11"/>
  <c r="L39" i="11"/>
  <c r="N39" i="11"/>
  <c r="F24" i="11"/>
  <c r="H24" i="11"/>
  <c r="J24" i="11"/>
  <c r="L24" i="11"/>
  <c r="N24" i="11"/>
  <c r="P24" i="11"/>
  <c r="F6" i="11"/>
  <c r="H6" i="11"/>
  <c r="J6" i="11"/>
  <c r="L6" i="11"/>
  <c r="N6" i="11"/>
  <c r="D5" i="11"/>
  <c r="D6" i="11" s="1"/>
  <c r="AC5" i="11"/>
  <c r="AC6" i="11" s="1"/>
  <c r="C5" i="11"/>
  <c r="C6" i="11" s="1"/>
  <c r="AA4" i="7"/>
  <c r="AA6" i="7" s="1"/>
  <c r="G4" i="7"/>
  <c r="G6" i="7" s="1"/>
  <c r="O24" i="11" l="1"/>
  <c r="AM39" i="11"/>
  <c r="G24" i="11"/>
  <c r="AO6" i="11"/>
  <c r="AK39" i="11"/>
  <c r="AG39" i="11"/>
  <c r="I39" i="11"/>
  <c r="AM6" i="11"/>
  <c r="G6" i="11"/>
  <c r="R53" i="11"/>
  <c r="R24" i="11"/>
  <c r="R6" i="11"/>
  <c r="AM24" i="11"/>
  <c r="Z24" i="7"/>
  <c r="AR53" i="11"/>
  <c r="AR24" i="11"/>
  <c r="AE39" i="11"/>
  <c r="R39" i="11"/>
  <c r="AJ24" i="11"/>
  <c r="BM39" i="7"/>
  <c r="Z53" i="7"/>
  <c r="U24" i="7"/>
  <c r="Y53" i="7"/>
  <c r="P6" i="11"/>
  <c r="G39" i="11"/>
  <c r="AH6" i="11"/>
  <c r="AH39" i="11"/>
  <c r="AL24" i="11"/>
  <c r="AH24" i="11"/>
  <c r="AN6" i="11"/>
  <c r="K39" i="11"/>
  <c r="AL6" i="11"/>
  <c r="AP53" i="11"/>
  <c r="AY39" i="7"/>
  <c r="AP6" i="7"/>
  <c r="BO53" i="7"/>
  <c r="U53" i="7"/>
  <c r="BK53" i="7"/>
  <c r="BX4" i="7"/>
  <c r="K6" i="7"/>
  <c r="BI53" i="7"/>
  <c r="Z39" i="7"/>
  <c r="BK24" i="7"/>
  <c r="CC4" i="7"/>
  <c r="BA39" i="7"/>
  <c r="AP53" i="7"/>
  <c r="AV6" i="7"/>
  <c r="AM6" i="7"/>
  <c r="BI24" i="7"/>
  <c r="Z6" i="7"/>
  <c r="BB53" i="7"/>
  <c r="N6" i="7"/>
  <c r="BI6" i="7"/>
  <c r="AV39" i="7"/>
  <c r="AY6" i="7"/>
  <c r="P39" i="7"/>
  <c r="BM53" i="7"/>
  <c r="AR6" i="7"/>
  <c r="AO39" i="7"/>
  <c r="BN53" i="7"/>
  <c r="O24" i="7"/>
  <c r="AQ53" i="7"/>
  <c r="X53" i="7"/>
  <c r="AA24" i="7"/>
  <c r="AS6" i="7"/>
  <c r="AW6" i="7"/>
  <c r="AS39" i="7"/>
  <c r="M6" i="7"/>
  <c r="BH24" i="7"/>
  <c r="BD24" i="7"/>
  <c r="N39" i="7"/>
  <c r="BM6" i="7"/>
  <c r="AS24" i="7"/>
  <c r="BC39" i="7"/>
  <c r="BK6" i="7"/>
  <c r="AO24" i="7"/>
  <c r="P6" i="7"/>
  <c r="AW39" i="7"/>
  <c r="R24" i="7"/>
  <c r="BL6" i="7"/>
  <c r="CA4" i="7"/>
  <c r="AJ6" i="7"/>
  <c r="AR39" i="7"/>
  <c r="BN6" i="7"/>
  <c r="L6" i="7"/>
  <c r="L39" i="7"/>
  <c r="AJ39" i="7"/>
  <c r="BB6" i="7"/>
  <c r="BB24" i="7"/>
  <c r="BC24" i="7"/>
  <c r="AK53" i="7"/>
  <c r="K53" i="7"/>
  <c r="AR24" i="7"/>
  <c r="AX39" i="7"/>
  <c r="BE39" i="7"/>
  <c r="O39" i="7"/>
  <c r="AX53" i="7"/>
  <c r="E24" i="11"/>
  <c r="S39" i="11"/>
  <c r="Q39" i="11"/>
  <c r="Q6" i="11"/>
  <c r="P39" i="11"/>
  <c r="O39" i="11"/>
  <c r="AK6" i="11"/>
  <c r="AF6" i="11"/>
  <c r="AK24" i="11"/>
  <c r="AG6" i="11"/>
  <c r="AP39" i="11"/>
  <c r="AG24" i="11"/>
  <c r="B39" i="11"/>
  <c r="AP24" i="11"/>
  <c r="AN39" i="11"/>
  <c r="AE24" i="11"/>
  <c r="E6" i="11"/>
  <c r="Q24" i="11"/>
  <c r="AP6" i="11"/>
  <c r="AN24" i="11"/>
  <c r="AL39" i="11"/>
  <c r="E39" i="11"/>
  <c r="G53" i="9"/>
  <c r="G39" i="9"/>
  <c r="B39" i="9"/>
  <c r="C39" i="9"/>
  <c r="D39" i="9"/>
  <c r="C53" i="9"/>
  <c r="BL53" i="7"/>
  <c r="BL24" i="7"/>
  <c r="AN53" i="7"/>
  <c r="V24" i="7"/>
  <c r="AZ24" i="7"/>
  <c r="P24" i="7"/>
  <c r="J39" i="7"/>
  <c r="V39" i="7"/>
  <c r="BD53" i="7"/>
  <c r="BD6" i="7"/>
  <c r="X6" i="7"/>
  <c r="AN6" i="7"/>
  <c r="AV24" i="7"/>
  <c r="N24" i="7"/>
  <c r="AY24" i="7"/>
  <c r="BL39" i="7"/>
  <c r="AK39" i="7"/>
  <c r="BO39" i="7"/>
  <c r="BH53" i="7"/>
  <c r="V53" i="7"/>
  <c r="BH6" i="7"/>
  <c r="L24" i="7"/>
  <c r="M24" i="7"/>
  <c r="AA39" i="7"/>
  <c r="M39" i="7"/>
  <c r="BC53" i="7"/>
  <c r="R53" i="7"/>
  <c r="AZ6" i="7"/>
  <c r="R6" i="7"/>
  <c r="Y6" i="7"/>
  <c r="AQ24" i="7"/>
  <c r="J24" i="7"/>
  <c r="AP24" i="7"/>
  <c r="K24" i="7"/>
  <c r="Y39" i="7"/>
  <c r="BI39" i="7"/>
  <c r="O53" i="7"/>
  <c r="BY4" i="7"/>
  <c r="CB4" i="7"/>
  <c r="AX6" i="7"/>
  <c r="BA6" i="7"/>
  <c r="BN24" i="7"/>
  <c r="BM24" i="7"/>
  <c r="AN24" i="7"/>
  <c r="U6" i="7"/>
  <c r="AZ39" i="7"/>
  <c r="AA53" i="7"/>
  <c r="J53" i="7"/>
  <c r="Y24" i="7"/>
  <c r="X24" i="7"/>
  <c r="X39" i="7"/>
  <c r="AT6" i="7"/>
  <c r="M6" i="11"/>
  <c r="M24" i="11"/>
  <c r="AQ39" i="11"/>
  <c r="BF24" i="7"/>
  <c r="BE24" i="7"/>
  <c r="BN39" i="7"/>
  <c r="W39" i="7"/>
  <c r="AT39" i="7"/>
  <c r="BE53" i="7"/>
  <c r="K24" i="11"/>
  <c r="AQ24" i="11"/>
  <c r="AO39" i="11"/>
  <c r="AQ6" i="7"/>
  <c r="AM24" i="7"/>
  <c r="AL24" i="7"/>
  <c r="BF53" i="7"/>
  <c r="AO53" i="7"/>
  <c r="AL53" i="7"/>
  <c r="F53" i="9"/>
  <c r="I6" i="11"/>
  <c r="I24" i="11"/>
  <c r="K6" i="11"/>
  <c r="AI6" i="11"/>
  <c r="AO53" i="11"/>
  <c r="BJ6" i="7"/>
  <c r="BF6" i="7"/>
  <c r="AL6" i="7"/>
  <c r="AK24" i="7"/>
  <c r="BA24" i="7"/>
  <c r="AJ24" i="7"/>
  <c r="W6" i="7"/>
  <c r="BJ39" i="7"/>
  <c r="AM53" i="7"/>
  <c r="H53" i="9"/>
  <c r="B24" i="11"/>
  <c r="AE6" i="11"/>
  <c r="M39" i="11"/>
  <c r="BO24" i="7"/>
  <c r="F39" i="9"/>
  <c r="B53" i="9"/>
  <c r="AW24" i="7"/>
  <c r="H39" i="9"/>
  <c r="D53" i="9"/>
  <c r="S6" i="11"/>
  <c r="S24" i="11"/>
  <c r="AQ6" i="11"/>
  <c r="AI24" i="11"/>
  <c r="W24" i="7"/>
  <c r="AT24" i="7"/>
  <c r="W53" i="7"/>
  <c r="O53" i="11"/>
  <c r="BZ4" i="7"/>
  <c r="CD4" i="7"/>
  <c r="BJ24" i="7"/>
  <c r="BJ53" i="7"/>
  <c r="AS24" i="11"/>
  <c r="AS39" i="11"/>
  <c r="AS6" i="11"/>
  <c r="AB53" i="11"/>
  <c r="AB39" i="11"/>
  <c r="AB24" i="11"/>
  <c r="B53" i="11"/>
  <c r="G53" i="7"/>
  <c r="G39" i="7"/>
  <c r="G24" i="7"/>
  <c r="B52" i="8"/>
  <c r="B53" i="8" s="1"/>
  <c r="C52" i="8"/>
  <c r="C53" i="8" s="1"/>
  <c r="D52" i="8"/>
  <c r="D53" i="8" s="1"/>
  <c r="E52" i="8"/>
  <c r="E53" i="8" s="1"/>
  <c r="F52" i="8"/>
  <c r="F53" i="8" s="1"/>
  <c r="G52" i="8"/>
  <c r="H52" i="8"/>
  <c r="I52" i="8"/>
  <c r="J52" i="8"/>
  <c r="K52" i="8"/>
  <c r="L52" i="8"/>
  <c r="M52" i="8"/>
  <c r="N52" i="8"/>
  <c r="O52" i="8"/>
  <c r="P52" i="8"/>
  <c r="Q52" i="8"/>
  <c r="R52" i="8"/>
  <c r="S52" i="8"/>
  <c r="T52" i="8"/>
  <c r="U52" i="8"/>
  <c r="V52" i="8"/>
  <c r="W52" i="8"/>
  <c r="X52" i="8"/>
  <c r="L38" i="8"/>
  <c r="M38" i="8"/>
  <c r="N38" i="8"/>
  <c r="O38" i="8"/>
  <c r="P38" i="8"/>
  <c r="Q38" i="8"/>
  <c r="R38" i="8"/>
  <c r="S38" i="8"/>
  <c r="T38" i="8"/>
  <c r="U38" i="8"/>
  <c r="V38" i="8"/>
  <c r="W38" i="8"/>
  <c r="X38" i="8"/>
  <c r="B23" i="8"/>
  <c r="C23" i="8"/>
  <c r="C24" i="8" s="1"/>
  <c r="D23" i="8"/>
  <c r="D24" i="8" s="1"/>
  <c r="E23" i="8"/>
  <c r="E24" i="8" s="1"/>
  <c r="F23" i="8"/>
  <c r="F24" i="8" s="1"/>
  <c r="G23" i="8"/>
  <c r="H23" i="8"/>
  <c r="I23" i="8"/>
  <c r="J23" i="8"/>
  <c r="B24" i="8"/>
  <c r="K38" i="8"/>
  <c r="J38" i="8"/>
  <c r="I38" i="8"/>
  <c r="H38" i="8"/>
  <c r="G38" i="8"/>
  <c r="F38" i="8"/>
  <c r="F39" i="8" s="1"/>
  <c r="E38" i="8"/>
  <c r="E39" i="8" s="1"/>
  <c r="D38" i="8"/>
  <c r="D39" i="8" s="1"/>
  <c r="C38" i="8"/>
  <c r="C39" i="8" s="1"/>
  <c r="B38" i="8"/>
  <c r="B39" i="8" s="1"/>
  <c r="X23" i="8"/>
  <c r="W23" i="8"/>
  <c r="V23" i="8"/>
  <c r="U23" i="8"/>
  <c r="T23" i="8"/>
  <c r="S23" i="8"/>
  <c r="R23" i="8"/>
  <c r="Q23" i="8"/>
  <c r="P23" i="8"/>
  <c r="O23" i="8"/>
  <c r="N23" i="8"/>
  <c r="M23" i="8"/>
  <c r="L23" i="8"/>
  <c r="K23" i="8"/>
  <c r="X5" i="8"/>
  <c r="W5" i="8"/>
  <c r="V5" i="8"/>
  <c r="U5" i="8"/>
  <c r="T5" i="8"/>
  <c r="S5" i="8"/>
  <c r="R5" i="8"/>
  <c r="Q5" i="8"/>
  <c r="P5" i="8"/>
  <c r="O5" i="8"/>
  <c r="N5" i="8"/>
  <c r="M5" i="8"/>
  <c r="L5" i="8"/>
  <c r="K5" i="8"/>
  <c r="J5" i="8"/>
  <c r="Q4" i="8"/>
  <c r="Q39" i="8" s="1"/>
  <c r="G5" i="8"/>
  <c r="CF52" i="1"/>
  <c r="CF38" i="1"/>
  <c r="CF23" i="1"/>
  <c r="CF5" i="1"/>
  <c r="B52" i="1"/>
  <c r="C52" i="1"/>
  <c r="D52" i="1"/>
  <c r="E52" i="1"/>
  <c r="F52" i="1"/>
  <c r="G52" i="1"/>
  <c r="H52" i="1"/>
  <c r="I52" i="1"/>
  <c r="J52" i="1"/>
  <c r="K52" i="1"/>
  <c r="L52" i="1"/>
  <c r="M52" i="1"/>
  <c r="N52" i="1"/>
  <c r="O52" i="1"/>
  <c r="P52" i="1"/>
  <c r="Q52" i="1"/>
  <c r="R52" i="1"/>
  <c r="S52" i="1"/>
  <c r="T52" i="1"/>
  <c r="U52" i="1"/>
  <c r="V52" i="1"/>
  <c r="W52" i="1"/>
  <c r="X52" i="1"/>
  <c r="Y52" i="1"/>
  <c r="Z52" i="1"/>
  <c r="AA52" i="1"/>
  <c r="AB52" i="1"/>
  <c r="AC52" i="1"/>
  <c r="AD52" i="1"/>
  <c r="AE52" i="1"/>
  <c r="AF52" i="1"/>
  <c r="AG52" i="1"/>
  <c r="AH52" i="1"/>
  <c r="AI52" i="1"/>
  <c r="AJ52" i="1"/>
  <c r="AK52" i="1"/>
  <c r="AL52" i="1"/>
  <c r="AM52" i="1"/>
  <c r="AN52" i="1"/>
  <c r="AO52" i="1"/>
  <c r="AX52" i="1"/>
  <c r="AY52" i="1"/>
  <c r="AZ52" i="1"/>
  <c r="BA52" i="1"/>
  <c r="BB52" i="1"/>
  <c r="BC52" i="1"/>
  <c r="BD52" i="1"/>
  <c r="BE52" i="1"/>
  <c r="BF52" i="1"/>
  <c r="BG52" i="1"/>
  <c r="BH52" i="1"/>
  <c r="BI52" i="1"/>
  <c r="BJ52" i="1"/>
  <c r="BK52" i="1"/>
  <c r="BL52" i="1"/>
  <c r="BM52" i="1"/>
  <c r="BN52" i="1"/>
  <c r="BO52" i="1"/>
  <c r="BP52" i="1"/>
  <c r="BQ52" i="1"/>
  <c r="BR52" i="1"/>
  <c r="BS52" i="1"/>
  <c r="BT52" i="1"/>
  <c r="BU52" i="1"/>
  <c r="BV52" i="1"/>
  <c r="BW52" i="1"/>
  <c r="BX52" i="1"/>
  <c r="BY52" i="1"/>
  <c r="BZ52" i="1"/>
  <c r="CA52" i="1"/>
  <c r="CB52" i="1"/>
  <c r="CC52" i="1"/>
  <c r="CD52" i="1"/>
  <c r="CE52" i="1"/>
  <c r="CG52" i="1"/>
  <c r="CH52" i="1"/>
  <c r="CI52" i="1"/>
  <c r="CJ52" i="1"/>
  <c r="CK52" i="1"/>
  <c r="B38" i="1"/>
  <c r="C38" i="1"/>
  <c r="D38" i="1"/>
  <c r="E38" i="1"/>
  <c r="F38" i="1"/>
  <c r="G38" i="1"/>
  <c r="H38" i="1"/>
  <c r="I38" i="1"/>
  <c r="J38" i="1"/>
  <c r="K38" i="1"/>
  <c r="L38" i="1"/>
  <c r="M38" i="1"/>
  <c r="N38" i="1"/>
  <c r="O38" i="1"/>
  <c r="P38" i="1"/>
  <c r="Q38" i="1"/>
  <c r="R38" i="1"/>
  <c r="S38" i="1"/>
  <c r="T38" i="1"/>
  <c r="U38" i="1"/>
  <c r="V38" i="1"/>
  <c r="W38" i="1"/>
  <c r="X38" i="1"/>
  <c r="Y38" i="1"/>
  <c r="Z38" i="1"/>
  <c r="AA38" i="1"/>
  <c r="AB38" i="1"/>
  <c r="AC38" i="1"/>
  <c r="AD38" i="1"/>
  <c r="AE38" i="1"/>
  <c r="AF38" i="1"/>
  <c r="AG38" i="1"/>
  <c r="AH38" i="1"/>
  <c r="AI38" i="1"/>
  <c r="AJ38" i="1"/>
  <c r="AK38" i="1"/>
  <c r="AL38" i="1"/>
  <c r="AM38" i="1"/>
  <c r="AN38" i="1"/>
  <c r="AO38" i="1"/>
  <c r="AX38" i="1"/>
  <c r="AY38" i="1"/>
  <c r="AZ38" i="1"/>
  <c r="BA38" i="1"/>
  <c r="BB38" i="1"/>
  <c r="BC38" i="1"/>
  <c r="BD38" i="1"/>
  <c r="BE38" i="1"/>
  <c r="BF38" i="1"/>
  <c r="BG38" i="1"/>
  <c r="BH38" i="1"/>
  <c r="BI38" i="1"/>
  <c r="BJ38" i="1"/>
  <c r="BK38" i="1"/>
  <c r="BL38" i="1"/>
  <c r="BM38" i="1"/>
  <c r="BN38" i="1"/>
  <c r="BO38" i="1"/>
  <c r="BP38" i="1"/>
  <c r="BQ38" i="1"/>
  <c r="BR38" i="1"/>
  <c r="BS38" i="1"/>
  <c r="BT38" i="1"/>
  <c r="BU38" i="1"/>
  <c r="BV38" i="1"/>
  <c r="BW38" i="1"/>
  <c r="BX38" i="1"/>
  <c r="BY38" i="1"/>
  <c r="BZ38" i="1"/>
  <c r="CA38" i="1"/>
  <c r="CB38" i="1"/>
  <c r="CC38" i="1"/>
  <c r="CD38" i="1"/>
  <c r="CE38" i="1"/>
  <c r="CG38" i="1"/>
  <c r="CH38" i="1"/>
  <c r="CI38" i="1"/>
  <c r="CJ38" i="1"/>
  <c r="CK38" i="1"/>
  <c r="B23" i="1"/>
  <c r="C23" i="1"/>
  <c r="D23" i="1"/>
  <c r="E23" i="1"/>
  <c r="F23" i="1"/>
  <c r="G23" i="1"/>
  <c r="H23" i="1"/>
  <c r="I23" i="1"/>
  <c r="J23" i="1"/>
  <c r="K23" i="1"/>
  <c r="L23" i="1"/>
  <c r="M23" i="1"/>
  <c r="N23" i="1"/>
  <c r="O23" i="1"/>
  <c r="P23" i="1"/>
  <c r="Q23" i="1"/>
  <c r="R23" i="1"/>
  <c r="S23" i="1"/>
  <c r="T23" i="1"/>
  <c r="U23" i="1"/>
  <c r="V23" i="1"/>
  <c r="W23" i="1"/>
  <c r="X23" i="1"/>
  <c r="Y23" i="1"/>
  <c r="Z23" i="1"/>
  <c r="AA23" i="1"/>
  <c r="AB23" i="1"/>
  <c r="AC23" i="1"/>
  <c r="AD23" i="1"/>
  <c r="AE23" i="1"/>
  <c r="AF23" i="1"/>
  <c r="AG23" i="1"/>
  <c r="AH23" i="1"/>
  <c r="AI23" i="1"/>
  <c r="AJ23" i="1"/>
  <c r="AK23" i="1"/>
  <c r="AL23" i="1"/>
  <c r="AM23" i="1"/>
  <c r="AN23" i="1"/>
  <c r="AO23" i="1"/>
  <c r="AX23" i="1"/>
  <c r="AY23" i="1"/>
  <c r="AZ23" i="1"/>
  <c r="BA23" i="1"/>
  <c r="BB23" i="1"/>
  <c r="BC23" i="1"/>
  <c r="BD23" i="1"/>
  <c r="BE23" i="1"/>
  <c r="BF23" i="1"/>
  <c r="BG23" i="1"/>
  <c r="BH23" i="1"/>
  <c r="BI23" i="1"/>
  <c r="BJ23" i="1"/>
  <c r="BK23" i="1"/>
  <c r="BL23" i="1"/>
  <c r="BM23" i="1"/>
  <c r="BN23" i="1"/>
  <c r="BO23" i="1"/>
  <c r="BP23" i="1"/>
  <c r="BQ23" i="1"/>
  <c r="BR23" i="1"/>
  <c r="BS23" i="1"/>
  <c r="BT23" i="1"/>
  <c r="BU23" i="1"/>
  <c r="BV23" i="1"/>
  <c r="BW23" i="1"/>
  <c r="BX23" i="1"/>
  <c r="BY23" i="1"/>
  <c r="BZ23" i="1"/>
  <c r="CA23" i="1"/>
  <c r="CB23" i="1"/>
  <c r="CC23" i="1"/>
  <c r="CD23" i="1"/>
  <c r="CE23" i="1"/>
  <c r="CG23" i="1"/>
  <c r="CH23" i="1"/>
  <c r="CI23" i="1"/>
  <c r="CJ23" i="1"/>
  <c r="CK23" i="1"/>
  <c r="B5" i="1"/>
  <c r="C5" i="1"/>
  <c r="D5" i="1"/>
  <c r="E5" i="1"/>
  <c r="F5" i="1"/>
  <c r="G5" i="1"/>
  <c r="H5" i="1"/>
  <c r="I5" i="1"/>
  <c r="J5" i="1"/>
  <c r="K5" i="1"/>
  <c r="L5" i="1"/>
  <c r="M5" i="1"/>
  <c r="N5" i="1"/>
  <c r="O5" i="1"/>
  <c r="P5" i="1"/>
  <c r="Q5" i="1"/>
  <c r="R5" i="1"/>
  <c r="S5" i="1"/>
  <c r="T5" i="1"/>
  <c r="U5" i="1"/>
  <c r="V5" i="1"/>
  <c r="W5" i="1"/>
  <c r="X5" i="1"/>
  <c r="Y5" i="1"/>
  <c r="Z5" i="1"/>
  <c r="AA5" i="1"/>
  <c r="AB5" i="1"/>
  <c r="AC5" i="1"/>
  <c r="AD5" i="1"/>
  <c r="AE5" i="1"/>
  <c r="AF5" i="1"/>
  <c r="AG5" i="1"/>
  <c r="AH5" i="1"/>
  <c r="AI5" i="1"/>
  <c r="AJ5" i="1"/>
  <c r="AK5" i="1"/>
  <c r="AL5" i="1"/>
  <c r="AM5" i="1"/>
  <c r="AN5" i="1"/>
  <c r="AO5" i="1"/>
  <c r="AX5" i="1"/>
  <c r="AY5" i="1"/>
  <c r="AZ5" i="1"/>
  <c r="BA5" i="1"/>
  <c r="BB5" i="1"/>
  <c r="BC5" i="1"/>
  <c r="BD5" i="1"/>
  <c r="BE5" i="1"/>
  <c r="BF5" i="1"/>
  <c r="BG5" i="1"/>
  <c r="BH5" i="1"/>
  <c r="BI5" i="1"/>
  <c r="BJ5" i="1"/>
  <c r="BK5" i="1"/>
  <c r="BL5" i="1"/>
  <c r="BM5" i="1"/>
  <c r="BN5" i="1"/>
  <c r="BO5" i="1"/>
  <c r="BP5" i="1"/>
  <c r="BQ5" i="1"/>
  <c r="BR5" i="1"/>
  <c r="BS5" i="1"/>
  <c r="BT5" i="1"/>
  <c r="BU5" i="1"/>
  <c r="BV5" i="1"/>
  <c r="BW5" i="1"/>
  <c r="BX5" i="1"/>
  <c r="BY5" i="1"/>
  <c r="BZ5" i="1"/>
  <c r="CA5" i="1"/>
  <c r="CB5" i="1"/>
  <c r="CC5" i="1"/>
  <c r="CD5" i="1"/>
  <c r="CE5" i="1"/>
  <c r="CG5" i="1"/>
  <c r="CH5" i="1"/>
  <c r="CI5" i="1"/>
  <c r="CJ5" i="1"/>
  <c r="CK5" i="1"/>
  <c r="S4" i="8" l="1"/>
  <c r="L4" i="8"/>
  <c r="L39" i="8" s="1"/>
  <c r="K4" i="8"/>
  <c r="K53" i="8" s="1"/>
  <c r="W4" i="8"/>
  <c r="W6" i="8" s="1"/>
  <c r="O4" i="8"/>
  <c r="O39" i="8" s="1"/>
  <c r="M4" i="8"/>
  <c r="M39" i="8" s="1"/>
  <c r="N4" i="8"/>
  <c r="N39" i="8" s="1"/>
  <c r="V4" i="8"/>
  <c r="V39" i="8" s="1"/>
  <c r="P4" i="8"/>
  <c r="P39" i="8" s="1"/>
  <c r="J4" i="8"/>
  <c r="J24" i="8" s="1"/>
  <c r="R4" i="8"/>
  <c r="R39" i="8" s="1"/>
  <c r="U4" i="8"/>
  <c r="U53" i="8" s="1"/>
  <c r="AC21" i="10"/>
  <c r="T4" i="8"/>
  <c r="T24" i="8" s="1"/>
  <c r="AO4" i="1"/>
  <c r="AO53" i="1" s="1"/>
  <c r="X4" i="8"/>
  <c r="CI4" i="1"/>
  <c r="CI53" i="1" s="1"/>
  <c r="CG4" i="1"/>
  <c r="CG39" i="1" s="1"/>
  <c r="S39" i="8"/>
  <c r="CK4" i="1"/>
  <c r="CK6" i="1" s="1"/>
  <c r="Q24" i="8"/>
  <c r="S24" i="8"/>
  <c r="S53" i="8"/>
  <c r="Q53" i="8"/>
  <c r="O53" i="8"/>
  <c r="L53" i="8"/>
  <c r="L24" i="8"/>
  <c r="P24" i="8"/>
  <c r="R24" i="8"/>
  <c r="V24" i="8"/>
  <c r="X24" i="8"/>
  <c r="L6" i="8"/>
  <c r="V6" i="8"/>
  <c r="K6" i="8"/>
  <c r="Q6" i="8"/>
  <c r="S6" i="8"/>
  <c r="G4" i="8"/>
  <c r="G53" i="8" s="1"/>
  <c r="CE4" i="1"/>
  <c r="CE53" i="1" s="1"/>
  <c r="CC4" i="1"/>
  <c r="CC53" i="1" s="1"/>
  <c r="CA4" i="1"/>
  <c r="CA53" i="1" s="1"/>
  <c r="BY4" i="1"/>
  <c r="BY53" i="1" s="1"/>
  <c r="BW4" i="1"/>
  <c r="BW53" i="1" s="1"/>
  <c r="BU4" i="1"/>
  <c r="BU53" i="1" s="1"/>
  <c r="BS4" i="1"/>
  <c r="BS39" i="1" s="1"/>
  <c r="BQ4" i="1"/>
  <c r="BQ39" i="1" s="1"/>
  <c r="BO4" i="1"/>
  <c r="BO53" i="1" s="1"/>
  <c r="BM4" i="1"/>
  <c r="BM39" i="1" s="1"/>
  <c r="BK4" i="1"/>
  <c r="BK39" i="1" s="1"/>
  <c r="BI4" i="1"/>
  <c r="BI6" i="1" s="1"/>
  <c r="BG4" i="1"/>
  <c r="BG39" i="1" s="1"/>
  <c r="BE4" i="1"/>
  <c r="BE53" i="1" s="1"/>
  <c r="BC4" i="1"/>
  <c r="BC53" i="1" s="1"/>
  <c r="BA4" i="1"/>
  <c r="BA6" i="1" s="1"/>
  <c r="AY4" i="1"/>
  <c r="AY6" i="1" s="1"/>
  <c r="AM4" i="1"/>
  <c r="AM24" i="1" s="1"/>
  <c r="AK4" i="1"/>
  <c r="AK6" i="1" s="1"/>
  <c r="AH4" i="1"/>
  <c r="AH6" i="1" s="1"/>
  <c r="AF4" i="1"/>
  <c r="AF6" i="1" s="1"/>
  <c r="AD4" i="1"/>
  <c r="AD6" i="1" s="1"/>
  <c r="AB4" i="1"/>
  <c r="AB6" i="1" s="1"/>
  <c r="Z4" i="1"/>
  <c r="Z6" i="1" s="1"/>
  <c r="X4" i="1"/>
  <c r="X6" i="1" s="1"/>
  <c r="V4" i="1"/>
  <c r="V6" i="1" s="1"/>
  <c r="T4" i="1"/>
  <c r="T6" i="1" s="1"/>
  <c r="R4" i="1"/>
  <c r="R6" i="1" s="1"/>
  <c r="P4" i="1"/>
  <c r="P6" i="1" s="1"/>
  <c r="N4" i="1"/>
  <c r="N6" i="1" s="1"/>
  <c r="L4" i="1"/>
  <c r="L6" i="1" s="1"/>
  <c r="J4" i="1"/>
  <c r="J6" i="1" s="1"/>
  <c r="H4" i="1"/>
  <c r="H6" i="1" s="1"/>
  <c r="F4" i="1"/>
  <c r="F6" i="1" s="1"/>
  <c r="D4" i="1"/>
  <c r="D6" i="1" s="1"/>
  <c r="B4" i="1"/>
  <c r="B24" i="1" s="1"/>
  <c r="CF4" i="1"/>
  <c r="CJ4" i="1"/>
  <c r="CH4" i="1"/>
  <c r="CH53" i="1" s="1"/>
  <c r="CD4" i="1"/>
  <c r="CD39" i="1" s="1"/>
  <c r="CB4" i="1"/>
  <c r="CB53" i="1" s="1"/>
  <c r="BZ4" i="1"/>
  <c r="BZ53" i="1" s="1"/>
  <c r="BX4" i="1"/>
  <c r="BX53" i="1" s="1"/>
  <c r="BV4" i="1"/>
  <c r="BV24" i="1" s="1"/>
  <c r="BT4" i="1"/>
  <c r="BT39" i="1" s="1"/>
  <c r="BR4" i="1"/>
  <c r="BR39" i="1" s="1"/>
  <c r="BP4" i="1"/>
  <c r="BP53" i="1" s="1"/>
  <c r="BN4" i="1"/>
  <c r="BN53" i="1" s="1"/>
  <c r="BL4" i="1"/>
  <c r="BL24" i="1" s="1"/>
  <c r="BJ4" i="1"/>
  <c r="BJ24" i="1" s="1"/>
  <c r="BH4" i="1"/>
  <c r="BH53" i="1" s="1"/>
  <c r="BF4" i="1"/>
  <c r="BF53" i="1" s="1"/>
  <c r="BD4" i="1"/>
  <c r="BD39" i="1" s="1"/>
  <c r="BB4" i="1"/>
  <c r="BB24" i="1" s="1"/>
  <c r="AZ4" i="1"/>
  <c r="AZ53" i="1" s="1"/>
  <c r="AX4" i="1"/>
  <c r="AX6" i="1" s="1"/>
  <c r="AN4" i="1"/>
  <c r="AN6" i="1" s="1"/>
  <c r="AL4" i="1"/>
  <c r="AL6" i="1" s="1"/>
  <c r="AJ4" i="1"/>
  <c r="AJ6" i="1" s="1"/>
  <c r="AI4" i="1"/>
  <c r="AI6" i="1" s="1"/>
  <c r="AG4" i="1"/>
  <c r="AG6" i="1" s="1"/>
  <c r="AE4" i="1"/>
  <c r="AE6" i="1" s="1"/>
  <c r="AC4" i="1"/>
  <c r="AC6" i="1" s="1"/>
  <c r="AA4" i="1"/>
  <c r="AA6" i="1" s="1"/>
  <c r="Y4" i="1"/>
  <c r="Y6" i="1" s="1"/>
  <c r="W4" i="1"/>
  <c r="W6" i="1" s="1"/>
  <c r="U4" i="1"/>
  <c r="U6" i="1" s="1"/>
  <c r="S4" i="1"/>
  <c r="S6" i="1" s="1"/>
  <c r="Q4" i="1"/>
  <c r="Q6" i="1" s="1"/>
  <c r="O4" i="1"/>
  <c r="O6" i="1" s="1"/>
  <c r="M4" i="1"/>
  <c r="M6" i="1" s="1"/>
  <c r="K4" i="1"/>
  <c r="K6" i="1" s="1"/>
  <c r="I4" i="1"/>
  <c r="I6" i="1" s="1"/>
  <c r="G4" i="1"/>
  <c r="G6" i="1" s="1"/>
  <c r="E4" i="1"/>
  <c r="E6" i="1" s="1"/>
  <c r="C4" i="1"/>
  <c r="C6" i="1" s="1"/>
  <c r="AX53" i="1"/>
  <c r="K53" i="1"/>
  <c r="BA53" i="1"/>
  <c r="BN39" i="1"/>
  <c r="BF39" i="1"/>
  <c r="BB39" i="1"/>
  <c r="AC39" i="1"/>
  <c r="AA39" i="1"/>
  <c r="K39" i="1"/>
  <c r="AH39" i="1"/>
  <c r="R39" i="1"/>
  <c r="L39" i="1"/>
  <c r="BN24" i="1"/>
  <c r="AX24" i="1"/>
  <c r="AA24" i="1"/>
  <c r="K24" i="1"/>
  <c r="AB24" i="1"/>
  <c r="J24" i="1"/>
  <c r="BQ6" i="1"/>
  <c r="AQ52" i="4"/>
  <c r="AO50" i="10" s="1"/>
  <c r="AP52" i="4"/>
  <c r="AO52" i="4"/>
  <c r="AM50" i="10" s="1"/>
  <c r="AN52" i="4"/>
  <c r="AL50" i="10" s="1"/>
  <c r="AM52" i="4"/>
  <c r="AL52" i="4"/>
  <c r="AJ50" i="10" s="1"/>
  <c r="AK52" i="4"/>
  <c r="AI50" i="10" s="1"/>
  <c r="AJ52" i="4"/>
  <c r="AH50" i="10" s="1"/>
  <c r="AI52" i="4"/>
  <c r="AG50" i="10" s="1"/>
  <c r="AH52" i="4"/>
  <c r="AF50" i="10" s="1"/>
  <c r="AG52" i="4"/>
  <c r="AE50" i="10" s="1"/>
  <c r="AF52" i="4"/>
  <c r="AD50" i="10" s="1"/>
  <c r="AE52" i="4"/>
  <c r="AC50" i="10" s="1"/>
  <c r="AD52" i="4"/>
  <c r="AB50" i="10" s="1"/>
  <c r="AC52" i="4"/>
  <c r="AA50" i="10" s="1"/>
  <c r="AB52" i="4"/>
  <c r="Z50" i="10" s="1"/>
  <c r="AA52" i="4"/>
  <c r="Y50" i="10" s="1"/>
  <c r="Z52" i="4"/>
  <c r="X50" i="10" s="1"/>
  <c r="Y52" i="4"/>
  <c r="W50" i="10" s="1"/>
  <c r="X52" i="4"/>
  <c r="V50" i="10" s="1"/>
  <c r="W52" i="4"/>
  <c r="U50" i="10" s="1"/>
  <c r="V52" i="4"/>
  <c r="T50" i="10" s="1"/>
  <c r="U52" i="4"/>
  <c r="S50" i="10" s="1"/>
  <c r="T52" i="4"/>
  <c r="R50" i="10" s="1"/>
  <c r="S52" i="4"/>
  <c r="Q50" i="10" s="1"/>
  <c r="R52" i="4"/>
  <c r="P50" i="10" s="1"/>
  <c r="Q52" i="4"/>
  <c r="O50" i="10" s="1"/>
  <c r="P52" i="4"/>
  <c r="N50" i="10" s="1"/>
  <c r="O52" i="4"/>
  <c r="M50" i="10" s="1"/>
  <c r="N52" i="4"/>
  <c r="L50" i="10" s="1"/>
  <c r="M52" i="4"/>
  <c r="K50" i="10" s="1"/>
  <c r="L52" i="4"/>
  <c r="J50" i="10" s="1"/>
  <c r="K52" i="4"/>
  <c r="I50" i="10" s="1"/>
  <c r="J52" i="4"/>
  <c r="H50" i="10" s="1"/>
  <c r="I52" i="4"/>
  <c r="G50" i="10" s="1"/>
  <c r="H52" i="4"/>
  <c r="F50" i="10" s="1"/>
  <c r="G52" i="4"/>
  <c r="E50" i="10" s="1"/>
  <c r="F52" i="4"/>
  <c r="D50" i="10" s="1"/>
  <c r="E52" i="4"/>
  <c r="C50" i="10" s="1"/>
  <c r="D52" i="4"/>
  <c r="B50" i="10" s="1"/>
  <c r="AQ38" i="4"/>
  <c r="AP38" i="4"/>
  <c r="AO38" i="4"/>
  <c r="AM36" i="10" s="1"/>
  <c r="AN38" i="4"/>
  <c r="AL36" i="10" s="1"/>
  <c r="AM38" i="4"/>
  <c r="AK36" i="10" s="1"/>
  <c r="AL38" i="4"/>
  <c r="AJ36" i="10" s="1"/>
  <c r="AK38" i="4"/>
  <c r="AI36" i="10" s="1"/>
  <c r="AJ38" i="4"/>
  <c r="AH36" i="10" s="1"/>
  <c r="AI38" i="4"/>
  <c r="AG36" i="10" s="1"/>
  <c r="AH38" i="4"/>
  <c r="AF36" i="10" s="1"/>
  <c r="AG38" i="4"/>
  <c r="AE36" i="10" s="1"/>
  <c r="AF38" i="4"/>
  <c r="AD36" i="10" s="1"/>
  <c r="AE38" i="4"/>
  <c r="AC36" i="10" s="1"/>
  <c r="AD38" i="4"/>
  <c r="AB36" i="10" s="1"/>
  <c r="AC38" i="4"/>
  <c r="AA36" i="10" s="1"/>
  <c r="AB38" i="4"/>
  <c r="Z36" i="10" s="1"/>
  <c r="AA38" i="4"/>
  <c r="Y36" i="10" s="1"/>
  <c r="Z38" i="4"/>
  <c r="X36" i="10" s="1"/>
  <c r="Y38" i="4"/>
  <c r="W36" i="10" s="1"/>
  <c r="X38" i="4"/>
  <c r="V36" i="10" s="1"/>
  <c r="W38" i="4"/>
  <c r="U36" i="10" s="1"/>
  <c r="V38" i="4"/>
  <c r="T36" i="10" s="1"/>
  <c r="U38" i="4"/>
  <c r="S36" i="10" s="1"/>
  <c r="T38" i="4"/>
  <c r="R36" i="10" s="1"/>
  <c r="S38" i="4"/>
  <c r="Q36" i="10" s="1"/>
  <c r="R38" i="4"/>
  <c r="P36" i="10" s="1"/>
  <c r="Q38" i="4"/>
  <c r="O36" i="10" s="1"/>
  <c r="P38" i="4"/>
  <c r="N36" i="10" s="1"/>
  <c r="O38" i="4"/>
  <c r="M36" i="10" s="1"/>
  <c r="N38" i="4"/>
  <c r="L36" i="10" s="1"/>
  <c r="M38" i="4"/>
  <c r="K36" i="10" s="1"/>
  <c r="L38" i="4"/>
  <c r="J36" i="10" s="1"/>
  <c r="K38" i="4"/>
  <c r="I36" i="10" s="1"/>
  <c r="J38" i="4"/>
  <c r="H36" i="10" s="1"/>
  <c r="I38" i="4"/>
  <c r="G36" i="10" s="1"/>
  <c r="H38" i="4"/>
  <c r="F36" i="10" s="1"/>
  <c r="G38" i="4"/>
  <c r="E36" i="10" s="1"/>
  <c r="F38" i="4"/>
  <c r="D36" i="10" s="1"/>
  <c r="E38" i="4"/>
  <c r="C36" i="10" s="1"/>
  <c r="D38" i="4"/>
  <c r="B36" i="10" s="1"/>
  <c r="AQ5" i="4"/>
  <c r="AQ23" i="4"/>
  <c r="AP23" i="4"/>
  <c r="AO23" i="4"/>
  <c r="AM21" i="10" s="1"/>
  <c r="AN23" i="4"/>
  <c r="AL21" i="10" s="1"/>
  <c r="AM23" i="4"/>
  <c r="AL23" i="4"/>
  <c r="AJ21" i="10" s="1"/>
  <c r="AK23" i="4"/>
  <c r="AI21" i="10" s="1"/>
  <c r="AJ23" i="4"/>
  <c r="AH21" i="10" s="1"/>
  <c r="AI23" i="4"/>
  <c r="AG21" i="10" s="1"/>
  <c r="AH23" i="4"/>
  <c r="AF21" i="10" s="1"/>
  <c r="AG23" i="4"/>
  <c r="AE21" i="10" s="1"/>
  <c r="AF23" i="4"/>
  <c r="AD21" i="10" s="1"/>
  <c r="AE23" i="4"/>
  <c r="AD23" i="4"/>
  <c r="AB21" i="10" s="1"/>
  <c r="AC23" i="4"/>
  <c r="AA21" i="10" s="1"/>
  <c r="AB23" i="4"/>
  <c r="Z21" i="10" s="1"/>
  <c r="AA23" i="4"/>
  <c r="Y21" i="10" s="1"/>
  <c r="Z23" i="4"/>
  <c r="X21" i="10" s="1"/>
  <c r="Y23" i="4"/>
  <c r="W21" i="10" s="1"/>
  <c r="X23" i="4"/>
  <c r="V21" i="10" s="1"/>
  <c r="W23" i="4"/>
  <c r="U21" i="10" s="1"/>
  <c r="V23" i="4"/>
  <c r="T21" i="10" s="1"/>
  <c r="U23" i="4"/>
  <c r="S21" i="10" s="1"/>
  <c r="T23" i="4"/>
  <c r="R21" i="10" s="1"/>
  <c r="S23" i="4"/>
  <c r="Q21" i="10" s="1"/>
  <c r="R23" i="4"/>
  <c r="P21" i="10" s="1"/>
  <c r="Q23" i="4"/>
  <c r="O21" i="10" s="1"/>
  <c r="P23" i="4"/>
  <c r="N21" i="10" s="1"/>
  <c r="O23" i="4"/>
  <c r="M21" i="10" s="1"/>
  <c r="N23" i="4"/>
  <c r="L21" i="10" s="1"/>
  <c r="M23" i="4"/>
  <c r="K21" i="10" s="1"/>
  <c r="L23" i="4"/>
  <c r="J21" i="10" s="1"/>
  <c r="K23" i="4"/>
  <c r="I21" i="10" s="1"/>
  <c r="J23" i="4"/>
  <c r="H21" i="10" s="1"/>
  <c r="I23" i="4"/>
  <c r="G21" i="10" s="1"/>
  <c r="H23" i="4"/>
  <c r="F21" i="10" s="1"/>
  <c r="G23" i="4"/>
  <c r="E21" i="10" s="1"/>
  <c r="F23" i="4"/>
  <c r="D21" i="10" s="1"/>
  <c r="E23" i="4"/>
  <c r="C21" i="10" s="1"/>
  <c r="D23" i="4"/>
  <c r="D4" i="4" s="1"/>
  <c r="AP5" i="4"/>
  <c r="AO5" i="4"/>
  <c r="AM3" i="10" s="1"/>
  <c r="AN5" i="4"/>
  <c r="AL3" i="10" s="1"/>
  <c r="AM5" i="4"/>
  <c r="AK3" i="10" s="1"/>
  <c r="AL5" i="4"/>
  <c r="AJ3" i="10" s="1"/>
  <c r="AK5" i="4"/>
  <c r="AI3" i="10" s="1"/>
  <c r="AJ5" i="4"/>
  <c r="AH3" i="10" s="1"/>
  <c r="AI5" i="4"/>
  <c r="AG3" i="10" s="1"/>
  <c r="AH5" i="4"/>
  <c r="AF3" i="10" s="1"/>
  <c r="AG5" i="4"/>
  <c r="AE3" i="10" s="1"/>
  <c r="AF5" i="4"/>
  <c r="AD3" i="10" s="1"/>
  <c r="AE5" i="4"/>
  <c r="AD5" i="4"/>
  <c r="AB3" i="10" s="1"/>
  <c r="AC5" i="4"/>
  <c r="AA3" i="10" s="1"/>
  <c r="AB5" i="4"/>
  <c r="Z3" i="10" s="1"/>
  <c r="AA5" i="4"/>
  <c r="Z5" i="4"/>
  <c r="X3" i="10" s="1"/>
  <c r="Y5" i="4"/>
  <c r="W3" i="10" s="1"/>
  <c r="X5" i="4"/>
  <c r="V3" i="10" s="1"/>
  <c r="W5" i="4"/>
  <c r="V5" i="4"/>
  <c r="T3" i="10" s="1"/>
  <c r="U5" i="4"/>
  <c r="T5" i="4"/>
  <c r="R3" i="10" s="1"/>
  <c r="S5" i="4"/>
  <c r="R5" i="4"/>
  <c r="P3" i="10" s="1"/>
  <c r="Q5" i="4"/>
  <c r="O3" i="10" s="1"/>
  <c r="P5" i="4"/>
  <c r="N3" i="10" s="1"/>
  <c r="O5" i="4"/>
  <c r="N5" i="4"/>
  <c r="L3" i="10" s="1"/>
  <c r="M5" i="4"/>
  <c r="K3" i="10" s="1"/>
  <c r="L5" i="4"/>
  <c r="J3" i="10" s="1"/>
  <c r="K5" i="4"/>
  <c r="I3" i="10" s="1"/>
  <c r="J5" i="4"/>
  <c r="H3" i="10" s="1"/>
  <c r="I5" i="4"/>
  <c r="G3" i="10" s="1"/>
  <c r="H5" i="4"/>
  <c r="F3" i="10" s="1"/>
  <c r="G5" i="4"/>
  <c r="F5" i="4"/>
  <c r="D3" i="10" s="1"/>
  <c r="E5" i="4"/>
  <c r="C3" i="10" s="1"/>
  <c r="D5" i="4"/>
  <c r="B3" i="10" s="1"/>
  <c r="N4" i="4"/>
  <c r="E4" i="4"/>
  <c r="AB39" i="1" l="1"/>
  <c r="L24" i="1"/>
  <c r="M39" i="1"/>
  <c r="CK53" i="1"/>
  <c r="K24" i="8"/>
  <c r="T53" i="8"/>
  <c r="R24" i="1"/>
  <c r="B39" i="1"/>
  <c r="AY53" i="1"/>
  <c r="V53" i="8"/>
  <c r="M24" i="1"/>
  <c r="B6" i="1"/>
  <c r="AC24" i="1"/>
  <c r="CK39" i="1"/>
  <c r="AB53" i="1"/>
  <c r="R6" i="8"/>
  <c r="K39" i="8"/>
  <c r="M53" i="1"/>
  <c r="W53" i="8"/>
  <c r="R53" i="8"/>
  <c r="W24" i="8"/>
  <c r="AN3" i="10"/>
  <c r="BM6" i="1"/>
  <c r="W53" i="1"/>
  <c r="BO6" i="1"/>
  <c r="AH24" i="1"/>
  <c r="BR24" i="1"/>
  <c r="BA39" i="1"/>
  <c r="BQ53" i="1"/>
  <c r="AA53" i="1"/>
  <c r="P6" i="8"/>
  <c r="N24" i="8"/>
  <c r="O24" i="8"/>
  <c r="AN36" i="10"/>
  <c r="AN50" i="10"/>
  <c r="T6" i="8"/>
  <c r="CC39" i="1"/>
  <c r="CJ53" i="1"/>
  <c r="M24" i="8"/>
  <c r="H39" i="1"/>
  <c r="CE39" i="1"/>
  <c r="Z53" i="1"/>
  <c r="CD53" i="1"/>
  <c r="AN21" i="10"/>
  <c r="W39" i="1"/>
  <c r="AM53" i="1"/>
  <c r="N6" i="8"/>
  <c r="H24" i="1"/>
  <c r="Y24" i="1"/>
  <c r="J39" i="1"/>
  <c r="BJ39" i="1"/>
  <c r="AD53" i="1"/>
  <c r="O6" i="8"/>
  <c r="N53" i="8"/>
  <c r="W39" i="8"/>
  <c r="U39" i="8"/>
  <c r="P53" i="8"/>
  <c r="M6" i="8"/>
  <c r="J6" i="8"/>
  <c r="J39" i="8"/>
  <c r="J53" i="8"/>
  <c r="M53" i="8"/>
  <c r="U24" i="8"/>
  <c r="U6" i="8"/>
  <c r="BZ24" i="1"/>
  <c r="BX39" i="1"/>
  <c r="BM53" i="1"/>
  <c r="AL53" i="1"/>
  <c r="CC6" i="1"/>
  <c r="G24" i="1"/>
  <c r="AE24" i="1"/>
  <c r="CB24" i="1"/>
  <c r="AM39" i="1"/>
  <c r="E39" i="1"/>
  <c r="AL39" i="1"/>
  <c r="BZ39" i="1"/>
  <c r="BK53" i="1"/>
  <c r="CE6" i="1"/>
  <c r="T24" i="1"/>
  <c r="I24" i="1"/>
  <c r="AL24" i="1"/>
  <c r="CD24" i="1"/>
  <c r="T39" i="1"/>
  <c r="AY39" i="1"/>
  <c r="G39" i="1"/>
  <c r="AX39" i="1"/>
  <c r="BJ53" i="1"/>
  <c r="AK24" i="1"/>
  <c r="AN24" i="1"/>
  <c r="V24" i="1"/>
  <c r="AK39" i="1"/>
  <c r="AM6" i="1"/>
  <c r="V39" i="1"/>
  <c r="D53" i="1"/>
  <c r="D24" i="1"/>
  <c r="X24" i="1"/>
  <c r="D39" i="1"/>
  <c r="X39" i="1"/>
  <c r="X53" i="1"/>
  <c r="F53" i="1"/>
  <c r="F24" i="1"/>
  <c r="Z24" i="1"/>
  <c r="W24" i="1"/>
  <c r="F39" i="1"/>
  <c r="Z39" i="1"/>
  <c r="U39" i="1"/>
  <c r="BH39" i="1"/>
  <c r="V53" i="1"/>
  <c r="O53" i="1"/>
  <c r="CG53" i="1"/>
  <c r="BB53" i="1"/>
  <c r="CG6" i="1"/>
  <c r="BE39" i="1"/>
  <c r="CI39" i="1"/>
  <c r="O39" i="1"/>
  <c r="AE39" i="1"/>
  <c r="CB39" i="1"/>
  <c r="BG53" i="1"/>
  <c r="Y53" i="1"/>
  <c r="BE6" i="1"/>
  <c r="CI6" i="1"/>
  <c r="N24" i="1"/>
  <c r="AD24" i="1"/>
  <c r="O24" i="1"/>
  <c r="N39" i="1"/>
  <c r="AD39" i="1"/>
  <c r="Q39" i="1"/>
  <c r="AG39" i="1"/>
  <c r="BL53" i="1"/>
  <c r="P24" i="1"/>
  <c r="AF24" i="1"/>
  <c r="CJ24" i="1"/>
  <c r="P39" i="1"/>
  <c r="AF39" i="1"/>
  <c r="BO39" i="1"/>
  <c r="C39" i="1"/>
  <c r="S39" i="1"/>
  <c r="AI39" i="1"/>
  <c r="BL39" i="1"/>
  <c r="CJ39" i="1"/>
  <c r="J53" i="1"/>
  <c r="AC53" i="1"/>
  <c r="N53" i="1"/>
  <c r="AE53" i="1"/>
  <c r="BR53" i="1"/>
  <c r="BU39" i="1"/>
  <c r="AN39" i="1"/>
  <c r="BU6" i="1"/>
  <c r="I39" i="1"/>
  <c r="Y39" i="1"/>
  <c r="BV39" i="1"/>
  <c r="H53" i="1"/>
  <c r="AN53" i="1"/>
  <c r="P4" i="4"/>
  <c r="P39" i="4" s="1"/>
  <c r="X4" i="4"/>
  <c r="V2" i="10" s="1"/>
  <c r="AF4" i="4"/>
  <c r="AF6" i="4" s="1"/>
  <c r="S4" i="4"/>
  <c r="Q2" i="10" s="1"/>
  <c r="U4" i="4"/>
  <c r="S2" i="10" s="1"/>
  <c r="H4" i="4"/>
  <c r="F2" i="10" s="1"/>
  <c r="AN4" i="4"/>
  <c r="AN53" i="4" s="1"/>
  <c r="AA4" i="4"/>
  <c r="AA53" i="4" s="1"/>
  <c r="AD4" i="4"/>
  <c r="AD53" i="4" s="1"/>
  <c r="G4" i="4"/>
  <c r="E2" i="10" s="1"/>
  <c r="O4" i="4"/>
  <c r="O24" i="4" s="1"/>
  <c r="W4" i="4"/>
  <c r="W39" i="4" s="1"/>
  <c r="AE4" i="4"/>
  <c r="AE6" i="4" s="1"/>
  <c r="E3" i="10"/>
  <c r="Y3" i="10"/>
  <c r="F4" i="4"/>
  <c r="F53" i="4" s="1"/>
  <c r="AC4" i="4"/>
  <c r="AC53" i="4" s="1"/>
  <c r="M4" i="4"/>
  <c r="K2" i="10" s="1"/>
  <c r="S3" i="10"/>
  <c r="AL4" i="4"/>
  <c r="AL53" i="4" s="1"/>
  <c r="AK4" i="4"/>
  <c r="AK6" i="4" s="1"/>
  <c r="V4" i="4"/>
  <c r="T2" i="10" s="1"/>
  <c r="Q3" i="10"/>
  <c r="Q4" i="4"/>
  <c r="Q53" i="4" s="1"/>
  <c r="BG6" i="1"/>
  <c r="BW6" i="1"/>
  <c r="BD24" i="1"/>
  <c r="BW39" i="1"/>
  <c r="M3" i="10"/>
  <c r="J4" i="4"/>
  <c r="J53" i="4" s="1"/>
  <c r="Z4" i="4"/>
  <c r="Z53" i="4" s="1"/>
  <c r="AP4" i="4"/>
  <c r="BY6" i="1"/>
  <c r="BF24" i="1"/>
  <c r="BY39" i="1"/>
  <c r="AO21" i="10"/>
  <c r="K4" i="4"/>
  <c r="K6" i="4" s="1"/>
  <c r="AI4" i="4"/>
  <c r="AG2" i="10" s="1"/>
  <c r="BK6" i="1"/>
  <c r="CA6" i="1"/>
  <c r="C24" i="1"/>
  <c r="S24" i="1"/>
  <c r="AI24" i="1"/>
  <c r="BH24" i="1"/>
  <c r="BX24" i="1"/>
  <c r="CA39" i="1"/>
  <c r="P53" i="1"/>
  <c r="BI53" i="1"/>
  <c r="B53" i="1"/>
  <c r="AH53" i="1"/>
  <c r="BS53" i="1"/>
  <c r="S53" i="1"/>
  <c r="AI53" i="1"/>
  <c r="B21" i="10"/>
  <c r="AC3" i="10"/>
  <c r="AG4" i="4"/>
  <c r="AG53" i="4" s="1"/>
  <c r="BT24" i="1"/>
  <c r="BD53" i="1"/>
  <c r="AH4" i="4"/>
  <c r="AF2" i="10" s="1"/>
  <c r="Q24" i="1"/>
  <c r="BI39" i="1"/>
  <c r="Q53" i="1"/>
  <c r="BV53" i="1"/>
  <c r="AO36" i="10"/>
  <c r="U3" i="10"/>
  <c r="L4" i="4"/>
  <c r="L6" i="4" s="1"/>
  <c r="T4" i="4"/>
  <c r="T6" i="4" s="1"/>
  <c r="AB4" i="4"/>
  <c r="AB6" i="4" s="1"/>
  <c r="AJ4" i="4"/>
  <c r="AH2" i="10" s="1"/>
  <c r="AO6" i="1"/>
  <c r="E24" i="1"/>
  <c r="U24" i="1"/>
  <c r="AO39" i="1"/>
  <c r="T53" i="1"/>
  <c r="AK53" i="1"/>
  <c r="U53" i="1"/>
  <c r="X53" i="8"/>
  <c r="BT53" i="1"/>
  <c r="R4" i="4"/>
  <c r="R39" i="4" s="1"/>
  <c r="AG24" i="1"/>
  <c r="L53" i="1"/>
  <c r="AG53" i="1"/>
  <c r="AZ39" i="1"/>
  <c r="BP39" i="1"/>
  <c r="CH39" i="1"/>
  <c r="X6" i="8"/>
  <c r="X39" i="8"/>
  <c r="AO3" i="10"/>
  <c r="I4" i="4"/>
  <c r="I24" i="4" s="1"/>
  <c r="Y4" i="4"/>
  <c r="W2" i="10" s="1"/>
  <c r="AO4" i="4"/>
  <c r="AO53" i="4" s="1"/>
  <c r="AM4" i="4"/>
  <c r="AM24" i="4" s="1"/>
  <c r="BC6" i="1"/>
  <c r="BS6" i="1"/>
  <c r="AZ24" i="1"/>
  <c r="BP24" i="1"/>
  <c r="CH24" i="1"/>
  <c r="BC39" i="1"/>
  <c r="AF53" i="1"/>
  <c r="R53" i="1"/>
  <c r="T39" i="8"/>
  <c r="AK21" i="10"/>
  <c r="AK50" i="10"/>
  <c r="BV6" i="1"/>
  <c r="BZ6" i="1"/>
  <c r="CD6" i="1"/>
  <c r="CJ6" i="1"/>
  <c r="BU24" i="1"/>
  <c r="BY24" i="1"/>
  <c r="CC24" i="1"/>
  <c r="CG24" i="1"/>
  <c r="CI24" i="1"/>
  <c r="BT6" i="1"/>
  <c r="BX6" i="1"/>
  <c r="AB2" i="10"/>
  <c r="CB6" i="1"/>
  <c r="CH6" i="1"/>
  <c r="CF24" i="1"/>
  <c r="BS24" i="1"/>
  <c r="BW24" i="1"/>
  <c r="AA2" i="10"/>
  <c r="CA24" i="1"/>
  <c r="CE24" i="1"/>
  <c r="AZ6" i="1"/>
  <c r="BD6" i="1"/>
  <c r="BH6" i="1"/>
  <c r="L2" i="10"/>
  <c r="BL6" i="1"/>
  <c r="BP6" i="1"/>
  <c r="AY24" i="1"/>
  <c r="C2" i="10"/>
  <c r="BC24" i="1"/>
  <c r="BG24" i="1"/>
  <c r="BK24" i="1"/>
  <c r="BO24" i="1"/>
  <c r="C53" i="1"/>
  <c r="BB6" i="1"/>
  <c r="BF6" i="1"/>
  <c r="BJ6" i="1"/>
  <c r="BN6" i="1"/>
  <c r="BR6" i="1"/>
  <c r="BA24" i="1"/>
  <c r="BE24" i="1"/>
  <c r="BI24" i="1"/>
  <c r="BM24" i="1"/>
  <c r="BQ24" i="1"/>
  <c r="S56" i="2"/>
  <c r="S42" i="2"/>
  <c r="R56" i="2"/>
  <c r="R42" i="2"/>
  <c r="G53" i="1"/>
  <c r="AO24" i="1"/>
  <c r="CK24" i="1"/>
  <c r="AJ53" i="1"/>
  <c r="CF39" i="1"/>
  <c r="E53" i="1"/>
  <c r="I53" i="1"/>
  <c r="G6" i="8"/>
  <c r="G24" i="8"/>
  <c r="G39" i="8"/>
  <c r="CF6" i="1"/>
  <c r="CF53" i="1"/>
  <c r="AJ24" i="1"/>
  <c r="AJ39" i="1"/>
  <c r="E53" i="4"/>
  <c r="D53" i="4"/>
  <c r="H53" i="4"/>
  <c r="N53" i="4"/>
  <c r="P53" i="4"/>
  <c r="D39" i="4"/>
  <c r="N39" i="4"/>
  <c r="T39" i="4"/>
  <c r="X39" i="4"/>
  <c r="AD39" i="4"/>
  <c r="E39" i="4"/>
  <c r="AA39" i="4"/>
  <c r="AC39" i="4"/>
  <c r="H24" i="4"/>
  <c r="N24" i="4"/>
  <c r="E24" i="4"/>
  <c r="AK24" i="4"/>
  <c r="D24" i="4"/>
  <c r="AQ4" i="4"/>
  <c r="E6" i="4"/>
  <c r="W6" i="4"/>
  <c r="AA6" i="4"/>
  <c r="D6" i="4"/>
  <c r="N6" i="4"/>
  <c r="P6" i="4"/>
  <c r="AE24" i="4" l="1"/>
  <c r="U6" i="4"/>
  <c r="T24" i="4"/>
  <c r="O39" i="4"/>
  <c r="AL24" i="4"/>
  <c r="AC2" i="10"/>
  <c r="M2" i="10"/>
  <c r="X6" i="4"/>
  <c r="Y39" i="4"/>
  <c r="S53" i="4"/>
  <c r="AE39" i="4"/>
  <c r="U24" i="4"/>
  <c r="AE53" i="4"/>
  <c r="AJ6" i="4"/>
  <c r="O6" i="4"/>
  <c r="U53" i="4"/>
  <c r="AH24" i="4"/>
  <c r="AF24" i="4"/>
  <c r="U39" i="4"/>
  <c r="AH53" i="4"/>
  <c r="O53" i="4"/>
  <c r="Y2" i="10"/>
  <c r="F6" i="4"/>
  <c r="S6" i="4"/>
  <c r="AA24" i="4"/>
  <c r="S39" i="4"/>
  <c r="F39" i="4"/>
  <c r="AN2" i="10"/>
  <c r="F24" i="4"/>
  <c r="AH6" i="4"/>
  <c r="AI6" i="4"/>
  <c r="AF39" i="4"/>
  <c r="AF53" i="4"/>
  <c r="R2" i="10"/>
  <c r="AJ2" i="10"/>
  <c r="AD2" i="10"/>
  <c r="AP53" i="4"/>
  <c r="AL6" i="4"/>
  <c r="S24" i="4"/>
  <c r="U2" i="10"/>
  <c r="AG6" i="4"/>
  <c r="T53" i="4"/>
  <c r="D2" i="10"/>
  <c r="R8" i="2"/>
  <c r="K39" i="4"/>
  <c r="AN24" i="4"/>
  <c r="R24" i="4"/>
  <c r="H39" i="4"/>
  <c r="H6" i="4"/>
  <c r="P24" i="4"/>
  <c r="W53" i="4"/>
  <c r="N2" i="10"/>
  <c r="P2" i="10"/>
  <c r="AI2" i="10"/>
  <c r="AL2" i="10"/>
  <c r="AN6" i="4"/>
  <c r="V39" i="4"/>
  <c r="X24" i="4"/>
  <c r="AN39" i="4"/>
  <c r="X53" i="4"/>
  <c r="V6" i="4"/>
  <c r="W24" i="4"/>
  <c r="V24" i="4"/>
  <c r="AL39" i="4"/>
  <c r="M39" i="4"/>
  <c r="V53" i="4"/>
  <c r="AD24" i="4"/>
  <c r="AB39" i="4"/>
  <c r="AD6" i="4"/>
  <c r="AC6" i="4"/>
  <c r="AI24" i="4"/>
  <c r="AP39" i="4"/>
  <c r="G39" i="4"/>
  <c r="AM53" i="4"/>
  <c r="AK53" i="4"/>
  <c r="AP6" i="4"/>
  <c r="AG24" i="4"/>
  <c r="M24" i="4"/>
  <c r="AJ53" i="4"/>
  <c r="AI53" i="4"/>
  <c r="M53" i="4"/>
  <c r="M6" i="4"/>
  <c r="G6" i="4"/>
  <c r="I39" i="4"/>
  <c r="AP24" i="4"/>
  <c r="G24" i="4"/>
  <c r="AM39" i="4"/>
  <c r="G53" i="4"/>
  <c r="AK2" i="10"/>
  <c r="AC24" i="4"/>
  <c r="AK39" i="4"/>
  <c r="AJ39" i="4"/>
  <c r="AM6" i="4"/>
  <c r="AJ24" i="4"/>
  <c r="AI39" i="4"/>
  <c r="AH39" i="4"/>
  <c r="G2" i="10"/>
  <c r="X2" i="10"/>
  <c r="Z39" i="4"/>
  <c r="J39" i="4"/>
  <c r="Y53" i="4"/>
  <c r="I53" i="4"/>
  <c r="AE2" i="10"/>
  <c r="J6" i="4"/>
  <c r="Q24" i="4"/>
  <c r="L39" i="4"/>
  <c r="R53" i="4"/>
  <c r="K53" i="4"/>
  <c r="R6" i="4"/>
  <c r="K24" i="4"/>
  <c r="AB24" i="4"/>
  <c r="L24" i="4"/>
  <c r="AO39" i="4"/>
  <c r="I2" i="10"/>
  <c r="H2" i="10"/>
  <c r="AM2" i="10"/>
  <c r="Z2" i="10"/>
  <c r="AO6" i="4"/>
  <c r="Q6" i="4"/>
  <c r="AO24" i="4"/>
  <c r="Y6" i="4"/>
  <c r="I6" i="4"/>
  <c r="Y24" i="4"/>
  <c r="Z24" i="4"/>
  <c r="J24" i="4"/>
  <c r="AG39" i="4"/>
  <c r="Q39" i="4"/>
  <c r="AB53" i="4"/>
  <c r="L53" i="4"/>
  <c r="Z6" i="4"/>
  <c r="J2" i="10"/>
  <c r="O2" i="10"/>
  <c r="AO2" i="10"/>
  <c r="AQ6" i="4"/>
  <c r="AQ53" i="4"/>
  <c r="AQ39" i="4"/>
  <c r="AQ24" i="4"/>
  <c r="R27" i="2" l="1"/>
  <c r="R26" i="2"/>
  <c r="R25" i="2"/>
  <c r="R24" i="2"/>
  <c r="R23" i="2"/>
  <c r="R22" i="2"/>
  <c r="R21" i="2"/>
  <c r="R20" i="2"/>
  <c r="R19" i="2"/>
  <c r="R18" i="2"/>
  <c r="R17" i="2"/>
  <c r="R16" i="2"/>
  <c r="R15" i="2"/>
  <c r="R14" i="2"/>
  <c r="S27" i="2"/>
  <c r="S26" i="2"/>
  <c r="S25" i="2"/>
  <c r="S24" i="2"/>
  <c r="S23" i="2"/>
  <c r="S22" i="2"/>
  <c r="S21" i="2"/>
  <c r="S20" i="2"/>
  <c r="S19" i="2"/>
  <c r="S18" i="2"/>
  <c r="S17" i="2"/>
  <c r="S16" i="2"/>
  <c r="S15" i="2"/>
  <c r="S14" i="2"/>
  <c r="B2" i="10"/>
  <c r="H4" i="8"/>
  <c r="I4" i="8"/>
  <c r="B5" i="8"/>
  <c r="B6" i="8" s="1"/>
  <c r="C5" i="8"/>
  <c r="C6" i="8" s="1"/>
  <c r="D5" i="8"/>
  <c r="D6" i="8" s="1"/>
  <c r="E5" i="8"/>
  <c r="E6" i="8" s="1"/>
  <c r="F5" i="8"/>
  <c r="F6" i="8" s="1"/>
  <c r="H7" i="8"/>
  <c r="H8" i="8"/>
  <c r="H10" i="8"/>
  <c r="H11" i="8"/>
  <c r="H12" i="8"/>
  <c r="H13" i="8"/>
  <c r="H14" i="8"/>
  <c r="H15" i="8"/>
  <c r="H16" i="8"/>
  <c r="H17" i="8"/>
  <c r="H18" i="8"/>
  <c r="H19" i="8"/>
  <c r="H20" i="8"/>
  <c r="H21" i="8"/>
  <c r="H22" i="8"/>
  <c r="I7" i="8"/>
  <c r="I8" i="8"/>
  <c r="I10" i="8"/>
  <c r="I11" i="8"/>
  <c r="I12" i="8"/>
  <c r="I13" i="8"/>
  <c r="I14" i="8"/>
  <c r="I15" i="8"/>
  <c r="I16" i="8"/>
  <c r="I17" i="8"/>
  <c r="I18" i="8"/>
  <c r="I19" i="8"/>
  <c r="I20" i="8"/>
  <c r="I21" i="8"/>
  <c r="I22" i="8"/>
  <c r="B4" i="7"/>
  <c r="F4" i="7"/>
  <c r="H4" i="7"/>
  <c r="I4" i="7"/>
  <c r="B7" i="7"/>
  <c r="B8" i="7"/>
  <c r="B10" i="7"/>
  <c r="B11" i="7"/>
  <c r="B12" i="7"/>
  <c r="B13" i="7"/>
  <c r="B14" i="7"/>
  <c r="B15" i="7"/>
  <c r="B16" i="7"/>
  <c r="B18" i="7"/>
  <c r="B19" i="7"/>
  <c r="B20" i="7"/>
  <c r="B21" i="7"/>
  <c r="B22" i="7"/>
  <c r="C5" i="7"/>
  <c r="C6" i="7" s="1"/>
  <c r="D5" i="7"/>
  <c r="D6" i="7" s="1"/>
  <c r="E5" i="7"/>
  <c r="E6" i="7" s="1"/>
  <c r="F7" i="7"/>
  <c r="F8" i="7"/>
  <c r="F10" i="7"/>
  <c r="F11" i="7"/>
  <c r="F12" i="7"/>
  <c r="F13" i="7"/>
  <c r="F14" i="7"/>
  <c r="F15" i="7"/>
  <c r="F16" i="7"/>
  <c r="F17" i="7"/>
  <c r="F18" i="7"/>
  <c r="F19" i="7"/>
  <c r="F20" i="7"/>
  <c r="F21" i="7"/>
  <c r="F22" i="7"/>
  <c r="H7" i="7"/>
  <c r="H8" i="7"/>
  <c r="H10" i="7"/>
  <c r="H11" i="7"/>
  <c r="H12" i="7"/>
  <c r="H13" i="7"/>
  <c r="H14" i="7"/>
  <c r="H15" i="7"/>
  <c r="H16" i="7"/>
  <c r="H17" i="7"/>
  <c r="H18" i="7"/>
  <c r="H19" i="7"/>
  <c r="H20" i="7"/>
  <c r="H21" i="7"/>
  <c r="H22" i="7"/>
  <c r="I7" i="7"/>
  <c r="I8" i="7"/>
  <c r="I10" i="7"/>
  <c r="I11" i="7"/>
  <c r="I12" i="7"/>
  <c r="I13" i="7"/>
  <c r="I14" i="7"/>
  <c r="I15" i="7"/>
  <c r="I16" i="7"/>
  <c r="I17" i="7"/>
  <c r="I18" i="7"/>
  <c r="I19" i="7"/>
  <c r="I20" i="7"/>
  <c r="I21" i="7"/>
  <c r="I22" i="7"/>
  <c r="C5" i="4"/>
  <c r="C6" i="4" s="1"/>
  <c r="B5" i="4"/>
  <c r="B6" i="4" s="1"/>
  <c r="I39" i="7" l="1"/>
  <c r="I24" i="7"/>
  <c r="I53" i="7"/>
  <c r="F39" i="7"/>
  <c r="F53" i="7"/>
  <c r="F24" i="7"/>
  <c r="B5" i="7"/>
  <c r="B6" i="7" s="1"/>
  <c r="H24" i="7"/>
  <c r="H39" i="7"/>
  <c r="H53" i="7"/>
  <c r="B24" i="7"/>
  <c r="B39" i="7"/>
  <c r="B53" i="7"/>
  <c r="I5" i="7"/>
  <c r="I6" i="7" s="1"/>
  <c r="H5" i="7"/>
  <c r="H6" i="7" s="1"/>
  <c r="F5" i="7"/>
  <c r="F6" i="7" s="1"/>
  <c r="H53" i="8"/>
  <c r="H24" i="8"/>
  <c r="H39" i="8"/>
  <c r="I53" i="8"/>
  <c r="I24" i="8"/>
  <c r="I39" i="8"/>
  <c r="I5" i="8"/>
  <c r="I6" i="8" s="1"/>
  <c r="H5" i="8"/>
  <c r="H6" i="8" s="1"/>
  <c r="H5" i="5" l="1"/>
  <c r="D5" i="5"/>
  <c r="N5" i="5"/>
  <c r="P5" i="5"/>
  <c r="L5" i="5"/>
  <c r="F5" i="5"/>
  <c r="B5" i="5"/>
  <c r="Q5" i="5"/>
  <c r="M5" i="5"/>
  <c r="I5" i="5"/>
  <c r="E5" i="5"/>
  <c r="S5" i="5"/>
  <c r="O5" i="5"/>
  <c r="K5" i="5"/>
  <c r="G5" i="5"/>
  <c r="C5" i="5"/>
  <c r="J23" i="5"/>
  <c r="B23" i="5"/>
  <c r="M23" i="5"/>
  <c r="E23" i="5"/>
  <c r="O23" i="5"/>
  <c r="G23" i="5"/>
  <c r="S38" i="5"/>
  <c r="K38" i="5"/>
  <c r="C38" i="5"/>
  <c r="Q38" i="5"/>
  <c r="I38" i="5"/>
  <c r="G52" i="5"/>
  <c r="L23" i="5"/>
  <c r="D23" i="5"/>
  <c r="R23" i="5"/>
  <c r="P38" i="5"/>
  <c r="N38" i="5"/>
  <c r="H38" i="5"/>
  <c r="F38" i="5"/>
  <c r="R52" i="5"/>
  <c r="L52" i="5"/>
  <c r="D52" i="5"/>
  <c r="B52" i="5"/>
  <c r="J52" i="5"/>
  <c r="E52" i="5"/>
  <c r="O52" i="5"/>
  <c r="M52" i="5"/>
  <c r="P52" i="5"/>
  <c r="H52" i="5"/>
  <c r="S52" i="5"/>
  <c r="K52" i="5"/>
  <c r="C52" i="5"/>
  <c r="L38" i="5"/>
  <c r="D38" i="5"/>
  <c r="O38" i="5"/>
  <c r="G38" i="5"/>
  <c r="P23" i="5"/>
  <c r="H23" i="5"/>
  <c r="S23" i="5"/>
  <c r="K23" i="5"/>
  <c r="C23" i="5"/>
  <c r="N52" i="5"/>
  <c r="F52" i="5"/>
  <c r="Q52" i="5"/>
  <c r="I52" i="5"/>
  <c r="R38" i="5"/>
  <c r="J38" i="5"/>
  <c r="B38" i="5"/>
  <c r="M38" i="5"/>
  <c r="E38" i="5"/>
  <c r="N23" i="5"/>
  <c r="F23" i="5"/>
  <c r="Q23" i="5"/>
  <c r="I23" i="5"/>
  <c r="R5" i="5"/>
  <c r="J5" i="5"/>
  <c r="R4" i="5" l="1"/>
  <c r="J4" i="5"/>
  <c r="J53" i="5" s="1"/>
  <c r="G4" i="5"/>
  <c r="G39" i="5" s="1"/>
  <c r="O4" i="5"/>
  <c r="O6" i="5" s="1"/>
  <c r="N4" i="5"/>
  <c r="N53" i="5" s="1"/>
  <c r="D4" i="5"/>
  <c r="D24" i="5" s="1"/>
  <c r="N24" i="5"/>
  <c r="N39" i="5"/>
  <c r="C4" i="5"/>
  <c r="C24" i="5" s="1"/>
  <c r="K4" i="5"/>
  <c r="K39" i="5" s="1"/>
  <c r="S4" i="5"/>
  <c r="S53" i="5" s="1"/>
  <c r="P4" i="5"/>
  <c r="P53" i="5" s="1"/>
  <c r="H4" i="5"/>
  <c r="H39" i="5" s="1"/>
  <c r="R53" i="5"/>
  <c r="R6" i="5"/>
  <c r="M39" i="5"/>
  <c r="E53" i="5"/>
  <c r="R24" i="5"/>
  <c r="F6" i="5"/>
  <c r="E4" i="5"/>
  <c r="E24" i="5" s="1"/>
  <c r="I4" i="5"/>
  <c r="I24" i="5" s="1"/>
  <c r="M4" i="5"/>
  <c r="M24" i="5" s="1"/>
  <c r="Q4" i="5"/>
  <c r="Q24" i="5" s="1"/>
  <c r="L4" i="5"/>
  <c r="B4" i="5"/>
  <c r="B53" i="5" s="1"/>
  <c r="F4" i="5"/>
  <c r="F39" i="5" s="1"/>
  <c r="G6" i="5"/>
  <c r="H24" i="5" l="1"/>
  <c r="S39" i="5"/>
  <c r="D39" i="5"/>
  <c r="H6" i="5"/>
  <c r="D53" i="5"/>
  <c r="O24" i="5"/>
  <c r="D6" i="5"/>
  <c r="H53" i="5"/>
  <c r="N6" i="5"/>
  <c r="R39" i="5"/>
  <c r="P6" i="5"/>
  <c r="P39" i="5"/>
  <c r="K53" i="5"/>
  <c r="C53" i="5"/>
  <c r="K24" i="5"/>
  <c r="K6" i="5"/>
  <c r="P24" i="5"/>
  <c r="C39" i="5"/>
  <c r="J6" i="5"/>
  <c r="J39" i="5"/>
  <c r="J24" i="5"/>
  <c r="C6" i="5"/>
  <c r="O39" i="5"/>
  <c r="S6" i="5"/>
  <c r="S24" i="5"/>
  <c r="F53" i="5"/>
  <c r="G53" i="5"/>
  <c r="G24" i="5"/>
  <c r="O53" i="5"/>
  <c r="I39" i="5"/>
  <c r="B6" i="5"/>
  <c r="E6" i="5"/>
  <c r="Q39" i="5"/>
  <c r="Q53" i="5"/>
  <c r="B39" i="5"/>
  <c r="F24" i="5"/>
  <c r="L53" i="5"/>
  <c r="L39" i="5"/>
  <c r="I6" i="5"/>
  <c r="Q6" i="5"/>
  <c r="B24" i="5"/>
  <c r="L24" i="5"/>
  <c r="M53" i="5"/>
  <c r="I53" i="5"/>
  <c r="L6" i="5"/>
  <c r="M6" i="5"/>
  <c r="E39" i="5"/>
  <c r="D24" i="9" l="1"/>
  <c r="H24" i="9"/>
  <c r="G24" i="9"/>
  <c r="C24" i="9"/>
  <c r="B24" i="9"/>
  <c r="F24" i="9"/>
  <c r="R9" i="2" l="1"/>
  <c r="S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AL3" authorId="0" shapeId="0" xr:uid="{00000000-0006-0000-0100-000001000000}">
      <text>
        <r>
          <rPr>
            <b/>
            <sz val="8"/>
            <color indexed="81"/>
            <rFont val="Tahoma"/>
            <family val="2"/>
          </rPr>
          <t>mperry:</t>
        </r>
        <r>
          <rPr>
            <sz val="8"/>
            <color indexed="81"/>
            <rFont val="Tahoma"/>
            <family val="2"/>
          </rPr>
          <t xml:space="preserve">
Replaced Mortenson's data with IPEDS for 2011 Fact Book.
5/19/11</t>
        </r>
      </text>
    </comment>
    <comment ref="AN3" authorId="0" shapeId="0" xr:uid="{00000000-0006-0000-0100-000002000000}">
      <text>
        <r>
          <rPr>
            <b/>
            <sz val="8"/>
            <color indexed="81"/>
            <rFont val="Tahoma"/>
            <family val="2"/>
          </rPr>
          <t>Excludes online-only institutions identified in 2010-11.</t>
        </r>
      </text>
    </comment>
    <comment ref="AS3" authorId="0" shapeId="0" xr:uid="{00000000-0006-0000-0100-000003000000}">
      <text>
        <r>
          <rPr>
            <b/>
            <sz val="8"/>
            <color indexed="81"/>
            <rFont val="Tahoma"/>
            <family val="2"/>
          </rPr>
          <t>Excludes online-only institutions identified in 2010-11.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P3" authorId="0" shapeId="0" xr:uid="{00000000-0006-0000-0200-000001000000}">
      <text>
        <r>
          <rPr>
            <b/>
            <sz val="8"/>
            <color indexed="81"/>
            <rFont val="Tahoma"/>
            <family val="2"/>
          </rPr>
          <t>Excludes online-only institutions identified in 2010-11.</t>
        </r>
      </text>
    </comment>
    <comment ref="U3" authorId="0" shapeId="0" xr:uid="{00000000-0006-0000-0200-000002000000}">
      <text>
        <r>
          <rPr>
            <b/>
            <sz val="8"/>
            <color indexed="81"/>
            <rFont val="Tahoma"/>
            <family val="2"/>
          </rPr>
          <t>Excludes online-only institutions identified in 2010-11.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AJ3" authorId="0" shapeId="0" xr:uid="{00000000-0006-0000-0300-000001000000}">
      <text>
        <r>
          <rPr>
            <b/>
            <sz val="8"/>
            <color indexed="81"/>
            <rFont val="Tahoma"/>
            <family val="2"/>
          </rPr>
          <t>mperry:</t>
        </r>
        <r>
          <rPr>
            <sz val="8"/>
            <color indexed="81"/>
            <rFont val="Tahoma"/>
            <family val="2"/>
          </rPr>
          <t xml:space="preserve">
Replaced Mortenson's data with IPEDS for 2011 Fact Book.
5/19/11</t>
        </r>
      </text>
    </comment>
    <comment ref="AL3" authorId="0" shapeId="0" xr:uid="{00000000-0006-0000-0300-000002000000}">
      <text>
        <r>
          <rPr>
            <b/>
            <sz val="8"/>
            <color indexed="81"/>
            <rFont val="Tahoma"/>
            <family val="2"/>
          </rPr>
          <t>Excludes online-only institutions identified in 2010-11.</t>
        </r>
      </text>
    </comment>
    <comment ref="AQ3" authorId="0" shapeId="0" xr:uid="{00000000-0006-0000-0300-000003000000}">
      <text>
        <r>
          <rPr>
            <b/>
            <sz val="8"/>
            <color indexed="81"/>
            <rFont val="Tahoma"/>
            <family val="2"/>
          </rPr>
          <t>Excludes online-only institutions identified in 2010-11.</t>
        </r>
      </text>
    </comment>
    <comment ref="CF3" authorId="0" shapeId="0" xr:uid="{00000000-0006-0000-0300-000004000000}">
      <text>
        <r>
          <rPr>
            <b/>
            <sz val="8"/>
            <color indexed="81"/>
            <rFont val="Tahoma"/>
            <family val="2"/>
          </rPr>
          <t>mperry:</t>
        </r>
        <r>
          <rPr>
            <sz val="8"/>
            <color indexed="81"/>
            <rFont val="Tahoma"/>
            <family val="2"/>
          </rPr>
          <t xml:space="preserve">
Replaced Mortenson's data with IPEDS for 2011 Fact Book.
5/19/11</t>
        </r>
      </text>
    </comment>
    <comment ref="CH3" authorId="0" shapeId="0" xr:uid="{00000000-0006-0000-0300-000005000000}">
      <text>
        <r>
          <rPr>
            <b/>
            <sz val="8"/>
            <color indexed="81"/>
            <rFont val="Tahoma"/>
            <family val="2"/>
          </rPr>
          <t>Excludes online-only institutions identified in 2010-11.</t>
        </r>
      </text>
    </comment>
    <comment ref="CM3" authorId="0" shapeId="0" xr:uid="{00000000-0006-0000-0300-000006000000}">
      <text>
        <r>
          <rPr>
            <b/>
            <sz val="8"/>
            <color indexed="81"/>
            <rFont val="Tahoma"/>
            <family val="2"/>
          </rPr>
          <t>Excludes online-only institutions identified in 2010-11.</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jennifer berg</author>
    <author>mperry</author>
  </authors>
  <commentList>
    <comment ref="G3" authorId="0" shapeId="0" xr:uid="{00000000-0006-0000-0400-000001000000}">
      <text>
        <r>
          <rPr>
            <b/>
            <sz val="8"/>
            <color indexed="81"/>
            <rFont val="Tahoma"/>
            <family val="2"/>
          </rPr>
          <t>redone 8/2000</t>
        </r>
      </text>
    </comment>
    <comment ref="J3" authorId="0" shapeId="0" xr:uid="{00000000-0006-0000-0400-000002000000}">
      <text>
        <r>
          <rPr>
            <b/>
            <sz val="8"/>
            <color indexed="81"/>
            <rFont val="Tahoma"/>
            <family val="2"/>
          </rPr>
          <t>redone 8/2000</t>
        </r>
      </text>
    </comment>
    <comment ref="K3" authorId="0" shapeId="0" xr:uid="{00000000-0006-0000-0400-000003000000}">
      <text>
        <r>
          <rPr>
            <b/>
            <sz val="8"/>
            <color indexed="81"/>
            <rFont val="Tahoma"/>
            <family val="2"/>
          </rPr>
          <t>redone sept. 2000</t>
        </r>
      </text>
    </comment>
    <comment ref="L3" authorId="0" shapeId="0" xr:uid="{00000000-0006-0000-0400-000004000000}">
      <text>
        <r>
          <rPr>
            <b/>
            <sz val="8"/>
            <color indexed="81"/>
            <rFont val="Tahoma"/>
            <family val="2"/>
          </rPr>
          <t>redone oct. 2000</t>
        </r>
      </text>
    </comment>
    <comment ref="M3" authorId="0" shapeId="0" xr:uid="{00000000-0006-0000-0400-000005000000}">
      <text>
        <r>
          <rPr>
            <b/>
            <sz val="8"/>
            <color indexed="81"/>
            <rFont val="Tahoma"/>
            <family val="2"/>
          </rPr>
          <t>redone oct. 2000</t>
        </r>
      </text>
    </comment>
    <comment ref="N3" authorId="0" shapeId="0" xr:uid="{00000000-0006-0000-0400-000006000000}">
      <text>
        <r>
          <rPr>
            <b/>
            <sz val="8"/>
            <color indexed="81"/>
            <rFont val="Tahoma"/>
            <family val="2"/>
          </rPr>
          <t>redone oct. 2000</t>
        </r>
      </text>
    </comment>
    <comment ref="Q3" authorId="1" shapeId="0" xr:uid="{00000000-0006-0000-0400-000007000000}">
      <text>
        <r>
          <rPr>
            <b/>
            <sz val="8"/>
            <color indexed="81"/>
            <rFont val="Tahoma"/>
            <family val="2"/>
          </rPr>
          <t>mperry:</t>
        </r>
        <r>
          <rPr>
            <sz val="8"/>
            <color indexed="81"/>
            <rFont val="Tahoma"/>
            <family val="2"/>
          </rPr>
          <t xml:space="preserve">
Why is this year missing? 5/20/11</t>
        </r>
      </text>
    </comment>
    <comment ref="S3" authorId="1" shapeId="0" xr:uid="{00000000-0006-0000-0400-000008000000}">
      <text>
        <r>
          <rPr>
            <b/>
            <sz val="8"/>
            <color indexed="81"/>
            <rFont val="Tahoma"/>
            <family val="2"/>
          </rPr>
          <t>mperry:</t>
        </r>
        <r>
          <rPr>
            <sz val="8"/>
            <color indexed="81"/>
            <rFont val="Tahoma"/>
            <family val="2"/>
          </rPr>
          <t xml:space="preserve">
Why is this year missing? 5/20/11</t>
        </r>
      </text>
    </comment>
    <comment ref="T3" authorId="1" shapeId="0" xr:uid="{00000000-0006-0000-0400-000009000000}">
      <text>
        <r>
          <rPr>
            <b/>
            <sz val="8"/>
            <color indexed="81"/>
            <rFont val="Tahoma"/>
            <family val="2"/>
          </rPr>
          <t>mperry:</t>
        </r>
        <r>
          <rPr>
            <sz val="8"/>
            <color indexed="81"/>
            <rFont val="Tahoma"/>
            <family val="2"/>
          </rPr>
          <t xml:space="preserve">
Why is this year missing? 5/20/11</t>
        </r>
      </text>
    </comment>
    <comment ref="X3" authorId="1" shapeId="0" xr:uid="{00000000-0006-0000-0400-00000A000000}">
      <text>
        <r>
          <rPr>
            <b/>
            <sz val="8"/>
            <color indexed="81"/>
            <rFont val="Tahoma"/>
            <family val="2"/>
          </rPr>
          <t>Excludes online-only institutions identified in 2010-11.</t>
        </r>
      </text>
    </comment>
    <comment ref="AC3" authorId="1" shapeId="0" xr:uid="{00000000-0006-0000-0400-00000B000000}">
      <text>
        <r>
          <rPr>
            <b/>
            <sz val="8"/>
            <color indexed="81"/>
            <rFont val="Tahoma"/>
            <family val="2"/>
          </rPr>
          <t>Excludes online-only institutions identified in 2010-11.</t>
        </r>
      </text>
    </comment>
    <comment ref="AK3" authorId="0" shapeId="0" xr:uid="{00000000-0006-0000-0400-00000C000000}">
      <text>
        <r>
          <rPr>
            <b/>
            <sz val="8"/>
            <color indexed="81"/>
            <rFont val="Tahoma"/>
            <family val="2"/>
          </rPr>
          <t>redone 8/2000</t>
        </r>
      </text>
    </comment>
    <comment ref="AN3" authorId="0" shapeId="0" xr:uid="{00000000-0006-0000-0400-00000D000000}">
      <text>
        <r>
          <rPr>
            <b/>
            <sz val="8"/>
            <color indexed="81"/>
            <rFont val="Tahoma"/>
            <family val="2"/>
          </rPr>
          <t>redone 8/2000</t>
        </r>
      </text>
    </comment>
    <comment ref="AO3" authorId="0" shapeId="0" xr:uid="{00000000-0006-0000-0400-00000E000000}">
      <text>
        <r>
          <rPr>
            <b/>
            <sz val="8"/>
            <color indexed="81"/>
            <rFont val="Tahoma"/>
            <family val="2"/>
          </rPr>
          <t>redone sept. 2000</t>
        </r>
      </text>
    </comment>
    <comment ref="AP3" authorId="0" shapeId="0" xr:uid="{00000000-0006-0000-0400-00000F000000}">
      <text>
        <r>
          <rPr>
            <b/>
            <sz val="8"/>
            <color indexed="81"/>
            <rFont val="Tahoma"/>
            <family val="2"/>
          </rPr>
          <t>redone oct. 2000</t>
        </r>
      </text>
    </comment>
    <comment ref="AQ3" authorId="0" shapeId="0" xr:uid="{00000000-0006-0000-0400-000010000000}">
      <text>
        <r>
          <rPr>
            <b/>
            <sz val="8"/>
            <color indexed="81"/>
            <rFont val="Tahoma"/>
            <family val="2"/>
          </rPr>
          <t>redone oct. 2000</t>
        </r>
      </text>
    </comment>
    <comment ref="AR3" authorId="0" shapeId="0" xr:uid="{00000000-0006-0000-0400-000011000000}">
      <text>
        <r>
          <rPr>
            <b/>
            <sz val="8"/>
            <color indexed="81"/>
            <rFont val="Tahoma"/>
            <family val="2"/>
          </rPr>
          <t>redone oct. 2000</t>
        </r>
      </text>
    </comment>
    <comment ref="AU3" authorId="1" shapeId="0" xr:uid="{00000000-0006-0000-0400-000012000000}">
      <text>
        <r>
          <rPr>
            <b/>
            <sz val="8"/>
            <color indexed="81"/>
            <rFont val="Tahoma"/>
            <family val="2"/>
          </rPr>
          <t>mperry:</t>
        </r>
        <r>
          <rPr>
            <sz val="8"/>
            <color indexed="81"/>
            <rFont val="Tahoma"/>
            <family val="2"/>
          </rPr>
          <t xml:space="preserve">
Why is this year missing? 5/20/11</t>
        </r>
      </text>
    </comment>
    <comment ref="AW3" authorId="0" shapeId="0" xr:uid="{00000000-0006-0000-0400-000013000000}">
      <text>
        <r>
          <rPr>
            <b/>
            <sz val="8"/>
            <color indexed="81"/>
            <rFont val="Tahoma"/>
            <family val="2"/>
          </rPr>
          <t>redone 8/2000</t>
        </r>
      </text>
    </comment>
    <comment ref="AZ3" authorId="0" shapeId="0" xr:uid="{00000000-0006-0000-0400-000014000000}">
      <text>
        <r>
          <rPr>
            <b/>
            <sz val="8"/>
            <color indexed="81"/>
            <rFont val="Tahoma"/>
            <family val="2"/>
          </rPr>
          <t>redone 8/2000</t>
        </r>
      </text>
    </comment>
    <comment ref="BA3" authorId="0" shapeId="0" xr:uid="{00000000-0006-0000-0400-000015000000}">
      <text>
        <r>
          <rPr>
            <b/>
            <sz val="8"/>
            <color indexed="81"/>
            <rFont val="Tahoma"/>
            <family val="2"/>
          </rPr>
          <t>redone sept. 2000</t>
        </r>
      </text>
    </comment>
    <comment ref="BB3" authorId="0" shapeId="0" xr:uid="{00000000-0006-0000-0400-000016000000}">
      <text>
        <r>
          <rPr>
            <b/>
            <sz val="8"/>
            <color indexed="81"/>
            <rFont val="Tahoma"/>
            <family val="2"/>
          </rPr>
          <t>redone oct. 2000</t>
        </r>
      </text>
    </comment>
    <comment ref="BC3" authorId="0" shapeId="0" xr:uid="{00000000-0006-0000-0400-000017000000}">
      <text>
        <r>
          <rPr>
            <b/>
            <sz val="8"/>
            <color indexed="81"/>
            <rFont val="Tahoma"/>
            <family val="2"/>
          </rPr>
          <t>redone oct. 2000</t>
        </r>
      </text>
    </comment>
    <comment ref="BD3" authorId="0" shapeId="0" xr:uid="{00000000-0006-0000-0400-000018000000}">
      <text>
        <r>
          <rPr>
            <b/>
            <sz val="8"/>
            <color indexed="81"/>
            <rFont val="Tahoma"/>
            <family val="2"/>
          </rPr>
          <t>redone oct. 2000</t>
        </r>
      </text>
    </comment>
    <comment ref="BG3" authorId="1" shapeId="0" xr:uid="{00000000-0006-0000-0400-000019000000}">
      <text>
        <r>
          <rPr>
            <b/>
            <sz val="8"/>
            <color indexed="81"/>
            <rFont val="Tahoma"/>
            <family val="2"/>
          </rPr>
          <t>mperry:</t>
        </r>
        <r>
          <rPr>
            <sz val="8"/>
            <color indexed="81"/>
            <rFont val="Tahoma"/>
            <family val="2"/>
          </rPr>
          <t xml:space="preserve">
Why is this year missing? 5/20/11</t>
        </r>
      </text>
    </comment>
    <comment ref="BL3" authorId="1" shapeId="0" xr:uid="{00000000-0006-0000-0400-00001A000000}">
      <text>
        <r>
          <rPr>
            <b/>
            <sz val="8"/>
            <color indexed="81"/>
            <rFont val="Tahoma"/>
            <family val="2"/>
          </rPr>
          <t>Excludes online-only institutions identified in 2010-11.</t>
        </r>
      </text>
    </comment>
    <comment ref="BQ3" authorId="1" shapeId="0" xr:uid="{00000000-0006-0000-0400-00001B000000}">
      <text>
        <r>
          <rPr>
            <b/>
            <sz val="8"/>
            <color indexed="81"/>
            <rFont val="Tahoma"/>
            <family val="2"/>
          </rPr>
          <t>Excludes online-only institutions identified in 2010-11.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jennifer berg</author>
    <author>mperry</author>
  </authors>
  <commentList>
    <comment ref="G3" authorId="0" shapeId="0" xr:uid="{00000000-0006-0000-0500-000001000000}">
      <text>
        <r>
          <rPr>
            <b/>
            <sz val="8"/>
            <color indexed="81"/>
            <rFont val="Tahoma"/>
            <family val="2"/>
          </rPr>
          <t>redone 8/2000- 
All races total does NOT include non-resident aliens</t>
        </r>
      </text>
    </comment>
    <comment ref="J3" authorId="0" shapeId="0" xr:uid="{00000000-0006-0000-0500-000002000000}">
      <text>
        <r>
          <rPr>
            <b/>
            <sz val="8"/>
            <color indexed="81"/>
            <rFont val="Tahoma"/>
            <family val="2"/>
          </rPr>
          <t>redone 8/2000- 
All races total does NOT include non-resident aliens or unkwown race</t>
        </r>
      </text>
    </comment>
    <comment ref="K3" authorId="0" shapeId="0" xr:uid="{00000000-0006-0000-0500-000003000000}">
      <text>
        <r>
          <rPr>
            <b/>
            <sz val="8"/>
            <color indexed="81"/>
            <rFont val="Tahoma"/>
            <family val="2"/>
          </rPr>
          <t>redone sept. 2000- 
All races total does NOT include non-resident aliens or unknown race</t>
        </r>
      </text>
    </comment>
    <comment ref="L3" authorId="0" shapeId="0" xr:uid="{00000000-0006-0000-0500-000004000000}">
      <text>
        <r>
          <rPr>
            <b/>
            <sz val="8"/>
            <color indexed="81"/>
            <rFont val="Tahoma"/>
            <family val="2"/>
          </rPr>
          <t>redone oct. 2000- 
All races total does NOT include non-resident aliens or unknown race</t>
        </r>
      </text>
    </comment>
    <comment ref="M3" authorId="0" shapeId="0" xr:uid="{00000000-0006-0000-0500-000005000000}">
      <text>
        <r>
          <rPr>
            <b/>
            <sz val="8"/>
            <color indexed="81"/>
            <rFont val="Tahoma"/>
            <family val="2"/>
          </rPr>
          <t>redone oct. 2000- 
All races total does NOT include non-resident aliens or unknown race</t>
        </r>
      </text>
    </comment>
    <comment ref="N3" authorId="0" shapeId="0" xr:uid="{00000000-0006-0000-0500-000006000000}">
      <text>
        <r>
          <rPr>
            <b/>
            <sz val="8"/>
            <color indexed="81"/>
            <rFont val="Tahoma"/>
            <family val="2"/>
          </rPr>
          <t>redone oct. 2000- 
All races total does NOT include non-resident aliens or unknown race</t>
        </r>
      </text>
    </comment>
    <comment ref="O3" authorId="0" shapeId="0" xr:uid="{00000000-0006-0000-0500-000007000000}">
      <text>
        <r>
          <rPr>
            <b/>
            <sz val="8"/>
            <color indexed="81"/>
            <rFont val="Tahoma"/>
            <family val="2"/>
          </rPr>
          <t>all races total does NOT include non-resident aliens or unknown race</t>
        </r>
      </text>
    </comment>
    <comment ref="P3" authorId="0" shapeId="0" xr:uid="{00000000-0006-0000-0500-000008000000}">
      <text>
        <r>
          <rPr>
            <b/>
            <sz val="8"/>
            <color indexed="81"/>
            <rFont val="Tahoma"/>
            <family val="2"/>
          </rPr>
          <t>all races total does NOT include non-resident aliens or unknown race</t>
        </r>
      </text>
    </comment>
    <comment ref="U3" authorId="1" shapeId="0" xr:uid="{00000000-0006-0000-0500-000009000000}">
      <text>
        <r>
          <rPr>
            <b/>
            <sz val="8"/>
            <color indexed="81"/>
            <rFont val="Tahoma"/>
            <family val="2"/>
          </rPr>
          <t>Excludes online-only institutions identified in 2010-11.</t>
        </r>
      </text>
    </comment>
    <comment ref="Z3" authorId="1" shapeId="0" xr:uid="{00000000-0006-0000-0500-00000A000000}">
      <text>
        <r>
          <rPr>
            <b/>
            <sz val="8"/>
            <color indexed="81"/>
            <rFont val="Tahoma"/>
            <family val="2"/>
          </rPr>
          <t>Excludes online-only institutions identified in 2010-11.</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E3" authorId="0" shapeId="0" xr:uid="{00000000-0006-0000-0600-000001000000}">
      <text>
        <r>
          <rPr>
            <b/>
            <sz val="8"/>
            <color indexed="81"/>
            <rFont val="Tahoma"/>
            <family val="2"/>
          </rPr>
          <t>Excludes online-only institutions identified in 2010-11.</t>
        </r>
      </text>
    </comment>
    <comment ref="J3" authorId="0" shapeId="0" xr:uid="{00000000-0006-0000-0600-000002000000}">
      <text>
        <r>
          <rPr>
            <b/>
            <sz val="8"/>
            <color indexed="81"/>
            <rFont val="Tahoma"/>
            <family val="2"/>
          </rPr>
          <t>Excludes online-only institutions identified in 2010-11.</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jennifer berg</author>
    <author>mperry</author>
  </authors>
  <commentList>
    <comment ref="B3" authorId="0" shapeId="0" xr:uid="{00000000-0006-0000-0700-000001000000}">
      <text>
        <r>
          <rPr>
            <b/>
            <sz val="8"/>
            <color indexed="81"/>
            <rFont val="Tahoma"/>
            <family val="2"/>
          </rPr>
          <t>redone 8/2000</t>
        </r>
      </text>
    </comment>
    <comment ref="E3" authorId="0" shapeId="0" xr:uid="{00000000-0006-0000-0700-000002000000}">
      <text>
        <r>
          <rPr>
            <b/>
            <sz val="8"/>
            <color indexed="81"/>
            <rFont val="Tahoma"/>
            <family val="2"/>
          </rPr>
          <t>redone 8/2000</t>
        </r>
      </text>
    </comment>
    <comment ref="F3" authorId="0" shapeId="0" xr:uid="{00000000-0006-0000-0700-000003000000}">
      <text>
        <r>
          <rPr>
            <b/>
            <sz val="8"/>
            <color indexed="81"/>
            <rFont val="Tahoma"/>
            <family val="2"/>
          </rPr>
          <t>redone sept. 2000</t>
        </r>
      </text>
    </comment>
    <comment ref="G3" authorId="0" shapeId="0" xr:uid="{00000000-0006-0000-0700-000004000000}">
      <text>
        <r>
          <rPr>
            <b/>
            <sz val="8"/>
            <color indexed="81"/>
            <rFont val="Tahoma"/>
            <family val="2"/>
          </rPr>
          <t>redone oct. 2000</t>
        </r>
      </text>
    </comment>
    <comment ref="H3" authorId="0" shapeId="0" xr:uid="{00000000-0006-0000-0700-000005000000}">
      <text>
        <r>
          <rPr>
            <b/>
            <sz val="8"/>
            <color indexed="81"/>
            <rFont val="Tahoma"/>
            <family val="2"/>
          </rPr>
          <t>redone oct. 2000</t>
        </r>
      </text>
    </comment>
    <comment ref="I3" authorId="0" shapeId="0" xr:uid="{00000000-0006-0000-0700-000006000000}">
      <text>
        <r>
          <rPr>
            <b/>
            <sz val="8"/>
            <color indexed="81"/>
            <rFont val="Tahoma"/>
            <family val="2"/>
          </rPr>
          <t>redone oct. 2000</t>
        </r>
      </text>
    </comment>
    <comment ref="P3" authorId="1" shapeId="0" xr:uid="{00000000-0006-0000-0700-000007000000}">
      <text>
        <r>
          <rPr>
            <b/>
            <sz val="8"/>
            <color indexed="81"/>
            <rFont val="Tahoma"/>
            <family val="2"/>
          </rPr>
          <t>Excludes online-only institutions identified in 2010-11.</t>
        </r>
      </text>
    </comment>
    <comment ref="U3" authorId="1" shapeId="0" xr:uid="{00000000-0006-0000-0700-000008000000}">
      <text>
        <r>
          <rPr>
            <b/>
            <sz val="8"/>
            <color indexed="81"/>
            <rFont val="Tahoma"/>
            <family val="2"/>
          </rPr>
          <t>Excludes online-only institutions identified in 2010-11.</t>
        </r>
      </text>
    </comment>
    <comment ref="AB3" authorId="0" shapeId="0" xr:uid="{00000000-0006-0000-0700-000009000000}">
      <text>
        <r>
          <rPr>
            <b/>
            <sz val="8"/>
            <color indexed="81"/>
            <rFont val="Tahoma"/>
            <family val="2"/>
          </rPr>
          <t>redone 8/2000</t>
        </r>
      </text>
    </comment>
    <comment ref="AE3" authorId="0" shapeId="0" xr:uid="{00000000-0006-0000-0700-00000A000000}">
      <text>
        <r>
          <rPr>
            <b/>
            <sz val="8"/>
            <color indexed="81"/>
            <rFont val="Tahoma"/>
            <family val="2"/>
          </rPr>
          <t>redone 8/2000</t>
        </r>
      </text>
    </comment>
    <comment ref="AF3" authorId="0" shapeId="0" xr:uid="{00000000-0006-0000-0700-00000B000000}">
      <text>
        <r>
          <rPr>
            <b/>
            <sz val="8"/>
            <color indexed="81"/>
            <rFont val="Tahoma"/>
            <family val="2"/>
          </rPr>
          <t>redone sept. 2000</t>
        </r>
      </text>
    </comment>
    <comment ref="AG3" authorId="0" shapeId="0" xr:uid="{00000000-0006-0000-0700-00000C000000}">
      <text>
        <r>
          <rPr>
            <b/>
            <sz val="8"/>
            <color indexed="81"/>
            <rFont val="Tahoma"/>
            <family val="2"/>
          </rPr>
          <t>redone oct. 2000</t>
        </r>
      </text>
    </comment>
    <comment ref="AH3" authorId="0" shapeId="0" xr:uid="{00000000-0006-0000-0700-00000D000000}">
      <text>
        <r>
          <rPr>
            <b/>
            <sz val="8"/>
            <color indexed="81"/>
            <rFont val="Tahoma"/>
            <family val="2"/>
          </rPr>
          <t>redone oct. 2000</t>
        </r>
      </text>
    </comment>
    <comment ref="AI3" authorId="0" shapeId="0" xr:uid="{00000000-0006-0000-0700-00000E000000}">
      <text>
        <r>
          <rPr>
            <b/>
            <sz val="8"/>
            <color indexed="81"/>
            <rFont val="Tahoma"/>
            <family val="2"/>
          </rPr>
          <t>redone oct. 2000</t>
        </r>
      </text>
    </comment>
    <comment ref="AP3" authorId="1" shapeId="0" xr:uid="{00000000-0006-0000-0700-00000F000000}">
      <text>
        <r>
          <rPr>
            <b/>
            <sz val="8"/>
            <color indexed="81"/>
            <rFont val="Tahoma"/>
            <family val="2"/>
          </rPr>
          <t>Excludes online-only institutions identified in 2010-11.</t>
        </r>
      </text>
    </comment>
    <comment ref="AU3" authorId="1" shapeId="0" xr:uid="{00000000-0006-0000-0700-000010000000}">
      <text>
        <r>
          <rPr>
            <b/>
            <sz val="8"/>
            <color indexed="81"/>
            <rFont val="Tahoma"/>
            <family val="2"/>
          </rPr>
          <t>Excludes online-only institutions identified in 2010-11.</t>
        </r>
      </text>
    </comment>
  </commentList>
</comments>
</file>

<file path=xl/sharedStrings.xml><?xml version="1.0" encoding="utf-8"?>
<sst xmlns="http://schemas.openxmlformats.org/spreadsheetml/2006/main" count="2945" uniqueCount="277">
  <si>
    <t>1950-51</t>
  </si>
  <si>
    <t>1960-61</t>
  </si>
  <si>
    <t>1970-71</t>
  </si>
  <si>
    <t>1972-73</t>
  </si>
  <si>
    <t>1974-75</t>
  </si>
  <si>
    <t>1976-77</t>
  </si>
  <si>
    <t>1978-79</t>
  </si>
  <si>
    <t>1980-81</t>
  </si>
  <si>
    <t>1981-82</t>
  </si>
  <si>
    <t>1991-92</t>
  </si>
  <si>
    <t>1993-94</t>
  </si>
  <si>
    <t>SREB States</t>
  </si>
  <si>
    <t>Alabama</t>
  </si>
  <si>
    <t>Arkansas</t>
  </si>
  <si>
    <t>Florida</t>
  </si>
  <si>
    <t>Georgia</t>
  </si>
  <si>
    <t>Kentucky</t>
  </si>
  <si>
    <t>Louisiana</t>
  </si>
  <si>
    <t>Maryland</t>
  </si>
  <si>
    <t>Mississippi</t>
  </si>
  <si>
    <t>North Carolina</t>
  </si>
  <si>
    <t>Oklahoma</t>
  </si>
  <si>
    <t>South Carolina</t>
  </si>
  <si>
    <t>Tennessee</t>
  </si>
  <si>
    <t>Texas</t>
  </si>
  <si>
    <t>Virginia</t>
  </si>
  <si>
    <t>West Virginia</t>
  </si>
  <si>
    <t>Office of</t>
  </si>
  <si>
    <t>NCES,</t>
  </si>
  <si>
    <t>SREB</t>
  </si>
  <si>
    <t>Education,</t>
  </si>
  <si>
    <t>Earned</t>
  </si>
  <si>
    <t>analysis of</t>
  </si>
  <si>
    <t>Federal</t>
  </si>
  <si>
    <t>Degrees</t>
  </si>
  <si>
    <t>National</t>
  </si>
  <si>
    <t>Security</t>
  </si>
  <si>
    <t>Conferred</t>
  </si>
  <si>
    <t>Center for</t>
  </si>
  <si>
    <t>Agency,</t>
  </si>
  <si>
    <t>1960-61:</t>
  </si>
  <si>
    <t>Education</t>
  </si>
  <si>
    <t>Bachelor's</t>
  </si>
  <si>
    <t>Statistics</t>
  </si>
  <si>
    <t>and</t>
  </si>
  <si>
    <t>Higher</t>
  </si>
  <si>
    <t>degrees and</t>
  </si>
  <si>
    <t>(1963).</t>
  </si>
  <si>
    <t>Institutions,</t>
  </si>
  <si>
    <t>1950-51,</t>
  </si>
  <si>
    <t>Circular No.</t>
  </si>
  <si>
    <t>333, 1952.</t>
  </si>
  <si>
    <t>Total</t>
  </si>
  <si>
    <t>Men</t>
  </si>
  <si>
    <t>Women</t>
  </si>
  <si>
    <t>Delaware</t>
  </si>
  <si>
    <t>1995-96</t>
  </si>
  <si>
    <t>SREB states</t>
  </si>
  <si>
    <t>1996-97</t>
  </si>
  <si>
    <t>1969-70</t>
  </si>
  <si>
    <t>1971-72</t>
  </si>
  <si>
    <t>1973-74</t>
  </si>
  <si>
    <t>1975-76</t>
  </si>
  <si>
    <t>1977-78</t>
  </si>
  <si>
    <t>1979-80</t>
  </si>
  <si>
    <t>1982-83</t>
  </si>
  <si>
    <t>1983-84</t>
  </si>
  <si>
    <t>1984-85</t>
  </si>
  <si>
    <t>1985-86</t>
  </si>
  <si>
    <t>1986-87</t>
  </si>
  <si>
    <t>1987-88</t>
  </si>
  <si>
    <t>1988-89</t>
  </si>
  <si>
    <t>1989-90</t>
  </si>
  <si>
    <t>1990-91</t>
  </si>
  <si>
    <t>1992-93</t>
  </si>
  <si>
    <t>1994-95</t>
  </si>
  <si>
    <t>Washington</t>
  </si>
  <si>
    <t>U.S. Department of Education, National Center for Education Statistics,</t>
  </si>
  <si>
    <t>Washington D.C.: 1998.</t>
  </si>
  <si>
    <r>
      <t>State Comparisons of Education Statistics: 1969-70 to 1996-97</t>
    </r>
    <r>
      <rPr>
        <sz val="10"/>
        <rFont val="Arial"/>
        <family val="2"/>
      </rPr>
      <t>, Table 72, pp. 181-183.</t>
    </r>
  </si>
  <si>
    <t>SOURCE: (for years 1969-70 to 1994-95)</t>
  </si>
  <si>
    <t>SOURCE:</t>
  </si>
  <si>
    <t>by Higher</t>
  </si>
  <si>
    <t>Total Bachelor's Degrees conferred (both sexes)</t>
  </si>
  <si>
    <t>Total Bachelor's Degrees conferred by Gender</t>
  </si>
  <si>
    <t>U.S. Dept.</t>
  </si>
  <si>
    <t>of Education,</t>
  </si>
  <si>
    <t>Statistics,</t>
  </si>
  <si>
    <t>Digest of</t>
  </si>
  <si>
    <t xml:space="preserve">1999, </t>
  </si>
  <si>
    <t>Table 251,</t>
  </si>
  <si>
    <t>pp. 288,</t>
  </si>
  <si>
    <t>D.C. : 2000.</t>
  </si>
  <si>
    <t>State</t>
  </si>
  <si>
    <t>Comparisons</t>
  </si>
  <si>
    <t>Statistics:</t>
  </si>
  <si>
    <t>1969-70 to</t>
  </si>
  <si>
    <t>Table 250,</t>
  </si>
  <si>
    <t>1994-95,</t>
  </si>
  <si>
    <t>pp. 287,</t>
  </si>
  <si>
    <t>Table 63,</t>
  </si>
  <si>
    <t>pp. 170,</t>
  </si>
  <si>
    <t>D.C. : 1998.</t>
  </si>
  <si>
    <t>Bachelor's Degrees conferred in PUBLIC Institutions</t>
  </si>
  <si>
    <t xml:space="preserve">1998, </t>
  </si>
  <si>
    <t>Table 245,</t>
  </si>
  <si>
    <t>pp. 277,</t>
  </si>
  <si>
    <t>D.C. : 1999.</t>
  </si>
  <si>
    <t xml:space="preserve">SOURCE: </t>
  </si>
  <si>
    <t>NCES</t>
  </si>
  <si>
    <t>Data</t>
  </si>
  <si>
    <t>set of</t>
  </si>
  <si>
    <t>completions</t>
  </si>
  <si>
    <t>unknown.</t>
  </si>
  <si>
    <t>race is</t>
  </si>
  <si>
    <t>graduates'</t>
  </si>
  <si>
    <t>of</t>
  </si>
  <si>
    <t>percentage</t>
  </si>
  <si>
    <t>a small</t>
  </si>
  <si>
    <t>because</t>
  </si>
  <si>
    <t>totals</t>
  </si>
  <si>
    <t>female</t>
  </si>
  <si>
    <t>male</t>
  </si>
  <si>
    <t>from the</t>
  </si>
  <si>
    <t>differ</t>
  </si>
  <si>
    <t>1983.</t>
  </si>
  <si>
    <t>1981.</t>
  </si>
  <si>
    <t>SREB,</t>
  </si>
  <si>
    <t>* These</t>
  </si>
  <si>
    <t>1980-81,"</t>
  </si>
  <si>
    <t>1978-79,"</t>
  </si>
  <si>
    <t>1979.</t>
  </si>
  <si>
    <t>by Race,</t>
  </si>
  <si>
    <t>1989-90.</t>
  </si>
  <si>
    <t>1988-89.</t>
  </si>
  <si>
    <t>1984-85.</t>
  </si>
  <si>
    <t>1982-83.</t>
  </si>
  <si>
    <t>South,</t>
  </si>
  <si>
    <t>South"</t>
  </si>
  <si>
    <t>tions</t>
  </si>
  <si>
    <t>tape of</t>
  </si>
  <si>
    <t>and the</t>
  </si>
  <si>
    <t>tabula-</t>
  </si>
  <si>
    <t>data</t>
  </si>
  <si>
    <t>Nation</t>
  </si>
  <si>
    <t>lished</t>
  </si>
  <si>
    <t>of NCES</t>
  </si>
  <si>
    <t>in the</t>
  </si>
  <si>
    <t>unpub-</t>
  </si>
  <si>
    <t>analysis</t>
  </si>
  <si>
    <t>Awarded</t>
  </si>
  <si>
    <t>OCR</t>
  </si>
  <si>
    <t>"Degrees</t>
  </si>
  <si>
    <t xml:space="preserve"> </t>
  </si>
  <si>
    <t>Blacks, HBI-------</t>
  </si>
  <si>
    <t>Blacks, PBI-------</t>
  </si>
  <si>
    <t>All Race/Ethnic Groups*</t>
  </si>
  <si>
    <t>Bachelor's degrees</t>
  </si>
  <si>
    <t>Bachelor's Degrees</t>
  </si>
  <si>
    <t>Hispanic</t>
  </si>
  <si>
    <t>Percent of Total</t>
  </si>
  <si>
    <t xml:space="preserve"> 1993-94</t>
  </si>
  <si>
    <t xml:space="preserve"> 1994-95</t>
  </si>
  <si>
    <t xml:space="preserve"> 1995-96</t>
  </si>
  <si>
    <t>1997-98</t>
  </si>
  <si>
    <t>Blacks in PBI &amp; HBI as a percent of all black grads</t>
  </si>
  <si>
    <t>Public Colleges</t>
  </si>
  <si>
    <t>Alaska</t>
  </si>
  <si>
    <t>Arizona</t>
  </si>
  <si>
    <t>California</t>
  </si>
  <si>
    <t>Colorado</t>
  </si>
  <si>
    <t>Connecticut</t>
  </si>
  <si>
    <t>District of Columbia</t>
  </si>
  <si>
    <t>Hawaii</t>
  </si>
  <si>
    <t>Iowa</t>
  </si>
  <si>
    <t>Idaho</t>
  </si>
  <si>
    <t>Illinois</t>
  </si>
  <si>
    <t>Indiana</t>
  </si>
  <si>
    <t>Kansas</t>
  </si>
  <si>
    <t>Massachusetts</t>
  </si>
  <si>
    <t>Maine</t>
  </si>
  <si>
    <t>Michigan</t>
  </si>
  <si>
    <t>Minnesota</t>
  </si>
  <si>
    <t>Missouri</t>
  </si>
  <si>
    <t>Montana</t>
  </si>
  <si>
    <t>North Dakota</t>
  </si>
  <si>
    <t>Nebraska</t>
  </si>
  <si>
    <t>New Hampshire</t>
  </si>
  <si>
    <t>New Jersey</t>
  </si>
  <si>
    <t>New Mexico</t>
  </si>
  <si>
    <t>Nevada</t>
  </si>
  <si>
    <t>New York</t>
  </si>
  <si>
    <t>Ohio</t>
  </si>
  <si>
    <t>Oregon</t>
  </si>
  <si>
    <t>Pennsylvania</t>
  </si>
  <si>
    <t>Rhode Island</t>
  </si>
  <si>
    <t>South Dakota</t>
  </si>
  <si>
    <t>Utah</t>
  </si>
  <si>
    <t>Vermont</t>
  </si>
  <si>
    <t>Wisconsin</t>
  </si>
  <si>
    <t>Wyoming</t>
  </si>
  <si>
    <t>1998-99</t>
  </si>
  <si>
    <t>1999-00</t>
  </si>
  <si>
    <t>2000,</t>
  </si>
  <si>
    <t>2001,</t>
  </si>
  <si>
    <t>www.nces.ed.gov</t>
  </si>
  <si>
    <t>D.C. : 2001.</t>
  </si>
  <si>
    <t xml:space="preserve">2000, </t>
  </si>
  <si>
    <t>Table 249,</t>
  </si>
  <si>
    <t xml:space="preserve">2001, </t>
  </si>
  <si>
    <t>2002-03</t>
  </si>
  <si>
    <t xml:space="preserve">SREB analysis </t>
  </si>
  <si>
    <t>of National</t>
  </si>
  <si>
    <t>Center  for</t>
  </si>
  <si>
    <t xml:space="preserve">Statistics </t>
  </si>
  <si>
    <t xml:space="preserve">surveys of </t>
  </si>
  <si>
    <t>other awards</t>
  </si>
  <si>
    <t>conferred</t>
  </si>
  <si>
    <t>(www.nces.ed.gov/ipeds).</t>
  </si>
  <si>
    <t>Women Students</t>
  </si>
  <si>
    <t>Foreign</t>
  </si>
  <si>
    <t>2003-04</t>
  </si>
  <si>
    <t>2004-05</t>
  </si>
  <si>
    <t>White Total</t>
  </si>
  <si>
    <t>Black</t>
  </si>
  <si>
    <t>2000-01</t>
  </si>
  <si>
    <t>2001-02</t>
  </si>
  <si>
    <t>2005-06</t>
  </si>
  <si>
    <t>Tom Mortenson and</t>
  </si>
  <si>
    <t>Nicole Brunt,</t>
  </si>
  <si>
    <t xml:space="preserve">spreadsheet on </t>
  </si>
  <si>
    <t>Degrees Conferred by Level</t>
  </si>
  <si>
    <t>of Degree, Gender and State</t>
  </si>
  <si>
    <t>1970 to 2006</t>
  </si>
  <si>
    <t>www.postsecondary.org</t>
  </si>
  <si>
    <t xml:space="preserve"> April 2008</t>
  </si>
  <si>
    <t>2006-07</t>
  </si>
  <si>
    <t>Percent at</t>
  </si>
  <si>
    <t>Percent Change</t>
  </si>
  <si>
    <t>Foreign Students</t>
  </si>
  <si>
    <t>2007-08</t>
  </si>
  <si>
    <t>Black + Hispanic</t>
  </si>
  <si>
    <t>2008-09</t>
  </si>
  <si>
    <t>50 States and D.C.</t>
  </si>
  <si>
    <t xml:space="preserve">   as a percent of U.S.</t>
  </si>
  <si>
    <t>West</t>
  </si>
  <si>
    <t>Midwest</t>
  </si>
  <si>
    <t>Northeast</t>
  </si>
  <si>
    <t>50 states and D.C.</t>
  </si>
  <si>
    <t xml:space="preserve">    as a percent of U.S.</t>
  </si>
  <si>
    <r>
      <t>Black Students</t>
    </r>
    <r>
      <rPr>
        <vertAlign val="superscript"/>
        <sz val="10"/>
        <rFont val="Arial"/>
        <family val="2"/>
      </rPr>
      <t>2</t>
    </r>
  </si>
  <si>
    <r>
      <t>Hispanic Students</t>
    </r>
    <r>
      <rPr>
        <vertAlign val="superscript"/>
        <sz val="10"/>
        <rFont val="Arial"/>
        <family val="2"/>
      </rPr>
      <t>2</t>
    </r>
  </si>
  <si>
    <r>
      <t>Bachelor's Degrees Awarded by Public and Private Colleges and Universities</t>
    </r>
    <r>
      <rPr>
        <vertAlign val="superscript"/>
        <sz val="10"/>
        <rFont val="Arial"/>
        <family val="2"/>
      </rPr>
      <t>1</t>
    </r>
  </si>
  <si>
    <t>PBI</t>
  </si>
  <si>
    <t>HBI</t>
  </si>
  <si>
    <t>PBI/HBI</t>
  </si>
  <si>
    <t>Blacks in PBI or HBI</t>
  </si>
  <si>
    <r>
      <t xml:space="preserve"> PBIs or HBIs</t>
    </r>
    <r>
      <rPr>
        <vertAlign val="superscript"/>
        <sz val="10"/>
        <color indexed="8"/>
        <rFont val="Arial"/>
        <family val="2"/>
      </rPr>
      <t>3</t>
    </r>
  </si>
  <si>
    <t>2009-10</t>
  </si>
  <si>
    <t>2010-11</t>
  </si>
  <si>
    <t>REDO</t>
  </si>
  <si>
    <t>NA</t>
  </si>
  <si>
    <t>2011-12</t>
  </si>
  <si>
    <t>2012-13</t>
  </si>
  <si>
    <t>Source: SREB analysis of National Center for Education Statistics completions surveys — www.nces.ed.gov/ipeds.</t>
  </si>
  <si>
    <t>2013-14</t>
  </si>
  <si>
    <t>2014-15</t>
  </si>
  <si>
    <t>.</t>
  </si>
  <si>
    <r>
      <t xml:space="preserve">2 </t>
    </r>
    <r>
      <rPr>
        <sz val="10"/>
        <color indexed="8"/>
        <rFont val="Arial"/>
        <family val="2"/>
      </rPr>
      <t xml:space="preserve">Calculated based on a total that excludes students whose race is unknown and students from foreign countries.   </t>
    </r>
  </si>
  <si>
    <t>2015-16</t>
  </si>
  <si>
    <t>2016-17</t>
  </si>
  <si>
    <t>2011-12 to</t>
  </si>
  <si>
    <t xml:space="preserve">  Feb 2019</t>
  </si>
  <si>
    <r>
      <t>1</t>
    </r>
    <r>
      <rPr>
        <sz val="10"/>
        <rFont val="Arial"/>
        <family val="2"/>
      </rPr>
      <t xml:space="preserve"> Table shows degrees (in the first major) awarded by all degree-granting institutions eligible for federal Title IV student financial aid in the 50 states and D.C., excluding service schools. </t>
    </r>
  </si>
  <si>
    <r>
      <t xml:space="preserve">3 </t>
    </r>
    <r>
      <rPr>
        <sz val="10"/>
        <rFont val="Arial"/>
        <family val="2"/>
      </rPr>
      <t xml:space="preserve">Predominantly black institutions (PBIs) are those in which black students account for more than 50 percent of total fall enrollment. Historically black colleges and universities (HBCUs) are those founded prior to 1964 as institutions for black students. While an institution's PBI status may change from year to year, HBCU status will not. </t>
    </r>
  </si>
  <si>
    <t xml:space="preserve"> "NA" indicates not applicable. There was no institution of this type in the state during the specified years.</t>
  </si>
  <si>
    <t>Table 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</si>
</sst>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_)"/>
    <numFmt numFmtId="165" formatCode="#,##0.0_);\(#,##0.0\)"/>
    <numFmt numFmtId="166" formatCode="0.0%"/>
    <numFmt numFmtId="167" formatCode="0.0"/>
    <numFmt numFmtId="168" formatCode="#,##0.0"/>
  </numFmts>
  <fonts count="23">
    <font>
      <sz val="10"/>
      <name val="Helv"/>
    </font>
    <font>
      <sz val="10"/>
      <name val="AGaramond"/>
      <family val="3"/>
    </font>
    <font>
      <sz val="10"/>
      <name val="Arial"/>
      <family val="2"/>
    </font>
    <font>
      <i/>
      <sz val="10"/>
      <name val="Arial"/>
      <family val="2"/>
    </font>
    <font>
      <b/>
      <sz val="10"/>
      <name val="Arial"/>
      <family val="2"/>
    </font>
    <font>
      <b/>
      <sz val="8"/>
      <color indexed="81"/>
      <name val="Tahoma"/>
      <family val="2"/>
    </font>
    <font>
      <sz val="10"/>
      <color indexed="12"/>
      <name val="Arial"/>
      <family val="2"/>
    </font>
    <font>
      <sz val="10"/>
      <color indexed="10"/>
      <name val="Arial"/>
      <family val="2"/>
    </font>
    <font>
      <vertAlign val="superscript"/>
      <sz val="10"/>
      <name val="Arial"/>
      <family val="2"/>
    </font>
    <font>
      <u/>
      <sz val="7.5"/>
      <color indexed="12"/>
      <name val="Helv"/>
    </font>
    <font>
      <sz val="8"/>
      <name val="Helv"/>
    </font>
    <font>
      <sz val="10"/>
      <color indexed="8"/>
      <name val="Arial"/>
      <family val="2"/>
    </font>
    <font>
      <vertAlign val="superscript"/>
      <sz val="10"/>
      <color indexed="8"/>
      <name val="Arial"/>
      <family val="2"/>
    </font>
    <font>
      <sz val="10"/>
      <name val="Helv"/>
    </font>
    <font>
      <sz val="10"/>
      <color rgb="FF00B050"/>
      <name val="Arial"/>
      <family val="2"/>
    </font>
    <font>
      <sz val="10"/>
      <color rgb="FF0000FF"/>
      <name val="Arial"/>
      <family val="2"/>
    </font>
    <font>
      <b/>
      <sz val="10"/>
      <color rgb="FFFF0000"/>
      <name val="Arial"/>
      <family val="2"/>
    </font>
    <font>
      <sz val="8"/>
      <color indexed="81"/>
      <name val="Tahoma"/>
      <family val="2"/>
    </font>
    <font>
      <u/>
      <sz val="10"/>
      <color indexed="12"/>
      <name val="Arial"/>
      <family val="2"/>
    </font>
    <font>
      <b/>
      <sz val="10"/>
      <color rgb="FF0000FF"/>
      <name val="Arial"/>
      <family val="2"/>
    </font>
    <font>
      <b/>
      <sz val="10"/>
      <color theme="0" tint="-0.34998626667073579"/>
      <name val="Arial"/>
      <family val="2"/>
    </font>
    <font>
      <b/>
      <sz val="10"/>
      <color theme="0" tint="-0.249977111117893"/>
      <name val="Arial"/>
      <family val="2"/>
    </font>
    <font>
      <b/>
      <sz val="10"/>
      <color rgb="FFC00000"/>
      <name val="Arial"/>
      <family val="2"/>
    </font>
  </fonts>
  <fills count="6">
    <fill>
      <patternFill patternType="none"/>
    </fill>
    <fill>
      <patternFill patternType="gray125"/>
    </fill>
    <fill>
      <patternFill patternType="solid">
        <fgColor indexed="47"/>
        <bgColor indexed="64"/>
      </patternFill>
    </fill>
    <fill>
      <patternFill patternType="solid">
        <fgColor theme="0" tint="-0.249977111117893"/>
        <bgColor indexed="64"/>
      </patternFill>
    </fill>
    <fill>
      <patternFill patternType="solid">
        <fgColor rgb="FFFFFF00"/>
        <bgColor indexed="64"/>
      </patternFill>
    </fill>
    <fill>
      <patternFill patternType="solid">
        <fgColor rgb="FF92CDDC"/>
        <bgColor indexed="64"/>
      </patternFill>
    </fill>
  </fills>
  <borders count="35">
    <border>
      <left/>
      <right/>
      <top/>
      <bottom/>
      <diagonal/>
    </border>
    <border>
      <left/>
      <right style="thin">
        <color indexed="8"/>
      </right>
      <top/>
      <bottom/>
      <diagonal/>
    </border>
    <border>
      <left/>
      <right/>
      <top/>
      <bottom style="thin">
        <color indexed="8"/>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top/>
      <bottom style="thin">
        <color indexed="8"/>
      </bottom>
      <diagonal/>
    </border>
    <border>
      <left/>
      <right/>
      <top style="thin">
        <color indexed="8"/>
      </top>
      <bottom/>
      <diagonal/>
    </border>
    <border>
      <left style="thin">
        <color indexed="64"/>
      </left>
      <right/>
      <top style="thin">
        <color indexed="64"/>
      </top>
      <bottom/>
      <diagonal/>
    </border>
    <border>
      <left/>
      <right style="thin">
        <color indexed="8"/>
      </right>
      <top style="thin">
        <color indexed="8"/>
      </top>
      <bottom/>
      <diagonal/>
    </border>
    <border>
      <left/>
      <right style="thin">
        <color indexed="8"/>
      </right>
      <top/>
      <bottom style="thin">
        <color indexed="8"/>
      </bottom>
      <diagonal/>
    </border>
    <border>
      <left/>
      <right/>
      <top style="thin">
        <color indexed="64"/>
      </top>
      <bottom/>
      <diagonal/>
    </border>
    <border>
      <left style="thin">
        <color indexed="64"/>
      </left>
      <right/>
      <top style="thin">
        <color indexed="8"/>
      </top>
      <bottom/>
      <diagonal/>
    </border>
    <border>
      <left style="thick">
        <color indexed="64"/>
      </left>
      <right/>
      <top/>
      <bottom style="thin">
        <color indexed="64"/>
      </bottom>
      <diagonal/>
    </border>
    <border>
      <left style="thick">
        <color indexed="64"/>
      </left>
      <right/>
      <top/>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right style="thin">
        <color indexed="64"/>
      </right>
      <top style="thin">
        <color indexed="8"/>
      </top>
      <bottom style="thin">
        <color indexed="64"/>
      </bottom>
      <diagonal/>
    </border>
    <border>
      <left/>
      <right style="thin">
        <color indexed="64"/>
      </right>
      <top style="thin">
        <color indexed="8"/>
      </top>
      <bottom style="thin">
        <color indexed="8"/>
      </bottom>
      <diagonal/>
    </border>
    <border>
      <left/>
      <right/>
      <top style="thin">
        <color indexed="8"/>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8"/>
      </top>
      <bottom style="thin">
        <color indexed="8"/>
      </bottom>
      <diagonal/>
    </border>
    <border>
      <left style="medium">
        <color indexed="64"/>
      </left>
      <right/>
      <top style="thin">
        <color indexed="8"/>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8"/>
      </left>
      <right/>
      <top/>
      <bottom style="thin">
        <color indexed="8"/>
      </bottom>
      <diagonal/>
    </border>
  </borders>
  <cellStyleXfs count="7">
    <xf numFmtId="37" fontId="0" fillId="0" borderId="0"/>
    <xf numFmtId="43" fontId="1" fillId="0" borderId="0" applyFont="0" applyFill="0" applyBorder="0" applyAlignment="0" applyProtection="0"/>
    <xf numFmtId="0" fontId="9" fillId="0" borderId="0" applyNumberFormat="0" applyFill="0" applyBorder="0" applyAlignment="0" applyProtection="0">
      <alignment vertical="top"/>
      <protection locked="0"/>
    </xf>
    <xf numFmtId="9" fontId="1" fillId="0" borderId="0" applyFont="0" applyFill="0" applyBorder="0" applyAlignment="0" applyProtection="0"/>
    <xf numFmtId="0" fontId="2" fillId="0" borderId="0"/>
    <xf numFmtId="0" fontId="13" fillId="0" borderId="0">
      <alignment horizontal="left" wrapText="1"/>
    </xf>
    <xf numFmtId="43" fontId="1" fillId="0" borderId="0" applyFont="0" applyFill="0" applyBorder="0" applyAlignment="0" applyProtection="0"/>
  </cellStyleXfs>
  <cellXfs count="204">
    <xf numFmtId="37" fontId="0" fillId="0" borderId="0" xfId="0"/>
    <xf numFmtId="37" fontId="2" fillId="0" borderId="0" xfId="0" applyFont="1"/>
    <xf numFmtId="164" fontId="2" fillId="0" borderId="0" xfId="0" applyNumberFormat="1" applyFont="1"/>
    <xf numFmtId="37" fontId="2" fillId="0" borderId="0" xfId="0" applyFont="1" applyAlignment="1">
      <alignment horizontal="left"/>
    </xf>
    <xf numFmtId="37" fontId="2" fillId="0" borderId="0" xfId="0" applyFont="1" applyAlignment="1">
      <alignment horizontal="fill"/>
    </xf>
    <xf numFmtId="37" fontId="2" fillId="0" borderId="3" xfId="0" applyFont="1" applyBorder="1"/>
    <xf numFmtId="37" fontId="4" fillId="0" borderId="0" xfId="0" applyFont="1"/>
    <xf numFmtId="3" fontId="2" fillId="0" borderId="0" xfId="0" applyNumberFormat="1" applyFont="1"/>
    <xf numFmtId="3" fontId="2" fillId="0" borderId="3" xfId="0" applyNumberFormat="1" applyFont="1" applyBorder="1"/>
    <xf numFmtId="3" fontId="2" fillId="0" borderId="6" xfId="0" applyNumberFormat="1" applyFont="1" applyBorder="1"/>
    <xf numFmtId="37" fontId="2" fillId="0" borderId="6" xfId="0" applyFont="1" applyBorder="1"/>
    <xf numFmtId="3" fontId="2" fillId="0" borderId="7" xfId="0" applyNumberFormat="1" applyFont="1" applyBorder="1"/>
    <xf numFmtId="37" fontId="4" fillId="0" borderId="0" xfId="0" applyFont="1" applyAlignment="1">
      <alignment horizontal="left"/>
    </xf>
    <xf numFmtId="37" fontId="2" fillId="0" borderId="9" xfId="0" applyFont="1" applyBorder="1"/>
    <xf numFmtId="37" fontId="4" fillId="0" borderId="0" xfId="0" applyFont="1" applyAlignment="1">
      <alignment horizontal="center"/>
    </xf>
    <xf numFmtId="37" fontId="2" fillId="0" borderId="0" xfId="0" applyFont="1" applyAlignment="1">
      <alignment horizontal="right"/>
    </xf>
    <xf numFmtId="37" fontId="3" fillId="0" borderId="0" xfId="0" applyFont="1"/>
    <xf numFmtId="0" fontId="2" fillId="0" borderId="0" xfId="0" quotePrefix="1" applyNumberFormat="1" applyFont="1" applyAlignment="1">
      <alignment horizontal="left"/>
    </xf>
    <xf numFmtId="37" fontId="2" fillId="0" borderId="2" xfId="0" applyFont="1" applyBorder="1" applyAlignment="1">
      <alignment horizontal="fill"/>
    </xf>
    <xf numFmtId="37" fontId="2" fillId="0" borderId="0" xfId="0" applyFont="1" applyAlignment="1">
      <alignment horizontal="centerContinuous"/>
    </xf>
    <xf numFmtId="37" fontId="2" fillId="0" borderId="0" xfId="0" applyFont="1" applyAlignment="1">
      <alignment horizontal="center"/>
    </xf>
    <xf numFmtId="37" fontId="2" fillId="0" borderId="2" xfId="0" applyFont="1" applyBorder="1" applyAlignment="1">
      <alignment horizontal="centerContinuous"/>
    </xf>
    <xf numFmtId="37" fontId="2" fillId="0" borderId="13" xfId="0" applyFont="1" applyBorder="1" applyAlignment="1">
      <alignment horizontal="centerContinuous"/>
    </xf>
    <xf numFmtId="37" fontId="2" fillId="0" borderId="14" xfId="0" applyFont="1" applyBorder="1" applyAlignment="1">
      <alignment horizontal="centerContinuous"/>
    </xf>
    <xf numFmtId="37" fontId="2" fillId="0" borderId="9" xfId="0" applyFont="1" applyBorder="1" applyAlignment="1">
      <alignment horizontal="centerContinuous"/>
    </xf>
    <xf numFmtId="37" fontId="2" fillId="0" borderId="8" xfId="0" applyFont="1" applyBorder="1" applyAlignment="1">
      <alignment horizontal="centerContinuous"/>
    </xf>
    <xf numFmtId="37" fontId="2" fillId="0" borderId="2" xfId="0" applyFont="1" applyBorder="1" applyAlignment="1">
      <alignment horizontal="center"/>
    </xf>
    <xf numFmtId="37" fontId="4" fillId="0" borderId="5" xfId="0" applyFont="1" applyBorder="1"/>
    <xf numFmtId="0" fontId="2" fillId="0" borderId="6" xfId="0" quotePrefix="1" applyNumberFormat="1" applyFont="1" applyBorder="1" applyAlignment="1">
      <alignment horizontal="left"/>
    </xf>
    <xf numFmtId="37" fontId="2" fillId="0" borderId="16" xfId="0" applyFont="1" applyBorder="1" applyAlignment="1">
      <alignment horizontal="center" wrapText="1"/>
    </xf>
    <xf numFmtId="37" fontId="0" fillId="0" borderId="9" xfId="0" applyBorder="1" applyAlignment="1">
      <alignment horizontal="centerContinuous"/>
    </xf>
    <xf numFmtId="166" fontId="2" fillId="0" borderId="0" xfId="3" applyNumberFormat="1" applyFont="1"/>
    <xf numFmtId="165" fontId="2" fillId="0" borderId="12" xfId="0" applyNumberFormat="1" applyFont="1" applyBorder="1" applyAlignment="1">
      <alignment horizontal="right"/>
    </xf>
    <xf numFmtId="165" fontId="2" fillId="0" borderId="0" xfId="0" applyNumberFormat="1" applyFont="1"/>
    <xf numFmtId="165" fontId="6" fillId="2" borderId="12" xfId="0" applyNumberFormat="1" applyFont="1" applyFill="1" applyBorder="1" applyAlignment="1">
      <alignment horizontal="right"/>
    </xf>
    <xf numFmtId="165" fontId="6" fillId="2" borderId="11" xfId="0" applyNumberFormat="1" applyFont="1" applyFill="1" applyBorder="1" applyAlignment="1">
      <alignment horizontal="right"/>
    </xf>
    <xf numFmtId="165" fontId="6" fillId="2" borderId="12" xfId="0" quotePrefix="1" applyNumberFormat="1" applyFont="1" applyFill="1" applyBorder="1" applyAlignment="1">
      <alignment horizontal="right"/>
    </xf>
    <xf numFmtId="165" fontId="6" fillId="2" borderId="0" xfId="0" applyNumberFormat="1" applyFont="1" applyFill="1"/>
    <xf numFmtId="165" fontId="2" fillId="0" borderId="10" xfId="0" applyNumberFormat="1" applyFont="1" applyBorder="1" applyAlignment="1">
      <alignment horizontal="right"/>
    </xf>
    <xf numFmtId="37" fontId="7" fillId="0" borderId="0" xfId="0" applyFont="1"/>
    <xf numFmtId="37" fontId="2" fillId="0" borderId="19" xfId="0" applyFont="1" applyBorder="1"/>
    <xf numFmtId="37" fontId="11" fillId="0" borderId="16" xfId="0" quotePrefix="1" applyFont="1" applyBorder="1" applyAlignment="1">
      <alignment horizontal="centerContinuous"/>
    </xf>
    <xf numFmtId="37" fontId="11" fillId="0" borderId="2" xfId="0" quotePrefix="1" applyFont="1" applyBorder="1" applyAlignment="1">
      <alignment horizontal="centerContinuous"/>
    </xf>
    <xf numFmtId="165" fontId="6" fillId="0" borderId="0" xfId="0" applyNumberFormat="1" applyFont="1"/>
    <xf numFmtId="37" fontId="6" fillId="0" borderId="0" xfId="0" applyFont="1" applyAlignment="1">
      <alignment horizontal="centerContinuous"/>
    </xf>
    <xf numFmtId="49" fontId="2" fillId="0" borderId="0" xfId="0" applyNumberFormat="1" applyFont="1" applyAlignment="1">
      <alignment horizontal="right"/>
    </xf>
    <xf numFmtId="37" fontId="14" fillId="0" borderId="0" xfId="0" applyFont="1"/>
    <xf numFmtId="3" fontId="2" fillId="0" borderId="0" xfId="1" applyNumberFormat="1" applyFont="1"/>
    <xf numFmtId="3" fontId="2" fillId="0" borderId="2" xfId="0" applyNumberFormat="1" applyFont="1" applyBorder="1"/>
    <xf numFmtId="3" fontId="2" fillId="0" borderId="3" xfId="1" applyNumberFormat="1" applyFont="1" applyBorder="1"/>
    <xf numFmtId="3" fontId="14" fillId="0" borderId="0" xfId="1" applyNumberFormat="1" applyFont="1"/>
    <xf numFmtId="167" fontId="2" fillId="0" borderId="0" xfId="0" applyNumberFormat="1" applyFont="1"/>
    <xf numFmtId="37" fontId="2" fillId="0" borderId="12" xfId="5" applyNumberFormat="1" applyFont="1" applyBorder="1" applyAlignment="1"/>
    <xf numFmtId="3" fontId="15" fillId="0" borderId="12" xfId="5" applyNumberFormat="1" applyFont="1" applyBorder="1" applyAlignment="1"/>
    <xf numFmtId="37" fontId="2" fillId="0" borderId="0" xfId="5" applyNumberFormat="1" applyFont="1" applyAlignment="1"/>
    <xf numFmtId="3" fontId="15" fillId="0" borderId="18" xfId="6" applyNumberFormat="1" applyFont="1" applyBorder="1"/>
    <xf numFmtId="167" fontId="2" fillId="0" borderId="0" xfId="5" applyNumberFormat="1" applyFont="1" applyAlignment="1"/>
    <xf numFmtId="167" fontId="15" fillId="0" borderId="0" xfId="5" applyNumberFormat="1" applyFont="1" applyAlignment="1"/>
    <xf numFmtId="37" fontId="2" fillId="0" borderId="3" xfId="5" applyNumberFormat="1" applyFont="1" applyBorder="1" applyAlignment="1"/>
    <xf numFmtId="0" fontId="2" fillId="0" borderId="12" xfId="5" applyFont="1" applyBorder="1" applyAlignment="1"/>
    <xf numFmtId="3" fontId="2" fillId="0" borderId="12" xfId="6" applyNumberFormat="1" applyFont="1" applyBorder="1"/>
    <xf numFmtId="37" fontId="4" fillId="0" borderId="12" xfId="0" applyFont="1" applyBorder="1"/>
    <xf numFmtId="37" fontId="4" fillId="0" borderId="11" xfId="0" applyFont="1" applyBorder="1" applyAlignment="1">
      <alignment horizontal="right"/>
    </xf>
    <xf numFmtId="37" fontId="4" fillId="0" borderId="12" xfId="0" applyFont="1" applyBorder="1" applyAlignment="1">
      <alignment horizontal="right"/>
    </xf>
    <xf numFmtId="37" fontId="4" fillId="0" borderId="12" xfId="0" quotePrefix="1" applyFont="1" applyBorder="1" applyAlignment="1">
      <alignment horizontal="right"/>
    </xf>
    <xf numFmtId="3" fontId="2" fillId="0" borderId="12" xfId="5" applyNumberFormat="1" applyFont="1" applyBorder="1" applyAlignment="1"/>
    <xf numFmtId="37" fontId="2" fillId="0" borderId="12" xfId="0" applyFont="1" applyBorder="1"/>
    <xf numFmtId="3" fontId="15" fillId="0" borderId="11" xfId="5" applyNumberFormat="1" applyFont="1" applyBorder="1" applyAlignment="1"/>
    <xf numFmtId="3" fontId="15" fillId="0" borderId="15" xfId="6" applyNumberFormat="1" applyFont="1" applyBorder="1"/>
    <xf numFmtId="167" fontId="15" fillId="0" borderId="6" xfId="5" applyNumberFormat="1" applyFont="1" applyBorder="1" applyAlignment="1"/>
    <xf numFmtId="3" fontId="2" fillId="0" borderId="11" xfId="6" applyNumberFormat="1" applyFont="1" applyBorder="1"/>
    <xf numFmtId="37" fontId="4" fillId="0" borderId="9" xfId="0" applyFont="1" applyBorder="1" applyAlignment="1">
      <alignment horizontal="right"/>
    </xf>
    <xf numFmtId="3" fontId="2" fillId="0" borderId="0" xfId="5" applyNumberFormat="1" applyFont="1" applyAlignment="1"/>
    <xf numFmtId="3" fontId="2" fillId="0" borderId="3" xfId="5" applyNumberFormat="1" applyFont="1" applyBorder="1" applyAlignment="1"/>
    <xf numFmtId="37" fontId="4" fillId="0" borderId="21" xfId="0" applyFont="1" applyBorder="1" applyAlignment="1">
      <alignment horizontal="center"/>
    </xf>
    <xf numFmtId="37" fontId="4" fillId="0" borderId="22" xfId="0" applyFont="1" applyBorder="1" applyAlignment="1">
      <alignment horizontal="right"/>
    </xf>
    <xf numFmtId="3" fontId="15" fillId="0" borderId="22" xfId="5" applyNumberFormat="1" applyFont="1" applyBorder="1" applyAlignment="1"/>
    <xf numFmtId="3" fontId="15" fillId="0" borderId="23" xfId="6" applyNumberFormat="1" applyFont="1" applyBorder="1"/>
    <xf numFmtId="167" fontId="15" fillId="0" borderId="21" xfId="5" applyNumberFormat="1" applyFont="1" applyBorder="1" applyAlignment="1"/>
    <xf numFmtId="3" fontId="2" fillId="0" borderId="21" xfId="0" applyNumberFormat="1" applyFont="1" applyBorder="1"/>
    <xf numFmtId="3" fontId="2" fillId="0" borderId="20" xfId="0" applyNumberFormat="1" applyFont="1" applyBorder="1"/>
    <xf numFmtId="3" fontId="2" fillId="0" borderId="22" xfId="6" applyNumberFormat="1" applyFont="1" applyBorder="1"/>
    <xf numFmtId="3" fontId="2" fillId="0" borderId="0" xfId="6" applyNumberFormat="1" applyFont="1"/>
    <xf numFmtId="3" fontId="2" fillId="0" borderId="3" xfId="6" applyNumberFormat="1" applyFont="1" applyBorder="1"/>
    <xf numFmtId="37" fontId="4" fillId="0" borderId="18" xfId="0" applyFont="1" applyBorder="1" applyAlignment="1">
      <alignment horizontal="right"/>
    </xf>
    <xf numFmtId="3" fontId="15" fillId="0" borderId="0" xfId="6" applyNumberFormat="1" applyFont="1"/>
    <xf numFmtId="3" fontId="15" fillId="0" borderId="0" xfId="0" applyNumberFormat="1" applyFont="1"/>
    <xf numFmtId="167" fontId="15" fillId="0" borderId="0" xfId="0" applyNumberFormat="1" applyFont="1"/>
    <xf numFmtId="167" fontId="15" fillId="0" borderId="0" xfId="3" applyNumberFormat="1" applyFont="1"/>
    <xf numFmtId="165" fontId="15" fillId="0" borderId="0" xfId="0" applyNumberFormat="1" applyFont="1"/>
    <xf numFmtId="3" fontId="15" fillId="0" borderId="3" xfId="0" applyNumberFormat="1" applyFont="1" applyBorder="1"/>
    <xf numFmtId="3" fontId="2" fillId="0" borderId="12" xfId="0" applyNumberFormat="1" applyFont="1" applyBorder="1"/>
    <xf numFmtId="37" fontId="16" fillId="0" borderId="0" xfId="0" applyFont="1"/>
    <xf numFmtId="3" fontId="2" fillId="3" borderId="0" xfId="5" applyNumberFormat="1" applyFont="1" applyFill="1" applyAlignment="1"/>
    <xf numFmtId="3" fontId="2" fillId="3" borderId="3" xfId="5" applyNumberFormat="1" applyFont="1" applyFill="1" applyBorder="1" applyAlignment="1"/>
    <xf numFmtId="3" fontId="2" fillId="0" borderId="18" xfId="5" applyNumberFormat="1" applyFont="1" applyBorder="1" applyAlignment="1"/>
    <xf numFmtId="3" fontId="2" fillId="3" borderId="12" xfId="5" applyNumberFormat="1" applyFont="1" applyFill="1" applyBorder="1" applyAlignment="1"/>
    <xf numFmtId="168" fontId="2" fillId="0" borderId="3" xfId="5" applyNumberFormat="1" applyFont="1" applyBorder="1" applyAlignment="1"/>
    <xf numFmtId="168" fontId="2" fillId="0" borderId="0" xfId="5" applyNumberFormat="1" applyFont="1" applyAlignment="1"/>
    <xf numFmtId="168" fontId="2" fillId="3" borderId="3" xfId="5" applyNumberFormat="1" applyFont="1" applyFill="1" applyBorder="1" applyAlignment="1"/>
    <xf numFmtId="168" fontId="2" fillId="0" borderId="24" xfId="5" applyNumberFormat="1" applyFont="1" applyBorder="1" applyAlignment="1"/>
    <xf numFmtId="168" fontId="2" fillId="0" borderId="5" xfId="5" applyNumberFormat="1" applyFont="1" applyBorder="1" applyAlignment="1"/>
    <xf numFmtId="168" fontId="2" fillId="3" borderId="5" xfId="5" applyNumberFormat="1" applyFont="1" applyFill="1" applyBorder="1" applyAlignment="1"/>
    <xf numFmtId="168" fontId="2" fillId="3" borderId="4" xfId="5" applyNumberFormat="1" applyFont="1" applyFill="1" applyBorder="1" applyAlignment="1"/>
    <xf numFmtId="168" fontId="2" fillId="0" borderId="4" xfId="5" applyNumberFormat="1" applyFont="1" applyBorder="1" applyAlignment="1"/>
    <xf numFmtId="3" fontId="2" fillId="0" borderId="5" xfId="5" applyNumberFormat="1" applyFont="1" applyBorder="1" applyAlignment="1"/>
    <xf numFmtId="37" fontId="2" fillId="0" borderId="25" xfId="0" applyFont="1" applyBorder="1" applyAlignment="1">
      <alignment horizontal="centerContinuous"/>
    </xf>
    <xf numFmtId="37" fontId="2" fillId="0" borderId="5" xfId="0" applyFont="1" applyBorder="1"/>
    <xf numFmtId="37" fontId="11" fillId="0" borderId="25" xfId="0" quotePrefix="1" applyFont="1" applyBorder="1" applyAlignment="1">
      <alignment horizontal="centerContinuous"/>
    </xf>
    <xf numFmtId="168" fontId="2" fillId="3" borderId="0" xfId="5" applyNumberFormat="1" applyFont="1" applyFill="1" applyAlignment="1"/>
    <xf numFmtId="168" fontId="2" fillId="3" borderId="5" xfId="5" applyNumberFormat="1" applyFont="1" applyFill="1" applyBorder="1" applyAlignment="1">
      <alignment horizontal="right"/>
    </xf>
    <xf numFmtId="168" fontId="2" fillId="3" borderId="4" xfId="5" applyNumberFormat="1" applyFont="1" applyFill="1" applyBorder="1" applyAlignment="1">
      <alignment horizontal="right"/>
    </xf>
    <xf numFmtId="168" fontId="2" fillId="0" borderId="4" xfId="5" applyNumberFormat="1" applyFont="1" applyBorder="1" applyAlignment="1">
      <alignment horizontal="right"/>
    </xf>
    <xf numFmtId="3" fontId="2" fillId="0" borderId="18" xfId="0" applyNumberFormat="1" applyFont="1" applyBorder="1"/>
    <xf numFmtId="37" fontId="18" fillId="0" borderId="0" xfId="2" applyNumberFormat="1" applyFont="1" applyAlignment="1" applyProtection="1"/>
    <xf numFmtId="37" fontId="4" fillId="0" borderId="21" xfId="0" applyFont="1" applyBorder="1" applyAlignment="1">
      <alignment horizontal="left"/>
    </xf>
    <xf numFmtId="37" fontId="20" fillId="0" borderId="0" xfId="0" applyFont="1" applyAlignment="1">
      <alignment horizontal="center"/>
    </xf>
    <xf numFmtId="37" fontId="21" fillId="0" borderId="0" xfId="0" applyFont="1" applyAlignment="1">
      <alignment horizontal="center"/>
    </xf>
    <xf numFmtId="3" fontId="15" fillId="0" borderId="26" xfId="5" applyNumberFormat="1" applyFont="1" applyBorder="1" applyAlignment="1"/>
    <xf numFmtId="3" fontId="2" fillId="0" borderId="26" xfId="0" applyNumberFormat="1" applyFont="1" applyBorder="1"/>
    <xf numFmtId="37" fontId="2" fillId="0" borderId="28" xfId="0" applyFont="1" applyBorder="1"/>
    <xf numFmtId="37" fontId="4" fillId="0" borderId="28" xfId="0" applyFont="1" applyBorder="1"/>
    <xf numFmtId="37" fontId="4" fillId="0" borderId="29" xfId="0" applyFont="1" applyBorder="1" applyAlignment="1">
      <alignment horizontal="right"/>
    </xf>
    <xf numFmtId="3" fontId="2" fillId="0" borderId="30" xfId="0" applyNumberFormat="1" applyFont="1" applyBorder="1"/>
    <xf numFmtId="3" fontId="2" fillId="0" borderId="28" xfId="0" applyNumberFormat="1" applyFont="1" applyBorder="1"/>
    <xf numFmtId="164" fontId="2" fillId="0" borderId="28" xfId="0" applyNumberFormat="1" applyFont="1" applyBorder="1"/>
    <xf numFmtId="3" fontId="2" fillId="0" borderId="27" xfId="0" applyNumberFormat="1" applyFont="1" applyBorder="1"/>
    <xf numFmtId="3" fontId="15" fillId="0" borderId="31" xfId="6" applyNumberFormat="1" applyFont="1" applyBorder="1"/>
    <xf numFmtId="167" fontId="15" fillId="0" borderId="28" xfId="5" applyNumberFormat="1" applyFont="1" applyBorder="1" applyAlignment="1"/>
    <xf numFmtId="3" fontId="15" fillId="0" borderId="28" xfId="6" applyNumberFormat="1" applyFont="1" applyBorder="1"/>
    <xf numFmtId="3" fontId="2" fillId="0" borderId="27" xfId="6" applyNumberFormat="1" applyFont="1" applyBorder="1"/>
    <xf numFmtId="3" fontId="2" fillId="0" borderId="32" xfId="6" applyNumberFormat="1" applyFont="1" applyBorder="1"/>
    <xf numFmtId="37" fontId="4" fillId="0" borderId="26" xfId="0" applyFont="1" applyBorder="1" applyAlignment="1">
      <alignment horizontal="right"/>
    </xf>
    <xf numFmtId="37" fontId="4" fillId="0" borderId="30" xfId="0" applyFont="1" applyBorder="1" applyAlignment="1">
      <alignment horizontal="right"/>
    </xf>
    <xf numFmtId="37" fontId="2" fillId="0" borderId="0" xfId="0" applyFont="1" applyAlignment="1">
      <alignment vertical="top"/>
    </xf>
    <xf numFmtId="166" fontId="19" fillId="0" borderId="29" xfId="3" applyNumberFormat="1" applyFont="1" applyBorder="1" applyAlignment="1">
      <alignment horizontal="right"/>
    </xf>
    <xf numFmtId="166" fontId="19" fillId="0" borderId="9" xfId="3" applyNumberFormat="1" applyFont="1" applyBorder="1" applyAlignment="1">
      <alignment horizontal="right"/>
    </xf>
    <xf numFmtId="0" fontId="19" fillId="0" borderId="9" xfId="3" applyNumberFormat="1" applyFont="1" applyBorder="1" applyAlignment="1">
      <alignment horizontal="right"/>
    </xf>
    <xf numFmtId="3" fontId="22" fillId="4" borderId="0" xfId="6" applyNumberFormat="1" applyFont="1" applyFill="1" applyAlignment="1">
      <alignment horizontal="centerContinuous"/>
    </xf>
    <xf numFmtId="3" fontId="2" fillId="4" borderId="0" xfId="6" applyNumberFormat="1" applyFont="1" applyFill="1" applyAlignment="1">
      <alignment horizontal="centerContinuous"/>
    </xf>
    <xf numFmtId="37" fontId="4" fillId="0" borderId="32" xfId="0" applyFont="1" applyBorder="1" applyAlignment="1">
      <alignment horizontal="right"/>
    </xf>
    <xf numFmtId="3" fontId="15" fillId="0" borderId="27" xfId="0" applyNumberFormat="1" applyFont="1" applyBorder="1"/>
    <xf numFmtId="3" fontId="15" fillId="0" borderId="28" xfId="0" applyNumberFormat="1" applyFont="1" applyBorder="1"/>
    <xf numFmtId="167" fontId="15" fillId="0" borderId="28" xfId="0" applyNumberFormat="1" applyFont="1" applyBorder="1"/>
    <xf numFmtId="165" fontId="15" fillId="0" borderId="28" xfId="0" applyNumberFormat="1" applyFont="1" applyBorder="1"/>
    <xf numFmtId="3" fontId="2" fillId="0" borderId="32" xfId="0" applyNumberFormat="1" applyFont="1" applyBorder="1"/>
    <xf numFmtId="3" fontId="2" fillId="0" borderId="0" xfId="6" applyNumberFormat="1" applyFont="1" applyAlignment="1">
      <alignment horizontal="right"/>
    </xf>
    <xf numFmtId="3" fontId="2" fillId="0" borderId="3" xfId="6" applyNumberFormat="1" applyFont="1" applyBorder="1" applyAlignment="1">
      <alignment horizontal="right"/>
    </xf>
    <xf numFmtId="3" fontId="2" fillId="0" borderId="33" xfId="6" applyNumberFormat="1" applyFont="1" applyBorder="1" applyAlignment="1">
      <alignment horizontal="right"/>
    </xf>
    <xf numFmtId="3" fontId="2" fillId="0" borderId="28" xfId="0" applyNumberFormat="1" applyFont="1" applyBorder="1" applyAlignment="1">
      <alignment horizontal="right"/>
    </xf>
    <xf numFmtId="37" fontId="2" fillId="0" borderId="28" xfId="0" applyFont="1" applyBorder="1" applyAlignment="1">
      <alignment horizontal="right"/>
    </xf>
    <xf numFmtId="166" fontId="2" fillId="0" borderId="0" xfId="3" applyNumberFormat="1" applyFont="1" applyAlignment="1">
      <alignment horizontal="right"/>
    </xf>
    <xf numFmtId="37" fontId="4" fillId="0" borderId="28" xfId="0" applyFont="1" applyBorder="1" applyAlignment="1">
      <alignment horizontal="right"/>
    </xf>
    <xf numFmtId="37" fontId="21" fillId="0" borderId="0" xfId="0" applyFont="1" applyAlignment="1">
      <alignment horizontal="right"/>
    </xf>
    <xf numFmtId="3" fontId="15" fillId="0" borderId="30" xfId="5" applyNumberFormat="1" applyFont="1" applyBorder="1" applyAlignment="1">
      <alignment horizontal="right"/>
    </xf>
    <xf numFmtId="3" fontId="15" fillId="0" borderId="26" xfId="5" applyNumberFormat="1" applyFont="1" applyBorder="1" applyAlignment="1">
      <alignment horizontal="right"/>
    </xf>
    <xf numFmtId="3" fontId="15" fillId="0" borderId="3" xfId="5" applyNumberFormat="1" applyFont="1" applyBorder="1" applyAlignment="1">
      <alignment horizontal="right"/>
    </xf>
    <xf numFmtId="3" fontId="15" fillId="0" borderId="27" xfId="5" applyNumberFormat="1" applyFont="1" applyBorder="1" applyAlignment="1">
      <alignment horizontal="right"/>
    </xf>
    <xf numFmtId="166" fontId="15" fillId="0" borderId="30" xfId="3" applyNumberFormat="1" applyFont="1" applyBorder="1" applyAlignment="1">
      <alignment horizontal="right"/>
    </xf>
    <xf numFmtId="166" fontId="15" fillId="0" borderId="26" xfId="3" applyNumberFormat="1" applyFont="1" applyBorder="1" applyAlignment="1">
      <alignment horizontal="right"/>
    </xf>
    <xf numFmtId="3" fontId="15" fillId="0" borderId="28" xfId="6" applyNumberFormat="1" applyFont="1" applyBorder="1" applyAlignment="1">
      <alignment horizontal="right"/>
    </xf>
    <xf numFmtId="3" fontId="15" fillId="0" borderId="0" xfId="6" applyNumberFormat="1" applyFont="1" applyAlignment="1">
      <alignment horizontal="right"/>
    </xf>
    <xf numFmtId="166" fontId="15" fillId="0" borderId="28" xfId="3" applyNumberFormat="1" applyFont="1" applyBorder="1" applyAlignment="1">
      <alignment horizontal="right"/>
    </xf>
    <xf numFmtId="166" fontId="15" fillId="0" borderId="0" xfId="3" applyNumberFormat="1" applyFont="1" applyAlignment="1">
      <alignment horizontal="right"/>
    </xf>
    <xf numFmtId="167" fontId="15" fillId="0" borderId="28" xfId="5" applyNumberFormat="1" applyFont="1" applyBorder="1" applyAlignment="1">
      <alignment horizontal="right"/>
    </xf>
    <xf numFmtId="167" fontId="15" fillId="0" borderId="0" xfId="5" applyNumberFormat="1" applyFont="1" applyAlignment="1">
      <alignment horizontal="right"/>
    </xf>
    <xf numFmtId="3" fontId="2" fillId="0" borderId="0" xfId="0" applyNumberFormat="1" applyFont="1" applyAlignment="1">
      <alignment horizontal="right"/>
    </xf>
    <xf numFmtId="3" fontId="15" fillId="0" borderId="31" xfId="6" applyNumberFormat="1" applyFont="1" applyBorder="1" applyAlignment="1">
      <alignment horizontal="right"/>
    </xf>
    <xf numFmtId="3" fontId="15" fillId="0" borderId="18" xfId="6" applyNumberFormat="1" applyFont="1" applyBorder="1" applyAlignment="1">
      <alignment horizontal="right"/>
    </xf>
    <xf numFmtId="166" fontId="15" fillId="0" borderId="31" xfId="3" applyNumberFormat="1" applyFont="1" applyBorder="1" applyAlignment="1">
      <alignment horizontal="right"/>
    </xf>
    <xf numFmtId="166" fontId="15" fillId="0" borderId="18" xfId="3" applyNumberFormat="1" applyFont="1" applyBorder="1" applyAlignment="1">
      <alignment horizontal="right"/>
    </xf>
    <xf numFmtId="3" fontId="2" fillId="0" borderId="27" xfId="0" applyNumberFormat="1" applyFont="1" applyBorder="1" applyAlignment="1">
      <alignment horizontal="right"/>
    </xf>
    <xf numFmtId="3" fontId="2" fillId="0" borderId="3" xfId="0" applyNumberFormat="1" applyFont="1" applyBorder="1" applyAlignment="1">
      <alignment horizontal="right"/>
    </xf>
    <xf numFmtId="166" fontId="15" fillId="0" borderId="27" xfId="3" applyNumberFormat="1" applyFont="1" applyBorder="1" applyAlignment="1">
      <alignment horizontal="right"/>
    </xf>
    <xf numFmtId="166" fontId="15" fillId="0" borderId="3" xfId="3" applyNumberFormat="1" applyFont="1" applyBorder="1" applyAlignment="1">
      <alignment horizontal="right"/>
    </xf>
    <xf numFmtId="3" fontId="2" fillId="0" borderId="32" xfId="6" applyNumberFormat="1" applyFont="1" applyBorder="1" applyAlignment="1">
      <alignment horizontal="right"/>
    </xf>
    <xf numFmtId="3" fontId="2" fillId="0" borderId="12" xfId="6" applyNumberFormat="1" applyFont="1" applyBorder="1" applyAlignment="1">
      <alignment horizontal="right"/>
    </xf>
    <xf numFmtId="166" fontId="15" fillId="0" borderId="32" xfId="3" applyNumberFormat="1" applyFont="1" applyBorder="1" applyAlignment="1">
      <alignment horizontal="right"/>
    </xf>
    <xf numFmtId="166" fontId="15" fillId="0" borderId="12" xfId="3" applyNumberFormat="1" applyFont="1" applyBorder="1" applyAlignment="1">
      <alignment horizontal="right"/>
    </xf>
    <xf numFmtId="168" fontId="2" fillId="0" borderId="5" xfId="5" applyNumberFormat="1" applyFont="1" applyBorder="1" applyAlignment="1">
      <alignment horizontal="right"/>
    </xf>
    <xf numFmtId="3" fontId="2" fillId="0" borderId="5" xfId="5" applyNumberFormat="1" applyFont="1" applyBorder="1" applyAlignment="1">
      <alignment horizontal="right"/>
    </xf>
    <xf numFmtId="37" fontId="4" fillId="0" borderId="28" xfId="0" applyFont="1" applyBorder="1" applyAlignment="1">
      <alignment horizontal="left"/>
    </xf>
    <xf numFmtId="168" fontId="2" fillId="3" borderId="7" xfId="5" applyNumberFormat="1" applyFont="1" applyFill="1" applyBorder="1" applyAlignment="1"/>
    <xf numFmtId="168" fontId="2" fillId="0" borderId="7" xfId="5" applyNumberFormat="1" applyFont="1" applyBorder="1" applyAlignment="1"/>
    <xf numFmtId="168" fontId="2" fillId="0" borderId="15" xfId="5" applyNumberFormat="1" applyFont="1" applyBorder="1" applyAlignment="1"/>
    <xf numFmtId="37" fontId="2" fillId="0" borderId="1" xfId="0" applyFont="1" applyBorder="1" applyAlignment="1">
      <alignment horizontal="center"/>
    </xf>
    <xf numFmtId="3" fontId="15" fillId="0" borderId="18" xfId="0" applyNumberFormat="1" applyFont="1" applyBorder="1"/>
    <xf numFmtId="3" fontId="2" fillId="0" borderId="28" xfId="6" applyNumberFormat="1" applyFont="1" applyBorder="1" applyAlignment="1">
      <alignment horizontal="right"/>
    </xf>
    <xf numFmtId="3" fontId="2" fillId="0" borderId="27" xfId="6" applyNumberFormat="1" applyFont="1" applyBorder="1" applyAlignment="1">
      <alignment horizontal="right"/>
    </xf>
    <xf numFmtId="166" fontId="4" fillId="0" borderId="0" xfId="3" applyNumberFormat="1" applyFont="1" applyAlignment="1">
      <alignment horizontal="centerContinuous"/>
    </xf>
    <xf numFmtId="166" fontId="21" fillId="0" borderId="0" xfId="3" applyNumberFormat="1" applyFont="1" applyAlignment="1">
      <alignment horizontal="centerContinuous"/>
    </xf>
    <xf numFmtId="166" fontId="4" fillId="0" borderId="34" xfId="3" applyNumberFormat="1" applyFont="1" applyBorder="1" applyAlignment="1">
      <alignment horizontal="centerContinuous"/>
    </xf>
    <xf numFmtId="37" fontId="2" fillId="0" borderId="3" xfId="0" applyFont="1" applyBorder="1" applyAlignment="1">
      <alignment horizontal="centerContinuous"/>
    </xf>
    <xf numFmtId="37" fontId="2" fillId="0" borderId="17" xfId="0" applyFont="1" applyBorder="1" applyAlignment="1">
      <alignment horizontal="center"/>
    </xf>
    <xf numFmtId="37" fontId="2" fillId="0" borderId="13" xfId="0" applyFont="1" applyBorder="1" applyAlignment="1">
      <alignment horizontal="center"/>
    </xf>
    <xf numFmtId="37" fontId="11" fillId="0" borderId="17" xfId="0" applyFont="1" applyBorder="1" applyAlignment="1">
      <alignment horizontal="center"/>
    </xf>
    <xf numFmtId="37" fontId="2" fillId="0" borderId="3" xfId="0" applyFont="1" applyBorder="1" applyAlignment="1">
      <alignment horizontal="center"/>
    </xf>
    <xf numFmtId="168" fontId="2" fillId="0" borderId="0" xfId="5" applyNumberFormat="1" applyFont="1" applyAlignment="1">
      <alignment horizontal="right"/>
    </xf>
    <xf numFmtId="37" fontId="4" fillId="5" borderId="18" xfId="0" applyFont="1" applyFill="1" applyBorder="1"/>
    <xf numFmtId="37" fontId="4" fillId="0" borderId="18" xfId="0" applyFont="1" applyBorder="1"/>
    <xf numFmtId="37" fontId="8" fillId="0" borderId="0" xfId="0" applyFont="1" applyAlignment="1">
      <alignment horizontal="left" vertical="top" wrapText="1"/>
    </xf>
    <xf numFmtId="37" fontId="12" fillId="0" borderId="0" xfId="0" applyFont="1" applyAlignment="1">
      <alignment horizontal="left" vertical="top" wrapText="1"/>
    </xf>
    <xf numFmtId="37" fontId="2" fillId="0" borderId="0" xfId="0" applyFont="1" applyAlignment="1">
      <alignment vertical="top" wrapText="1"/>
    </xf>
    <xf numFmtId="37" fontId="0" fillId="0" borderId="0" xfId="0" applyAlignment="1">
      <alignment vertical="top" wrapText="1"/>
    </xf>
  </cellXfs>
  <cellStyles count="7">
    <cellStyle name="Comma" xfId="1" builtinId="3"/>
    <cellStyle name="Comma 2" xfId="6" xr:uid="{00000000-0005-0000-0000-000001000000}"/>
    <cellStyle name="Hyperlink" xfId="2" builtinId="8"/>
    <cellStyle name="Normal" xfId="0" builtinId="0"/>
    <cellStyle name="Normal 2" xfId="5" xr:uid="{00000000-0005-0000-0000-000004000000}"/>
    <cellStyle name="Normal 2 2" xfId="4" xr:uid="{00000000-0005-0000-0000-000005000000}"/>
    <cellStyle name="Percent" xfId="3" builtinId="5"/>
  </cellStyles>
  <dxfs count="0"/>
  <tableStyles count="0" defaultTableStyle="TableStyleMedium9" defaultPivotStyle="PivotStyleLight16"/>
  <colors>
    <mruColors>
      <color rgb="FFFF99FF"/>
      <color rgb="FF006600"/>
      <color rgb="FF990033"/>
      <color rgb="FF003399"/>
      <color rgb="FF0000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Percent of Total Bachelor's Degrees Awarded by Public and Private Colleges and Universities</a:t>
            </a:r>
          </a:p>
        </c:rich>
      </c:tx>
      <c:overlay val="0"/>
    </c:title>
    <c:autoTitleDeleted val="0"/>
    <c:plotArea>
      <c:layout/>
      <c:barChart>
        <c:barDir val="col"/>
        <c:grouping val="clustered"/>
        <c:varyColors val="0"/>
        <c:ser>
          <c:idx val="0"/>
          <c:order val="0"/>
          <c:tx>
            <c:strRef>
              <c:f>'TABLE 53'!$A$8</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53'!$E$5:$P$7</c:f>
              <c:multiLvlStrCache>
                <c:ptCount val="12"/>
                <c:lvl>
                  <c:pt idx="0">
                    <c:v>2011-12</c:v>
                  </c:pt>
                  <c:pt idx="1">
                    <c:v>2016-17</c:v>
                  </c:pt>
                  <c:pt idx="2">
                    <c:v>2011-12</c:v>
                  </c:pt>
                  <c:pt idx="3">
                    <c:v>2016-17</c:v>
                  </c:pt>
                  <c:pt idx="4">
                    <c:v>2011-12</c:v>
                  </c:pt>
                  <c:pt idx="5">
                    <c:v>2016-17</c:v>
                  </c:pt>
                  <c:pt idx="6">
                    <c:v>2011-12</c:v>
                  </c:pt>
                  <c:pt idx="7">
                    <c:v> PBIs or HBIs3</c:v>
                  </c:pt>
                  <c:pt idx="8">
                    <c:v>2016-17</c:v>
                  </c:pt>
                  <c:pt idx="9">
                    <c:v> PBIs or HBIs3</c:v>
                  </c:pt>
                  <c:pt idx="10">
                    <c:v>2011-12</c:v>
                  </c:pt>
                  <c:pt idx="11">
                    <c:v>2016-17</c:v>
                  </c:pt>
                </c:lvl>
                <c:lvl>
                  <c:pt idx="7">
                    <c:v>Percent at</c:v>
                  </c:pt>
                  <c:pt idx="8">
                    <c:v> </c:v>
                  </c:pt>
                  <c:pt idx="9">
                    <c:v>Percent at</c:v>
                  </c:pt>
                </c:lvl>
                <c:lvl>
                  <c:pt idx="0">
                    <c:v>Public Colleges</c:v>
                  </c:pt>
                  <c:pt idx="2">
                    <c:v>Women Students</c:v>
                  </c:pt>
                  <c:pt idx="4">
                    <c:v>Foreign Students</c:v>
                  </c:pt>
                  <c:pt idx="6">
                    <c:v>Black Students2</c:v>
                  </c:pt>
                  <c:pt idx="10">
                    <c:v>Hispanic Students2</c:v>
                  </c:pt>
                </c:lvl>
              </c:multiLvlStrCache>
            </c:multiLvlStrRef>
          </c:cat>
          <c:val>
            <c:numRef>
              <c:f>'TABLE 53'!$E$8:$P$8</c:f>
              <c:numCache>
                <c:formatCode>#,##0.0</c:formatCode>
                <c:ptCount val="12"/>
                <c:pt idx="0">
                  <c:v>63.81395770067838</c:v>
                </c:pt>
                <c:pt idx="1">
                  <c:v>66.319157111155832</c:v>
                </c:pt>
                <c:pt idx="2">
                  <c:v>57.404079368538433</c:v>
                </c:pt>
                <c:pt idx="3">
                  <c:v>57.290251418624159</c:v>
                </c:pt>
                <c:pt idx="4">
                  <c:v>3.3524179329199439</c:v>
                </c:pt>
                <c:pt idx="5">
                  <c:v>4.7645384472632513</c:v>
                </c:pt>
                <c:pt idx="6">
                  <c:v>10.59674017786544</c:v>
                </c:pt>
                <c:pt idx="7">
                  <c:v>22.195615155385269</c:v>
                </c:pt>
                <c:pt idx="8">
                  <c:v>10.446623766270593</c:v>
                </c:pt>
                <c:pt idx="9">
                  <c:v>18.656042554821621</c:v>
                </c:pt>
                <c:pt idx="10">
                  <c:v>9.8101047719415213</c:v>
                </c:pt>
                <c:pt idx="11">
                  <c:v>13.628365028402076</c:v>
                </c:pt>
              </c:numCache>
            </c:numRef>
          </c:val>
          <c:extLst>
            <c:ext xmlns:c16="http://schemas.microsoft.com/office/drawing/2014/chart" uri="{C3380CC4-5D6E-409C-BE32-E72D297353CC}">
              <c16:uniqueId val="{00000000-3625-4782-9F14-A6608252E8B8}"/>
            </c:ext>
          </c:extLst>
        </c:ser>
        <c:ser>
          <c:idx val="1"/>
          <c:order val="1"/>
          <c:tx>
            <c:strRef>
              <c:f>'TABLE 53'!$A$9</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53'!$E$5:$P$7</c:f>
              <c:multiLvlStrCache>
                <c:ptCount val="12"/>
                <c:lvl>
                  <c:pt idx="0">
                    <c:v>2011-12</c:v>
                  </c:pt>
                  <c:pt idx="1">
                    <c:v>2016-17</c:v>
                  </c:pt>
                  <c:pt idx="2">
                    <c:v>2011-12</c:v>
                  </c:pt>
                  <c:pt idx="3">
                    <c:v>2016-17</c:v>
                  </c:pt>
                  <c:pt idx="4">
                    <c:v>2011-12</c:v>
                  </c:pt>
                  <c:pt idx="5">
                    <c:v>2016-17</c:v>
                  </c:pt>
                  <c:pt idx="6">
                    <c:v>2011-12</c:v>
                  </c:pt>
                  <c:pt idx="7">
                    <c:v> PBIs or HBIs3</c:v>
                  </c:pt>
                  <c:pt idx="8">
                    <c:v>2016-17</c:v>
                  </c:pt>
                  <c:pt idx="9">
                    <c:v> PBIs or HBIs3</c:v>
                  </c:pt>
                  <c:pt idx="10">
                    <c:v>2011-12</c:v>
                  </c:pt>
                  <c:pt idx="11">
                    <c:v>2016-17</c:v>
                  </c:pt>
                </c:lvl>
                <c:lvl>
                  <c:pt idx="7">
                    <c:v>Percent at</c:v>
                  </c:pt>
                  <c:pt idx="8">
                    <c:v> </c:v>
                  </c:pt>
                  <c:pt idx="9">
                    <c:v>Percent at</c:v>
                  </c:pt>
                </c:lvl>
                <c:lvl>
                  <c:pt idx="0">
                    <c:v>Public Colleges</c:v>
                  </c:pt>
                  <c:pt idx="2">
                    <c:v>Women Students</c:v>
                  </c:pt>
                  <c:pt idx="4">
                    <c:v>Foreign Students</c:v>
                  </c:pt>
                  <c:pt idx="6">
                    <c:v>Black Students2</c:v>
                  </c:pt>
                  <c:pt idx="10">
                    <c:v>Hispanic Students2</c:v>
                  </c:pt>
                </c:lvl>
              </c:multiLvlStrCache>
            </c:multiLvlStrRef>
          </c:cat>
          <c:val>
            <c:numRef>
              <c:f>'TABLE 53'!$E$9:$P$9</c:f>
              <c:numCache>
                <c:formatCode>#,##0.0</c:formatCode>
                <c:ptCount val="12"/>
                <c:pt idx="0">
                  <c:v>74.015706751386659</c:v>
                </c:pt>
                <c:pt idx="1">
                  <c:v>75.869914221247214</c:v>
                </c:pt>
                <c:pt idx="2">
                  <c:v>58.026205879371872</c:v>
                </c:pt>
                <c:pt idx="3">
                  <c:v>58.228157086839637</c:v>
                </c:pt>
                <c:pt idx="4">
                  <c:v>2.5431725960177407</c:v>
                </c:pt>
                <c:pt idx="5">
                  <c:v>3.1876774017894309</c:v>
                </c:pt>
                <c:pt idx="6">
                  <c:v>16.95217821597296</c:v>
                </c:pt>
                <c:pt idx="7">
                  <c:v>35.258415579837859</c:v>
                </c:pt>
                <c:pt idx="8">
                  <c:v>16.377820036303916</c:v>
                </c:pt>
                <c:pt idx="9">
                  <c:v>30.02222740974555</c:v>
                </c:pt>
                <c:pt idx="10">
                  <c:v>10.529942300151252</c:v>
                </c:pt>
                <c:pt idx="11">
                  <c:v>13.920822888754431</c:v>
                </c:pt>
              </c:numCache>
            </c:numRef>
          </c:val>
          <c:extLst>
            <c:ext xmlns:c16="http://schemas.microsoft.com/office/drawing/2014/chart" uri="{C3380CC4-5D6E-409C-BE32-E72D297353CC}">
              <c16:uniqueId val="{00000001-3625-4782-9F14-A6608252E8B8}"/>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53'!$E$5:$P$7</c:f>
              <c:multiLvlStrCache>
                <c:ptCount val="12"/>
                <c:lvl>
                  <c:pt idx="0">
                    <c:v>2011-12</c:v>
                  </c:pt>
                  <c:pt idx="1">
                    <c:v>2016-17</c:v>
                  </c:pt>
                  <c:pt idx="2">
                    <c:v>2011-12</c:v>
                  </c:pt>
                  <c:pt idx="3">
                    <c:v>2016-17</c:v>
                  </c:pt>
                  <c:pt idx="4">
                    <c:v>2011-12</c:v>
                  </c:pt>
                  <c:pt idx="5">
                    <c:v>2016-17</c:v>
                  </c:pt>
                  <c:pt idx="6">
                    <c:v>2011-12</c:v>
                  </c:pt>
                  <c:pt idx="7">
                    <c:v> PBIs or HBIs3</c:v>
                  </c:pt>
                  <c:pt idx="8">
                    <c:v>2016-17</c:v>
                  </c:pt>
                  <c:pt idx="9">
                    <c:v> PBIs or HBIs3</c:v>
                  </c:pt>
                  <c:pt idx="10">
                    <c:v>2011-12</c:v>
                  </c:pt>
                  <c:pt idx="11">
                    <c:v>2016-17</c:v>
                  </c:pt>
                </c:lvl>
                <c:lvl>
                  <c:pt idx="7">
                    <c:v>Percent at</c:v>
                  </c:pt>
                  <c:pt idx="8">
                    <c:v> </c:v>
                  </c:pt>
                  <c:pt idx="9">
                    <c:v>Percent at</c:v>
                  </c:pt>
                </c:lvl>
                <c:lvl>
                  <c:pt idx="0">
                    <c:v>Public Colleges</c:v>
                  </c:pt>
                  <c:pt idx="2">
                    <c:v>Women Students</c:v>
                  </c:pt>
                  <c:pt idx="4">
                    <c:v>Foreign Students</c:v>
                  </c:pt>
                  <c:pt idx="6">
                    <c:v>Black Students2</c:v>
                  </c:pt>
                  <c:pt idx="10">
                    <c:v>Hispanic Students2</c:v>
                  </c:pt>
                </c:lvl>
              </c:multiLvlStrCache>
            </c:multiLvlStrRef>
          </c:cat>
          <c:val>
            <c:numRef>
              <c:f>'TABLE 53'!$E$11:$P$11</c:f>
              <c:numCache>
                <c:formatCode>#,##0.0</c:formatCode>
                <c:ptCount val="12"/>
                <c:pt idx="0">
                  <c:v>78.46131418783483</c:v>
                </c:pt>
                <c:pt idx="1">
                  <c:v>85.746297398550482</c:v>
                </c:pt>
                <c:pt idx="2">
                  <c:v>56.277561135609901</c:v>
                </c:pt>
                <c:pt idx="3">
                  <c:v>58.57988165680473</c:v>
                </c:pt>
                <c:pt idx="4">
                  <c:v>1.8951127956558185</c:v>
                </c:pt>
                <c:pt idx="5">
                  <c:v>3.1336437799796926</c:v>
                </c:pt>
                <c:pt idx="6">
                  <c:v>24.569380756040228</c:v>
                </c:pt>
                <c:pt idx="7">
                  <c:v>36.260978670012548</c:v>
                </c:pt>
                <c:pt idx="8">
                  <c:v>22.566141498216407</c:v>
                </c:pt>
                <c:pt idx="9">
                  <c:v>42.944179153630827</c:v>
                </c:pt>
                <c:pt idx="10">
                  <c:v>2.0808446687988904</c:v>
                </c:pt>
                <c:pt idx="11">
                  <c:v>2.9912306777645661</c:v>
                </c:pt>
              </c:numCache>
            </c:numRef>
          </c:val>
          <c:extLst>
            <c:ext xmlns:c16="http://schemas.microsoft.com/office/drawing/2014/chart" uri="{C3380CC4-5D6E-409C-BE32-E72D297353CC}">
              <c16:uniqueId val="{00000002-3625-4782-9F14-A6608252E8B8}"/>
            </c:ext>
          </c:extLst>
        </c:ser>
        <c:dLbls>
          <c:showLegendKey val="0"/>
          <c:showVal val="1"/>
          <c:showCatName val="0"/>
          <c:showSerName val="0"/>
          <c:showPercent val="0"/>
          <c:showBubbleSize val="0"/>
        </c:dLbls>
        <c:gapWidth val="75"/>
        <c:overlap val="-25"/>
        <c:axId val="103622912"/>
        <c:axId val="104022016"/>
      </c:barChart>
      <c:catAx>
        <c:axId val="103622912"/>
        <c:scaling>
          <c:orientation val="minMax"/>
        </c:scaling>
        <c:delete val="0"/>
        <c:axPos val="b"/>
        <c:majorGridlines/>
        <c:numFmt formatCode="General" sourceLinked="0"/>
        <c:majorTickMark val="in"/>
        <c:minorTickMark val="none"/>
        <c:tickLblPos val="nextTo"/>
        <c:crossAx val="104022016"/>
        <c:crosses val="autoZero"/>
        <c:auto val="1"/>
        <c:lblAlgn val="ctr"/>
        <c:lblOffset val="100"/>
        <c:noMultiLvlLbl val="0"/>
      </c:catAx>
      <c:valAx>
        <c:axId val="104022016"/>
        <c:scaling>
          <c:orientation val="minMax"/>
        </c:scaling>
        <c:delete val="1"/>
        <c:axPos val="l"/>
        <c:numFmt formatCode="#,##0.0" sourceLinked="1"/>
        <c:majorTickMark val="none"/>
        <c:minorTickMark val="none"/>
        <c:tickLblPos val="none"/>
        <c:crossAx val="103622912"/>
        <c:crosses val="autoZero"/>
        <c:crossBetween val="between"/>
      </c:valAx>
    </c:plotArea>
    <c:legend>
      <c:legendPos val="t"/>
      <c:overlay val="0"/>
    </c:legend>
    <c:plotVisOnly val="1"/>
    <c:dispBlanksAs val="gap"/>
    <c:showDLblsOverMax val="0"/>
  </c:chart>
  <c:txPr>
    <a:bodyPr/>
    <a:lstStyle/>
    <a:p>
      <a:pPr>
        <a:defRPr b="1"/>
      </a:pPr>
      <a:endParaRPr lang="en-US"/>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19</xdr:col>
      <xdr:colOff>352425</xdr:colOff>
      <xdr:row>4</xdr:row>
      <xdr:rowOff>314325</xdr:rowOff>
    </xdr:from>
    <xdr:to>
      <xdr:col>35</xdr:col>
      <xdr:colOff>209550</xdr:colOff>
      <xdr:row>41</xdr:row>
      <xdr:rowOff>85725</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35</xdr:col>
      <xdr:colOff>190500</xdr:colOff>
      <xdr:row>0</xdr:row>
      <xdr:rowOff>47625</xdr:rowOff>
    </xdr:from>
    <xdr:to>
      <xdr:col>37</xdr:col>
      <xdr:colOff>504825</xdr:colOff>
      <xdr:row>9</xdr:row>
      <xdr:rowOff>148165</xdr:rowOff>
    </xdr:to>
    <xdr:sp macro="" textlink="">
      <xdr:nvSpPr>
        <xdr:cNvPr id="3" name="Oval Callout 2">
          <a:extLst>
            <a:ext uri="{FF2B5EF4-FFF2-40B4-BE49-F238E27FC236}">
              <a16:creationId xmlns:a16="http://schemas.microsoft.com/office/drawing/2014/main" id="{00000000-0008-0000-0000-000003000000}"/>
            </a:ext>
          </a:extLst>
        </xdr:cNvPr>
        <xdr:cNvSpPr/>
      </xdr:nvSpPr>
      <xdr:spPr>
        <a:xfrm>
          <a:off x="22945725" y="47625"/>
          <a:ext cx="1609725" cy="1853140"/>
        </a:xfrm>
        <a:prstGeom prst="wedgeEllipseCallout">
          <a:avLst>
            <a:gd name="adj1" fmla="val -267707"/>
            <a:gd name="adj2" fmla="val 181185"/>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09%20Tables,%20Templates,%20Misc/oldFB_D05%20(43)%20Bachelor'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43"/>
      <sheetName val="Total Bachelor's"/>
      <sheetName val="Public"/>
      <sheetName val="Gender"/>
      <sheetName val="Women as a % of Total"/>
      <sheetName val="All Race"/>
      <sheetName val="Black"/>
      <sheetName val="White"/>
      <sheetName val="Hispanic &amp; Foreign"/>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nces.ed.gov/" TargetMode="Externa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www.nces.ed.gov/" TargetMode="Externa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hyperlink" Target="http://www.nces.ed.gov/" TargetMode="Externa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www.nces.ed.gov/" TargetMode="External"/><Relationship Id="rId7" Type="http://schemas.openxmlformats.org/officeDocument/2006/relationships/comments" Target="../comments4.xm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vmlDrawing" Target="../drawings/vmlDrawing4.vml"/><Relationship Id="rId5" Type="http://schemas.openxmlformats.org/officeDocument/2006/relationships/printerSettings" Target="../printerSettings/printerSettings4.bin"/><Relationship Id="rId4" Type="http://schemas.openxmlformats.org/officeDocument/2006/relationships/hyperlink" Target="http://www.nces.ed.gov/"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hyperlink" Target="http://www.nces.ed.gov/"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5.bin"/><Relationship Id="rId1" Type="http://schemas.openxmlformats.org/officeDocument/2006/relationships/hyperlink" Target="http://www.nces.ed.gov/" TargetMode="External"/><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hyperlink" Target="http://www.nces.ed.gov/" TargetMode="Externa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comments" Target="../comments7.xml"/><Relationship Id="rId5" Type="http://schemas.openxmlformats.org/officeDocument/2006/relationships/vmlDrawing" Target="../drawings/vmlDrawing7.vml"/><Relationship Id="rId4" Type="http://schemas.openxmlformats.org/officeDocument/2006/relationships/hyperlink" Target="http://www.nces.ed.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abColor indexed="16"/>
    <pageSetUpPr fitToPage="1"/>
  </sheetPr>
  <dimension ref="A1:S74"/>
  <sheetViews>
    <sheetView showGridLines="0" tabSelected="1" view="pageBreakPreview" zoomScaleNormal="90" zoomScaleSheetLayoutView="100" workbookViewId="0">
      <selection activeCell="A2" sqref="A2"/>
    </sheetView>
  </sheetViews>
  <sheetFormatPr defaultColWidth="9.7109375" defaultRowHeight="12.75"/>
  <cols>
    <col min="1" max="1" width="8" style="1" customWidth="1"/>
    <col min="2" max="2" width="12.7109375" style="1" customWidth="1"/>
    <col min="3" max="3" width="9" style="1" customWidth="1"/>
    <col min="4" max="4" width="10.7109375" style="1" customWidth="1"/>
    <col min="5" max="11" width="9" style="1" customWidth="1"/>
    <col min="12" max="12" width="12.85546875" style="1" customWidth="1"/>
    <col min="13" max="13" width="9" style="1" customWidth="1"/>
    <col min="14" max="14" width="12.85546875" style="1" customWidth="1"/>
    <col min="15" max="16" width="9" style="1" customWidth="1"/>
    <col min="17" max="17" width="9.7109375" style="1"/>
    <col min="18" max="19" width="10" style="1" customWidth="1"/>
    <col min="20" max="16384" width="9.7109375" style="1"/>
  </cols>
  <sheetData>
    <row r="1" spans="1:19" ht="12.75" customHeight="1">
      <c r="A1" s="3" t="s">
        <v>276</v>
      </c>
      <c r="B1" s="19"/>
      <c r="C1" s="19"/>
      <c r="D1" s="19"/>
      <c r="E1" s="19"/>
      <c r="F1" s="19"/>
      <c r="R1" s="92"/>
    </row>
    <row r="2" spans="1:19" ht="15" customHeight="1">
      <c r="A2" s="3" t="s">
        <v>252</v>
      </c>
      <c r="B2" s="19"/>
      <c r="C2" s="19"/>
      <c r="D2" s="19"/>
      <c r="E2" s="19"/>
      <c r="F2" s="19"/>
      <c r="K2" s="92"/>
    </row>
    <row r="3" spans="1:19" ht="12.75" customHeight="1">
      <c r="C3" s="19"/>
      <c r="D3" s="19"/>
    </row>
    <row r="4" spans="1:19" ht="12.6" customHeight="1">
      <c r="A4" s="23"/>
      <c r="B4" s="23"/>
      <c r="C4" s="24" t="s">
        <v>52</v>
      </c>
      <c r="D4" s="25"/>
      <c r="E4" s="24" t="s">
        <v>160</v>
      </c>
      <c r="F4" s="24"/>
      <c r="G4" s="24"/>
      <c r="H4" s="24"/>
      <c r="I4" s="24"/>
      <c r="J4" s="24"/>
      <c r="K4" s="24"/>
      <c r="L4" s="24"/>
      <c r="M4" s="30"/>
      <c r="N4" s="24"/>
      <c r="O4" s="24"/>
      <c r="P4" s="24"/>
    </row>
    <row r="5" spans="1:19" ht="30" customHeight="1">
      <c r="A5" s="20"/>
      <c r="B5" s="20"/>
      <c r="C5" s="20"/>
      <c r="D5" s="29" t="s">
        <v>238</v>
      </c>
      <c r="E5" s="22" t="s">
        <v>166</v>
      </c>
      <c r="F5" s="21"/>
      <c r="G5" s="22" t="s">
        <v>219</v>
      </c>
      <c r="H5" s="21"/>
      <c r="I5" s="22" t="s">
        <v>239</v>
      </c>
      <c r="J5" s="106"/>
      <c r="K5" s="21" t="s">
        <v>250</v>
      </c>
      <c r="L5" s="42"/>
      <c r="M5" s="21"/>
      <c r="N5" s="108"/>
      <c r="O5" s="21" t="s">
        <v>251</v>
      </c>
      <c r="P5" s="192"/>
      <c r="R5" s="44" t="s">
        <v>160</v>
      </c>
      <c r="S5" s="44"/>
    </row>
    <row r="6" spans="1:19" ht="15" customHeight="1">
      <c r="A6" s="20"/>
      <c r="B6" s="20"/>
      <c r="C6" s="20"/>
      <c r="D6" s="185" t="s">
        <v>271</v>
      </c>
      <c r="G6" s="40"/>
      <c r="I6" s="40"/>
      <c r="J6" s="107"/>
      <c r="K6" s="23"/>
      <c r="L6" s="41" t="s">
        <v>237</v>
      </c>
      <c r="M6" s="23" t="s">
        <v>153</v>
      </c>
      <c r="N6" s="41" t="s">
        <v>237</v>
      </c>
      <c r="O6" s="40"/>
      <c r="R6" s="44" t="s">
        <v>241</v>
      </c>
      <c r="S6" s="44"/>
    </row>
    <row r="7" spans="1:19" s="20" customFormat="1" ht="15" customHeight="1">
      <c r="A7" s="26"/>
      <c r="B7" s="26"/>
      <c r="C7" s="26" t="s">
        <v>270</v>
      </c>
      <c r="D7" s="193" t="s">
        <v>270</v>
      </c>
      <c r="E7" s="194" t="s">
        <v>262</v>
      </c>
      <c r="F7" s="193" t="s">
        <v>270</v>
      </c>
      <c r="G7" s="194" t="s">
        <v>262</v>
      </c>
      <c r="H7" s="193" t="s">
        <v>270</v>
      </c>
      <c r="I7" s="194" t="s">
        <v>262</v>
      </c>
      <c r="J7" s="193" t="s">
        <v>270</v>
      </c>
      <c r="K7" s="194" t="s">
        <v>262</v>
      </c>
      <c r="L7" s="195" t="s">
        <v>257</v>
      </c>
      <c r="M7" s="26" t="s">
        <v>270</v>
      </c>
      <c r="N7" s="195" t="s">
        <v>257</v>
      </c>
      <c r="O7" s="194" t="s">
        <v>262</v>
      </c>
      <c r="P7" s="196" t="s">
        <v>270</v>
      </c>
      <c r="R7" s="20" t="s">
        <v>262</v>
      </c>
      <c r="S7" s="20" t="s">
        <v>270</v>
      </c>
    </row>
    <row r="8" spans="1:19" ht="12.75" customHeight="1">
      <c r="A8" s="73" t="s">
        <v>248</v>
      </c>
      <c r="B8" s="73"/>
      <c r="C8" s="73">
        <f>+'Total Bachelor''s'!AY4</f>
        <v>1912945</v>
      </c>
      <c r="D8" s="100">
        <f>+(('Total Bachelor''s'!AY4-'Total Bachelor''s'!AT4)/'Total Bachelor''s'!AT4)*100</f>
        <v>8.2781691237027335</v>
      </c>
      <c r="E8" s="97">
        <f>+(Public!V4/'Total Bachelor''s'!AT4)*100</f>
        <v>63.81395770067838</v>
      </c>
      <c r="F8" s="100">
        <f>+(Public!AA4/'Total Bachelor''s'!AY4)*100</f>
        <v>66.319157111155832</v>
      </c>
      <c r="G8" s="97">
        <f>+(Gender!CN4/'Total Bachelor''s'!AT4)*100</f>
        <v>57.404079368538433</v>
      </c>
      <c r="H8" s="104">
        <f>+(Gender!CS4/'Total Bachelor''s'!AY4)*100</f>
        <v>57.290251418624159</v>
      </c>
      <c r="I8" s="97">
        <f>+('Hispanic &amp; Foreign'!AV4/'Total Bachelor''s'!AT4)*100</f>
        <v>3.3524179329199439</v>
      </c>
      <c r="J8" s="104">
        <f>+('Hispanic &amp; Foreign'!BA4/'Total Bachelor''s'!AY4)*100</f>
        <v>4.7645384472632513</v>
      </c>
      <c r="K8" s="97">
        <f>+(Black!AD4/'All Race'!AA4)*100</f>
        <v>10.59674017786544</v>
      </c>
      <c r="L8" s="100">
        <f>IF(Black!BR4="NA","NA",(Black!BR4/Black!AD4)*100)</f>
        <v>22.195615155385269</v>
      </c>
      <c r="M8" s="97">
        <f>+(Black!AI4/'All Race'!AF4)*100</f>
        <v>10.446623766270593</v>
      </c>
      <c r="N8" s="100">
        <f>IF(Black!BW4="NA","NA",(Black!BW4/Black!AI4)*100)</f>
        <v>18.656042554821621</v>
      </c>
      <c r="O8" s="97">
        <f>+('Hispanic &amp; Foreign'!V4/'All Race'!AA4)*100</f>
        <v>9.8101047719415213</v>
      </c>
      <c r="P8" s="97">
        <f>+('Hispanic &amp; Foreign'!AA4/'All Race'!AF4)*100</f>
        <v>13.628365028402076</v>
      </c>
      <c r="R8" s="43">
        <f>K8+O8</f>
        <v>20.40684494980696</v>
      </c>
      <c r="S8" s="43">
        <f>M8+P8</f>
        <v>24.07498879467267</v>
      </c>
    </row>
    <row r="9" spans="1:19">
      <c r="A9" s="72" t="s">
        <v>57</v>
      </c>
      <c r="B9" s="72"/>
      <c r="C9" s="72">
        <f>+'Total Bachelor''s'!AY5</f>
        <v>639086</v>
      </c>
      <c r="D9" s="101">
        <f>+(('Total Bachelor''s'!AY5-'Total Bachelor''s'!AT5)/'Total Bachelor''s'!AT5)*100</f>
        <v>11.681852655713183</v>
      </c>
      <c r="E9" s="98">
        <f>+(Public!V5/'Total Bachelor''s'!AT5)*100</f>
        <v>74.015706751386659</v>
      </c>
      <c r="F9" s="101">
        <f>+(Public!AA5/'Total Bachelor''s'!AY5)*100</f>
        <v>75.869914221247214</v>
      </c>
      <c r="G9" s="98">
        <f>+(Gender!CN5/'Total Bachelor''s'!AT5)*100</f>
        <v>58.026205879371872</v>
      </c>
      <c r="H9" s="101">
        <f>+(Gender!CS5/'Total Bachelor''s'!AY5)*100</f>
        <v>58.228157086839637</v>
      </c>
      <c r="I9" s="98">
        <f>+('Hispanic &amp; Foreign'!AV5/'Total Bachelor''s'!AT5)*100</f>
        <v>2.5431725960177407</v>
      </c>
      <c r="J9" s="101">
        <f>+('Hispanic &amp; Foreign'!BA5/'Total Bachelor''s'!AY5)*100</f>
        <v>3.1876774017894309</v>
      </c>
      <c r="K9" s="98">
        <f>+(Black!AD5/'All Race'!AA5)*100</f>
        <v>16.95217821597296</v>
      </c>
      <c r="L9" s="179">
        <f>IF(Black!BR5="NA","NA",(Black!BR5/Black!AD5)*100)</f>
        <v>35.258415579837859</v>
      </c>
      <c r="M9" s="98">
        <f>+(Black!AI5/'All Race'!AF5)*100</f>
        <v>16.377820036303916</v>
      </c>
      <c r="N9" s="101">
        <f>IF(Black!BW5="NA","NA",(Black!BW5/Black!AI5)*100)</f>
        <v>30.02222740974555</v>
      </c>
      <c r="O9" s="98">
        <f>+('Hispanic &amp; Foreign'!V5/'All Race'!AA5)*100</f>
        <v>10.529942300151252</v>
      </c>
      <c r="P9" s="98">
        <f>+('Hispanic &amp; Foreign'!AA5/'All Race'!AF5)*100</f>
        <v>13.920822888754431</v>
      </c>
      <c r="Q9" s="31"/>
      <c r="R9" s="43">
        <f>K9+O9</f>
        <v>27.482120516124212</v>
      </c>
      <c r="S9" s="43">
        <f>M9+P9</f>
        <v>30.298642925058346</v>
      </c>
    </row>
    <row r="10" spans="1:19">
      <c r="A10" s="72" t="s">
        <v>249</v>
      </c>
      <c r="B10" s="72"/>
      <c r="C10" s="56">
        <f>+'Total Bachelor''s'!AY6</f>
        <v>33.408487959664285</v>
      </c>
      <c r="D10" s="101"/>
      <c r="E10" s="98"/>
      <c r="F10" s="101"/>
      <c r="G10" s="98"/>
      <c r="H10" s="101"/>
      <c r="I10" s="72"/>
      <c r="J10" s="105"/>
      <c r="K10" s="72"/>
      <c r="L10" s="180"/>
      <c r="M10" s="72"/>
      <c r="N10" s="105"/>
      <c r="O10" s="72"/>
      <c r="P10" s="72"/>
      <c r="Q10" s="31"/>
      <c r="R10" s="43"/>
      <c r="S10" s="43"/>
    </row>
    <row r="11" spans="1:19">
      <c r="A11" s="93" t="s">
        <v>12</v>
      </c>
      <c r="B11" s="93"/>
      <c r="C11" s="93">
        <f>+'Total Bachelor''s'!AY7</f>
        <v>28561</v>
      </c>
      <c r="D11" s="102">
        <f>+(('Total Bachelor''s'!AY7-'Total Bachelor''s'!AT7)/'Total Bachelor''s'!AT7)*100</f>
        <v>4.0890703013958234</v>
      </c>
      <c r="E11" s="109">
        <f>+(Public!V7/'Total Bachelor''s'!AT7)*100</f>
        <v>78.46131418783483</v>
      </c>
      <c r="F11" s="102">
        <f>+(Public!AA7/'Total Bachelor''s'!AY7)*100</f>
        <v>85.746297398550482</v>
      </c>
      <c r="G11" s="109">
        <f>+(Gender!CN7/'Total Bachelor''s'!AT7)*100</f>
        <v>56.277561135609901</v>
      </c>
      <c r="H11" s="102">
        <f>+(Gender!CS7/'Total Bachelor''s'!AY7)*100</f>
        <v>58.57988165680473</v>
      </c>
      <c r="I11" s="109">
        <f>+('Hispanic &amp; Foreign'!AV7/'Total Bachelor''s'!AT7)*100</f>
        <v>1.8951127956558185</v>
      </c>
      <c r="J11" s="102">
        <f>+('Hispanic &amp; Foreign'!BA7/'Total Bachelor''s'!AY7)*100</f>
        <v>3.1336437799796926</v>
      </c>
      <c r="K11" s="109">
        <f>+(Black!AD7/'All Race'!AA7)*100</f>
        <v>24.569380756040228</v>
      </c>
      <c r="L11" s="110">
        <f>IF(Black!BR7="NA","NA",(Black!BR7/Black!AD7)*100)</f>
        <v>36.260978670012548</v>
      </c>
      <c r="M11" s="109">
        <f>+(Black!AI7/'All Race'!AF7)*100</f>
        <v>22.566141498216407</v>
      </c>
      <c r="N11" s="102">
        <f>IF(Black!BW7="NA","NA",(Black!BW7/Black!AI7)*100)</f>
        <v>42.944179153630827</v>
      </c>
      <c r="O11" s="109">
        <f>+('Hispanic &amp; Foreign'!V7/'All Race'!AA7)*100</f>
        <v>2.0808446687988904</v>
      </c>
      <c r="P11" s="109">
        <f>+('Hispanic &amp; Foreign'!AA7/'All Race'!AF7)*100</f>
        <v>2.9912306777645661</v>
      </c>
      <c r="Q11" s="31"/>
      <c r="R11" s="43">
        <f t="shared" ref="R11:R27" si="0">K11+O11</f>
        <v>26.650225424839117</v>
      </c>
      <c r="S11" s="43">
        <f t="shared" ref="S11:S27" si="1">M11+P11</f>
        <v>25.557372175980973</v>
      </c>
    </row>
    <row r="12" spans="1:19">
      <c r="A12" s="93" t="s">
        <v>13</v>
      </c>
      <c r="B12" s="93"/>
      <c r="C12" s="93">
        <f>+'Total Bachelor''s'!AY8</f>
        <v>16107</v>
      </c>
      <c r="D12" s="102">
        <f>+(('Total Bachelor''s'!AY8-'Total Bachelor''s'!AT8)/'Total Bachelor''s'!AT8)*100</f>
        <v>13.517513566847558</v>
      </c>
      <c r="E12" s="109">
        <f>+(Public!V8/'Total Bachelor''s'!AT8)*100</f>
        <v>80.752695750229051</v>
      </c>
      <c r="F12" s="102">
        <f>+(Public!AA8/'Total Bachelor''s'!AY8)*100</f>
        <v>83.473024150990256</v>
      </c>
      <c r="G12" s="109">
        <f>+(Gender!CN8/'Total Bachelor''s'!AT8)*100</f>
        <v>57.847628444569729</v>
      </c>
      <c r="H12" s="102">
        <f>+(Gender!CS8/'Total Bachelor''s'!AY8)*100</f>
        <v>57.962376606444401</v>
      </c>
      <c r="I12" s="109">
        <f>+('Hispanic &amp; Foreign'!AV8/'Total Bachelor''s'!AT8)*100</f>
        <v>3.7352878990767495</v>
      </c>
      <c r="J12" s="102">
        <f>+('Hispanic &amp; Foreign'!BA8/'Total Bachelor''s'!AY8)*100</f>
        <v>3.7809647979139509</v>
      </c>
      <c r="K12" s="109">
        <f>+(Black!AD8/'All Race'!AA8)*100</f>
        <v>13.968941317007616</v>
      </c>
      <c r="L12" s="110">
        <f>IF(Black!BR8="NA","NA",(Black!BR8/Black!AD8)*100)</f>
        <v>32.763228220203104</v>
      </c>
      <c r="M12" s="109">
        <f>+(Black!AI8/'All Race'!AF8)*100</f>
        <v>12.841831763559597</v>
      </c>
      <c r="N12" s="102">
        <f>IF(Black!BW8="NA","NA",(Black!BW8/Black!AI8)*100)</f>
        <v>24.481537683358624</v>
      </c>
      <c r="O12" s="109">
        <f>+('Hispanic &amp; Foreign'!V8/'All Race'!AA8)*100</f>
        <v>2.7698969687919965</v>
      </c>
      <c r="P12" s="109">
        <f>+('Hispanic &amp; Foreign'!AA8/'All Race'!AF8)*100</f>
        <v>4.8587203637544656</v>
      </c>
      <c r="Q12" s="31"/>
      <c r="R12" s="43">
        <f t="shared" si="0"/>
        <v>16.738838285799613</v>
      </c>
      <c r="S12" s="43">
        <f t="shared" si="1"/>
        <v>17.700552127314062</v>
      </c>
    </row>
    <row r="13" spans="1:19">
      <c r="A13" s="93" t="s">
        <v>55</v>
      </c>
      <c r="B13" s="93"/>
      <c r="C13" s="93">
        <f>+'Total Bachelor''s'!AY9</f>
        <v>6873</v>
      </c>
      <c r="D13" s="102">
        <f>+(('Total Bachelor''s'!AY9-'Total Bachelor''s'!AT9)/'Total Bachelor''s'!AT9)*100</f>
        <v>16.788445199660153</v>
      </c>
      <c r="E13" s="109">
        <f>+(Public!V9/'Total Bachelor''s'!AT9)*100</f>
        <v>68.649107901444353</v>
      </c>
      <c r="F13" s="102">
        <f>+(Public!AA9/'Total Bachelor''s'!AY9)*100</f>
        <v>66.332023861486974</v>
      </c>
      <c r="G13" s="109">
        <f>+(Gender!CN9/'Total Bachelor''s'!AT9)*100</f>
        <v>61.223449447748514</v>
      </c>
      <c r="H13" s="102">
        <f>+(Gender!CS9/'Total Bachelor''s'!AY9)*100</f>
        <v>62.810999563509384</v>
      </c>
      <c r="I13" s="109">
        <f>+('Hispanic &amp; Foreign'!AV9/'Total Bachelor''s'!AT9)*100</f>
        <v>1.6142735768903995</v>
      </c>
      <c r="J13" s="102">
        <f>+('Hispanic &amp; Foreign'!BA9/'Total Bachelor''s'!AY9)*100</f>
        <v>3.4337261748872403</v>
      </c>
      <c r="K13" s="109">
        <f>+(Black!AD9/'All Race'!AA9)*100</f>
        <v>16.930022573363431</v>
      </c>
      <c r="L13" s="110">
        <f>IF(Black!BR9="NA","NA",(Black!BR9/Black!AD9)*100)</f>
        <v>45</v>
      </c>
      <c r="M13" s="109">
        <f>+(Black!AI9/'All Race'!AF9)*100</f>
        <v>17.857142857142858</v>
      </c>
      <c r="N13" s="102">
        <f>IF(Black!BW9="NA","NA",(Black!BW9/Black!AI9)*100)</f>
        <v>39.111111111111114</v>
      </c>
      <c r="O13" s="109">
        <f>+('Hispanic &amp; Foreign'!V9/'All Race'!AA9)*100</f>
        <v>5.5492851768246805</v>
      </c>
      <c r="P13" s="109">
        <f>+('Hispanic &amp; Foreign'!AA9/'All Race'!AF9)*100</f>
        <v>6.4285714285714279</v>
      </c>
      <c r="Q13" s="31"/>
      <c r="R13" s="43">
        <f t="shared" si="0"/>
        <v>22.479307750188113</v>
      </c>
      <c r="S13" s="43">
        <f t="shared" si="1"/>
        <v>24.285714285714285</v>
      </c>
    </row>
    <row r="14" spans="1:19">
      <c r="A14" s="93" t="s">
        <v>14</v>
      </c>
      <c r="B14" s="93"/>
      <c r="C14" s="93">
        <f>+'Total Bachelor''s'!AY10</f>
        <v>103018</v>
      </c>
      <c r="D14" s="102">
        <f>+(('Total Bachelor''s'!AY10-'Total Bachelor''s'!AT10)/'Total Bachelor''s'!AT10)*100</f>
        <v>13.727741408432045</v>
      </c>
      <c r="E14" s="109">
        <f>+(Public!V10/'Total Bachelor''s'!AT10)*100</f>
        <v>67.833920272015718</v>
      </c>
      <c r="F14" s="102">
        <f>+(Public!AA10/'Total Bachelor''s'!AY10)*100</f>
        <v>69.946028849327305</v>
      </c>
      <c r="G14" s="109">
        <f>+(Gender!CN10/'Total Bachelor''s'!AT10)*100</f>
        <v>57.497543689213202</v>
      </c>
      <c r="H14" s="102">
        <f>+(Gender!CS10/'Total Bachelor''s'!AY10)*100</f>
        <v>57.638470946824825</v>
      </c>
      <c r="I14" s="109">
        <f>+('Hispanic &amp; Foreign'!AV10/'Total Bachelor''s'!AT10)*100</f>
        <v>2.7897066778534603</v>
      </c>
      <c r="J14" s="102">
        <f>+('Hispanic &amp; Foreign'!BA10/'Total Bachelor''s'!AY10)*100</f>
        <v>3.7964239259158594</v>
      </c>
      <c r="K14" s="109">
        <f>+(Black!AD10/'All Race'!AA10)*100</f>
        <v>15.383147929558488</v>
      </c>
      <c r="L14" s="110">
        <f>IF(Black!BR10="NA","NA",(Black!BR10/Black!AD10)*100)</f>
        <v>18.245233297163228</v>
      </c>
      <c r="M14" s="109">
        <f>+(Black!AI10/'All Race'!AF10)*100</f>
        <v>15.032380317764405</v>
      </c>
      <c r="N14" s="102">
        <f>IF(Black!BW10="NA","NA",(Black!BW10/Black!AI10)*100)</f>
        <v>15.493835711317358</v>
      </c>
      <c r="O14" s="109">
        <f>+('Hispanic &amp; Foreign'!V10/'All Race'!AA10)*100</f>
        <v>20.570876703508961</v>
      </c>
      <c r="P14" s="109">
        <f>+('Hispanic &amp; Foreign'!AA10/'All Race'!AF10)*100</f>
        <v>25.131707723382547</v>
      </c>
      <c r="Q14" s="31"/>
      <c r="R14" s="43">
        <f t="shared" si="0"/>
        <v>35.954024633067448</v>
      </c>
      <c r="S14" s="43">
        <f t="shared" si="1"/>
        <v>40.164088041146954</v>
      </c>
    </row>
    <row r="15" spans="1:19">
      <c r="A15" s="72" t="s">
        <v>15</v>
      </c>
      <c r="B15" s="72"/>
      <c r="C15" s="72">
        <f>+'Total Bachelor''s'!AY11</f>
        <v>50986</v>
      </c>
      <c r="D15" s="101">
        <f>+(('Total Bachelor''s'!AY11-'Total Bachelor''s'!AT11)/'Total Bachelor''s'!AT11)*100</f>
        <v>11.289125594796351</v>
      </c>
      <c r="E15" s="98">
        <f>+(Public!V11/'Total Bachelor''s'!AT11)*100</f>
        <v>73.462260444405629</v>
      </c>
      <c r="F15" s="101">
        <f>+(Public!AA11/'Total Bachelor''s'!AY11)*100</f>
        <v>76.72890597418899</v>
      </c>
      <c r="G15" s="98">
        <f>+(Gender!CN11/'Total Bachelor''s'!AT11)*100</f>
        <v>59.826690531278651</v>
      </c>
      <c r="H15" s="101">
        <f>+(Gender!CS11/'Total Bachelor''s'!AY11)*100</f>
        <v>59.382967873533907</v>
      </c>
      <c r="I15" s="98">
        <f>+('Hispanic &amp; Foreign'!AV11/'Total Bachelor''s'!AT11)*100</f>
        <v>3.2588291788536257</v>
      </c>
      <c r="J15" s="101">
        <f>+('Hispanic &amp; Foreign'!BA11/'Total Bachelor''s'!AY11)*100</f>
        <v>3.7245518377593849</v>
      </c>
      <c r="K15" s="98">
        <f>+(Black!AD11/'All Race'!AA11)*100</f>
        <v>26.459348428394001</v>
      </c>
      <c r="L15" s="179">
        <f>IF(Black!BR11="NA","NA",(Black!BR11/Black!AD11)*100)</f>
        <v>43.636035385448636</v>
      </c>
      <c r="M15" s="98">
        <f>+(Black!AI11/'All Race'!AF11)*100</f>
        <v>26.38804975103648</v>
      </c>
      <c r="N15" s="101">
        <f>IF(Black!BW11="NA","NA",(Black!BW11/Black!AI11)*100)</f>
        <v>34.296541923259113</v>
      </c>
      <c r="O15" s="98">
        <f>+('Hispanic &amp; Foreign'!V11/'All Race'!AA11)*100</f>
        <v>4.1750262730486289</v>
      </c>
      <c r="P15" s="98">
        <f>+('Hispanic &amp; Foreign'!AA11/'All Race'!AF11)*100</f>
        <v>6.6168045167607659</v>
      </c>
      <c r="Q15" s="31"/>
      <c r="R15" s="43">
        <f t="shared" si="0"/>
        <v>30.634374701442631</v>
      </c>
      <c r="S15" s="43">
        <f t="shared" si="1"/>
        <v>33.004854267797242</v>
      </c>
    </row>
    <row r="16" spans="1:19">
      <c r="A16" s="72" t="s">
        <v>16</v>
      </c>
      <c r="B16" s="72"/>
      <c r="C16" s="72">
        <f>+'Total Bachelor''s'!AY12</f>
        <v>23752</v>
      </c>
      <c r="D16" s="101">
        <f>+(('Total Bachelor''s'!AY12-'Total Bachelor''s'!AT12)/'Total Bachelor''s'!AT12)*100</f>
        <v>10.346109175377469</v>
      </c>
      <c r="E16" s="98">
        <f>+(Public!V12/'Total Bachelor''s'!AT12)*100</f>
        <v>75.270615563298492</v>
      </c>
      <c r="F16" s="101">
        <f>+(Public!AA12/'Total Bachelor''s'!AY12)*100</f>
        <v>78.224991579656461</v>
      </c>
      <c r="G16" s="98">
        <f>+(Gender!CN12/'Total Bachelor''s'!AT12)*100</f>
        <v>57.426248548199766</v>
      </c>
      <c r="H16" s="101">
        <f>+(Gender!CS12/'Total Bachelor''s'!AY12)*100</f>
        <v>58.226675648366452</v>
      </c>
      <c r="I16" s="98">
        <f>+('Hispanic &amp; Foreign'!AV12/'Total Bachelor''s'!AT12)*100</f>
        <v>1.9698025551684089</v>
      </c>
      <c r="J16" s="101">
        <f>+('Hispanic &amp; Foreign'!BA12/'Total Bachelor''s'!AY12)*100</f>
        <v>3.1492084877062982</v>
      </c>
      <c r="K16" s="98">
        <f>+(Black!AD12/'All Race'!AA12)*100</f>
        <v>7.620483392501094</v>
      </c>
      <c r="L16" s="179">
        <f>IF(Black!BR12="NA","NA",(Black!BR12/Black!AD12)*100)</f>
        <v>9.317166560306319</v>
      </c>
      <c r="M16" s="98">
        <f>+(Black!AI12/'All Race'!AF12)*100</f>
        <v>7.9908981394726268</v>
      </c>
      <c r="N16" s="101">
        <f>IF(Black!BW12="NA","NA",(Black!BW12/Black!AI12)*100)</f>
        <v>9.7710776102735899</v>
      </c>
      <c r="O16" s="98">
        <f>+('Hispanic &amp; Foreign'!V12/'All Race'!AA12)*100</f>
        <v>1.6826338569274912</v>
      </c>
      <c r="P16" s="98">
        <f>+('Hispanic &amp; Foreign'!AA12/'All Race'!AF12)*100</f>
        <v>2.9759514567438541</v>
      </c>
      <c r="Q16" s="31"/>
      <c r="R16" s="43">
        <f t="shared" si="0"/>
        <v>9.3031172494285848</v>
      </c>
      <c r="S16" s="43">
        <f t="shared" si="1"/>
        <v>10.96684959621648</v>
      </c>
    </row>
    <row r="17" spans="1:19">
      <c r="A17" s="72" t="s">
        <v>17</v>
      </c>
      <c r="B17" s="72"/>
      <c r="C17" s="72">
        <f>+'Total Bachelor''s'!AY13</f>
        <v>22542</v>
      </c>
      <c r="D17" s="101">
        <f>+(('Total Bachelor''s'!AY13-'Total Bachelor''s'!AT13)/'Total Bachelor''s'!AT13)*100</f>
        <v>2.3938223938223939</v>
      </c>
      <c r="E17" s="98">
        <f>+(Public!V13/'Total Bachelor''s'!AT13)*100</f>
        <v>84.406086759027929</v>
      </c>
      <c r="F17" s="101">
        <f>+(Public!AA13/'Total Bachelor''s'!AY13)*100</f>
        <v>84.22056605447608</v>
      </c>
      <c r="G17" s="98">
        <f>+(Gender!CN13/'Total Bachelor''s'!AT13)*100</f>
        <v>59.259595730183968</v>
      </c>
      <c r="H17" s="101">
        <f>+(Gender!CS13/'Total Bachelor''s'!AY13)*100</f>
        <v>61.077100523467308</v>
      </c>
      <c r="I17" s="98">
        <f>+('Hispanic &amp; Foreign'!AV13/'Total Bachelor''s'!AT13)*100</f>
        <v>2.979786509198274</v>
      </c>
      <c r="J17" s="101">
        <f>+('Hispanic &amp; Foreign'!BA13/'Total Bachelor''s'!AY13)*100</f>
        <v>2.6971874722739773</v>
      </c>
      <c r="K17" s="98">
        <f>+(Black!AD13/'All Race'!AA13)*100</f>
        <v>23.190315810025869</v>
      </c>
      <c r="L17" s="179">
        <f>IF(Black!BR13="NA","NA",(Black!BR13/Black!AD13)*100)</f>
        <v>44.832666806988001</v>
      </c>
      <c r="M17" s="98">
        <f>+(Black!AI13/'All Race'!AF13)*100</f>
        <v>22.06676369782619</v>
      </c>
      <c r="N17" s="101">
        <f>IF(Black!BW13="NA","NA",(Black!BW13/Black!AI13)*100)</f>
        <v>41.255319148936174</v>
      </c>
      <c r="O17" s="98">
        <f>+('Hispanic &amp; Foreign'!V13/'All Race'!AA13)*100</f>
        <v>3.4656123395323859</v>
      </c>
      <c r="P17" s="98">
        <f>+('Hispanic &amp; Foreign'!AA13/'All Race'!AF13)*100</f>
        <v>5.1974271092539555</v>
      </c>
      <c r="Q17" s="31"/>
      <c r="R17" s="43">
        <f t="shared" si="0"/>
        <v>26.655928149558253</v>
      </c>
      <c r="S17" s="43">
        <f t="shared" si="1"/>
        <v>27.264190807080144</v>
      </c>
    </row>
    <row r="18" spans="1:19">
      <c r="A18" s="72" t="s">
        <v>18</v>
      </c>
      <c r="B18" s="72"/>
      <c r="C18" s="72">
        <f>+'Total Bachelor''s'!AY14</f>
        <v>34150</v>
      </c>
      <c r="D18" s="101">
        <f>+(('Total Bachelor''s'!AY14-'Total Bachelor''s'!AT14)/'Total Bachelor''s'!AT14)*100</f>
        <v>10.650293231377377</v>
      </c>
      <c r="E18" s="98">
        <f>+(Public!V14/'Total Bachelor''s'!AT14)*100</f>
        <v>77.539448530602982</v>
      </c>
      <c r="F18" s="101">
        <f>+(Public!AA14/'Total Bachelor''s'!AY14)*100</f>
        <v>81.054172767203511</v>
      </c>
      <c r="G18" s="98">
        <f>+(Gender!CN14/'Total Bachelor''s'!AT14)*100</f>
        <v>57.534912354599356</v>
      </c>
      <c r="H18" s="101">
        <f>+(Gender!CS14/'Total Bachelor''s'!AY14)*100</f>
        <v>56.284040995607612</v>
      </c>
      <c r="I18" s="98">
        <f>+('Hispanic &amp; Foreign'!AV14/'Total Bachelor''s'!AT14)*100</f>
        <v>2.6731037164241975</v>
      </c>
      <c r="J18" s="101">
        <f>+('Hispanic &amp; Foreign'!BA14/'Total Bachelor''s'!AY14)*100</f>
        <v>3.0658857979502194</v>
      </c>
      <c r="K18" s="98">
        <f>+(Black!AD14/'All Race'!AA14)*100</f>
        <v>22.559971983890737</v>
      </c>
      <c r="L18" s="179">
        <f>IF(Black!BR14="NA","NA",(Black!BR14/Black!AD14)*100)</f>
        <v>42.983545482769323</v>
      </c>
      <c r="M18" s="98">
        <f>+(Black!AI14/'All Race'!AF14)*100</f>
        <v>22.690315492073456</v>
      </c>
      <c r="N18" s="101">
        <f>IF(Black!BW14="NA","NA",(Black!BW14/Black!AI14)*100)</f>
        <v>36.151079136690647</v>
      </c>
      <c r="O18" s="98">
        <f>+('Hispanic &amp; Foreign'!V14/'All Race'!AA14)*100</f>
        <v>5.0744177902293819</v>
      </c>
      <c r="P18" s="98">
        <f>+('Hispanic &amp; Foreign'!AA14/'All Race'!AF14)*100</f>
        <v>7.8700361010830315</v>
      </c>
      <c r="Q18" s="31"/>
      <c r="R18" s="43">
        <f t="shared" si="0"/>
        <v>27.63438977412012</v>
      </c>
      <c r="S18" s="43">
        <f t="shared" si="1"/>
        <v>30.560351593156486</v>
      </c>
    </row>
    <row r="19" spans="1:19">
      <c r="A19" s="93" t="s">
        <v>19</v>
      </c>
      <c r="B19" s="93"/>
      <c r="C19" s="93">
        <f>+'Total Bachelor''s'!AY15</f>
        <v>15219</v>
      </c>
      <c r="D19" s="102">
        <f>+(('Total Bachelor''s'!AY15-'Total Bachelor''s'!AT15)/'Total Bachelor''s'!AT15)*100</f>
        <v>12.599881621781591</v>
      </c>
      <c r="E19" s="109">
        <f>+(Public!V15/'Total Bachelor''s'!AT15)*100</f>
        <v>82.968333826575915</v>
      </c>
      <c r="F19" s="102">
        <f>+(Public!AA15/'Total Bachelor''s'!AY15)*100</f>
        <v>85.603521913397728</v>
      </c>
      <c r="G19" s="109">
        <f>+(Gender!CN15/'Total Bachelor''s'!AT15)*100</f>
        <v>61.194140278188812</v>
      </c>
      <c r="H19" s="102">
        <f>+(Gender!CS15/'Total Bachelor''s'!AY15)*100</f>
        <v>61.482357579341617</v>
      </c>
      <c r="I19" s="109">
        <f>+('Hispanic &amp; Foreign'!AV15/'Total Bachelor''s'!AT15)*100</f>
        <v>1.1911808227286178</v>
      </c>
      <c r="J19" s="102">
        <f>+('Hispanic &amp; Foreign'!BA15/'Total Bachelor''s'!AY15)*100</f>
        <v>1.7149615612063869</v>
      </c>
      <c r="K19" s="109">
        <f>+(Black!AD15/'All Race'!AA15)*100</f>
        <v>32.12088996886628</v>
      </c>
      <c r="L19" s="110">
        <f>IF(Black!BR15="NA","NA",(Black!BR15/Black!AD15)*100)</f>
        <v>49.929078014184398</v>
      </c>
      <c r="M19" s="109">
        <f>+(Black!AI15/'All Race'!AF15)*100</f>
        <v>30.097544567776659</v>
      </c>
      <c r="N19" s="102">
        <f>IF(Black!BW15="NA","NA",(Black!BW15/Black!AI15)*100)</f>
        <v>46.200268216361195</v>
      </c>
      <c r="O19" s="109">
        <f>+('Hispanic &amp; Foreign'!V15/'All Race'!AA15)*100</f>
        <v>1.4807502467917077</v>
      </c>
      <c r="P19" s="109">
        <f>+('Hispanic &amp; Foreign'!AA15/'All Race'!AF15)*100</f>
        <v>1.7154389505549947</v>
      </c>
      <c r="Q19" s="31"/>
      <c r="R19" s="43">
        <f t="shared" si="0"/>
        <v>33.601640215657987</v>
      </c>
      <c r="S19" s="43">
        <f t="shared" si="1"/>
        <v>31.812983518331652</v>
      </c>
    </row>
    <row r="20" spans="1:19">
      <c r="A20" s="93" t="s">
        <v>20</v>
      </c>
      <c r="B20" s="93"/>
      <c r="C20" s="93">
        <f>+'Total Bachelor''s'!AY16</f>
        <v>54947</v>
      </c>
      <c r="D20" s="102">
        <f>+(('Total Bachelor''s'!AY16-'Total Bachelor''s'!AT16)/'Total Bachelor''s'!AT16)*100</f>
        <v>8.3297188596664178</v>
      </c>
      <c r="E20" s="109">
        <f>+(Public!V16/'Total Bachelor''s'!AT16)*100</f>
        <v>70.164819999211389</v>
      </c>
      <c r="F20" s="102">
        <f>+(Public!AA16/'Total Bachelor''s'!AY16)*100</f>
        <v>71.911114346552125</v>
      </c>
      <c r="G20" s="109">
        <f>+(Gender!CN16/'Total Bachelor''s'!AT16)*100</f>
        <v>59.216907850636801</v>
      </c>
      <c r="H20" s="102">
        <f>+(Gender!CS16/'Total Bachelor''s'!AY16)*100</f>
        <v>59.244362749558668</v>
      </c>
      <c r="I20" s="109">
        <f>+('Hispanic &amp; Foreign'!AV16/'Total Bachelor''s'!AT16)*100</f>
        <v>1.8532392255825876</v>
      </c>
      <c r="J20" s="102">
        <f>+('Hispanic &amp; Foreign'!BA16/'Total Bachelor''s'!AY16)*100</f>
        <v>2.4660127031503087</v>
      </c>
      <c r="K20" s="109">
        <f>+(Black!AD16/'All Race'!AA16)*100</f>
        <v>21.282395370292711</v>
      </c>
      <c r="L20" s="110">
        <f>IF(Black!BR16="NA","NA",(Black!BR16/Black!AD16)*100)</f>
        <v>51.901477832512313</v>
      </c>
      <c r="M20" s="109">
        <f>+(Black!AI16/'All Race'!AF16)*100</f>
        <v>19.617363717259256</v>
      </c>
      <c r="N20" s="102">
        <f>IF(Black!BW16="NA","NA",(Black!BW16/Black!AI16)*100)</f>
        <v>43.743220589685436</v>
      </c>
      <c r="O20" s="109">
        <f>+('Hispanic &amp; Foreign'!V16/'All Race'!AA16)*100</f>
        <v>3.7951857753920994</v>
      </c>
      <c r="P20" s="109">
        <f>+('Hispanic &amp; Foreign'!AA16/'All Race'!AF16)*100</f>
        <v>6.0645336015785203</v>
      </c>
      <c r="Q20" s="31"/>
      <c r="R20" s="43">
        <f t="shared" si="0"/>
        <v>25.07758114568481</v>
      </c>
      <c r="S20" s="43">
        <f t="shared" si="1"/>
        <v>25.681897318837777</v>
      </c>
    </row>
    <row r="21" spans="1:19">
      <c r="A21" s="93" t="s">
        <v>21</v>
      </c>
      <c r="B21" s="93"/>
      <c r="C21" s="93">
        <f>+'Total Bachelor''s'!AY17</f>
        <v>21141</v>
      </c>
      <c r="D21" s="102">
        <f>+(('Total Bachelor''s'!AY17-'Total Bachelor''s'!AT17)/'Total Bachelor''s'!AT17)*100</f>
        <v>6.5252443817393937</v>
      </c>
      <c r="E21" s="109">
        <f>+(Public!V17/'Total Bachelor''s'!AT17)*100</f>
        <v>80.444422049783327</v>
      </c>
      <c r="F21" s="102">
        <f>+(Public!AA17/'Total Bachelor''s'!AY17)*100</f>
        <v>81.47675133626602</v>
      </c>
      <c r="G21" s="109">
        <f>+(Gender!CN17/'Total Bachelor''s'!AT17)*100</f>
        <v>57.482616144311194</v>
      </c>
      <c r="H21" s="102">
        <f>+(Gender!CS17/'Total Bachelor''s'!AY17)*100</f>
        <v>56.373870677829807</v>
      </c>
      <c r="I21" s="109">
        <f>+('Hispanic &amp; Foreign'!AV17/'Total Bachelor''s'!AT17)*100</f>
        <v>4.6709664416003225</v>
      </c>
      <c r="J21" s="102">
        <f>+('Hispanic &amp; Foreign'!BA17/'Total Bachelor''s'!AY17)*100</f>
        <v>5.6667139681188212</v>
      </c>
      <c r="K21" s="109">
        <f>+(Black!AD17/'All Race'!AA17)*100</f>
        <v>7.5778527573427734</v>
      </c>
      <c r="L21" s="110">
        <f>IF(Black!BR17="NA","NA",(Black!BR17/Black!AD17)*100)</f>
        <v>17.810218978102192</v>
      </c>
      <c r="M21" s="109">
        <f>+(Black!AI17/'All Race'!AF17)*100</f>
        <v>7.2524765179900434</v>
      </c>
      <c r="N21" s="102">
        <f>IF(Black!BW17="NA","NA",(Black!BW17/Black!AI17)*100)</f>
        <v>13.234253361641896</v>
      </c>
      <c r="O21" s="109">
        <f>+('Hispanic &amp; Foreign'!V17/'All Race'!AA17)*100</f>
        <v>4.0378339509928649</v>
      </c>
      <c r="P21" s="109">
        <f>+('Hispanic &amp; Foreign'!AA17/'All Race'!AF17)*100</f>
        <v>7.37052815274855</v>
      </c>
      <c r="Q21" s="31"/>
      <c r="R21" s="43">
        <f t="shared" si="0"/>
        <v>11.615686708335637</v>
      </c>
      <c r="S21" s="43">
        <f t="shared" si="1"/>
        <v>14.623004670738593</v>
      </c>
    </row>
    <row r="22" spans="1:19">
      <c r="A22" s="93" t="s">
        <v>22</v>
      </c>
      <c r="B22" s="93"/>
      <c r="C22" s="93">
        <f>+'Total Bachelor''s'!AY18</f>
        <v>25831</v>
      </c>
      <c r="D22" s="102">
        <f>+(('Total Bachelor''s'!AY18-'Total Bachelor''s'!AT18)/'Total Bachelor''s'!AT18)*100</f>
        <v>12.440691246245592</v>
      </c>
      <c r="E22" s="109">
        <f>+(Public!V18/'Total Bachelor''s'!AT18)*100</f>
        <v>72.110738693248607</v>
      </c>
      <c r="F22" s="102">
        <f>+(Public!AA18/'Total Bachelor''s'!AY18)*100</f>
        <v>74.058302040184273</v>
      </c>
      <c r="G22" s="109">
        <f>+(Gender!CN18/'Total Bachelor''s'!AT18)*100</f>
        <v>58.338049014059976</v>
      </c>
      <c r="H22" s="102">
        <f>+(Gender!CS18/'Total Bachelor''s'!AY18)*100</f>
        <v>58.449150245828655</v>
      </c>
      <c r="I22" s="109">
        <f>+('Hispanic &amp; Foreign'!AV18/'Total Bachelor''s'!AT18)*100</f>
        <v>1.4930570669916858</v>
      </c>
      <c r="J22" s="102">
        <f>+('Hispanic &amp; Foreign'!BA18/'Total Bachelor''s'!AY18)*100</f>
        <v>1.680151755642445</v>
      </c>
      <c r="K22" s="109">
        <f>+(Black!AD18/'All Race'!AA18)*100</f>
        <v>20.586100526220285</v>
      </c>
      <c r="L22" s="110">
        <f>IF(Black!BR18="NA","NA",(Black!BR18/Black!AD18)*100)</f>
        <v>45.240193918025561</v>
      </c>
      <c r="M22" s="109">
        <f>+(Black!AI18/'All Race'!AF18)*100</f>
        <v>18.823011681869097</v>
      </c>
      <c r="N22" s="102">
        <f>IF(Black!BW18="NA","NA",(Black!BW18/Black!AI18)*100)</f>
        <v>32.433581296493088</v>
      </c>
      <c r="O22" s="109">
        <f>+('Hispanic &amp; Foreign'!V18/'All Race'!AA18)*100</f>
        <v>2.6038831428052984</v>
      </c>
      <c r="P22" s="109">
        <f>+('Hispanic &amp; Foreign'!AA18/'All Race'!AF18)*100</f>
        <v>3.9326292206753077</v>
      </c>
      <c r="Q22" s="31"/>
      <c r="R22" s="43">
        <f t="shared" si="0"/>
        <v>23.189983669025583</v>
      </c>
      <c r="S22" s="43">
        <f t="shared" si="1"/>
        <v>22.755640902544407</v>
      </c>
    </row>
    <row r="23" spans="1:19">
      <c r="A23" s="72" t="s">
        <v>23</v>
      </c>
      <c r="B23" s="72"/>
      <c r="C23" s="72">
        <f>+'Total Bachelor''s'!AY19</f>
        <v>35799</v>
      </c>
      <c r="D23" s="101">
        <f>+(('Total Bachelor''s'!AY19-'Total Bachelor''s'!AT19)/'Total Bachelor''s'!AT19)*100</f>
        <v>10.80194373084899</v>
      </c>
      <c r="E23" s="98">
        <f>+(Public!V19/'Total Bachelor''s'!AT19)*100</f>
        <v>61.84344919372311</v>
      </c>
      <c r="F23" s="101">
        <f>+(Public!AA19/'Total Bachelor''s'!AY19)*100</f>
        <v>62.376044023576085</v>
      </c>
      <c r="G23" s="98">
        <f>+(Gender!CN19/'Total Bachelor''s'!AT19)*100</f>
        <v>57.931226593209317</v>
      </c>
      <c r="H23" s="101">
        <f>+(Gender!CS19/'Total Bachelor''s'!AY19)*100</f>
        <v>58.185982848682926</v>
      </c>
      <c r="I23" s="98">
        <f>+('Hispanic &amp; Foreign'!AV19/'Total Bachelor''s'!AT19)*100</f>
        <v>1.6373146801200902</v>
      </c>
      <c r="J23" s="101">
        <f>+('Hispanic &amp; Foreign'!BA19/'Total Bachelor''s'!AY19)*100</f>
        <v>2.5391770719852507</v>
      </c>
      <c r="K23" s="98">
        <f>+(Black!AD19/'All Race'!AA19)*100</f>
        <v>15.425549174210715</v>
      </c>
      <c r="L23" s="179">
        <f>IF(Black!BR19="NA","NA",(Black!BR19/Black!AD19)*100)</f>
        <v>29.806478754732858</v>
      </c>
      <c r="M23" s="98">
        <f>+(Black!AI19/'All Race'!AF19)*100</f>
        <v>15.854660718478517</v>
      </c>
      <c r="N23" s="101">
        <f>IF(Black!BW19="NA","NA",(Black!BW19/Black!AI19)*100)</f>
        <v>25.897815623843023</v>
      </c>
      <c r="O23" s="98">
        <f>+('Hispanic &amp; Foreign'!V19/'All Race'!AA19)*100</f>
        <v>2.6282488075537818</v>
      </c>
      <c r="P23" s="98">
        <f>+('Hispanic &amp; Foreign'!AA19/'All Race'!AF19)*100</f>
        <v>3.8653439774594975</v>
      </c>
      <c r="Q23" s="31"/>
      <c r="R23" s="43">
        <f t="shared" si="0"/>
        <v>18.053797981764497</v>
      </c>
      <c r="S23" s="43">
        <f t="shared" si="1"/>
        <v>19.720004695938016</v>
      </c>
    </row>
    <row r="24" spans="1:19">
      <c r="A24" s="72" t="s">
        <v>24</v>
      </c>
      <c r="B24" s="72"/>
      <c r="C24" s="72">
        <f>+'Total Bachelor''s'!AY20</f>
        <v>130806</v>
      </c>
      <c r="D24" s="101">
        <f>+(('Total Bachelor''s'!AY20-'Total Bachelor''s'!AT20)/'Total Bachelor''s'!AT20)*100</f>
        <v>17.500269483669289</v>
      </c>
      <c r="E24" s="98">
        <f>+(Public!V20/'Total Bachelor''s'!AT20)*100</f>
        <v>80.113901764219747</v>
      </c>
      <c r="F24" s="101">
        <f>+(Public!AA20/'Total Bachelor''s'!AY20)*100</f>
        <v>82.228643945996367</v>
      </c>
      <c r="G24" s="98">
        <f>+(Gender!CN20/'Total Bachelor''s'!AT20)*100</f>
        <v>58.392619740577054</v>
      </c>
      <c r="H24" s="101">
        <f>+(Gender!CS20/'Total Bachelor''s'!AY20)*100</f>
        <v>58.829870189440847</v>
      </c>
      <c r="I24" s="98">
        <f>+('Hispanic &amp; Foreign'!AV20/'Total Bachelor''s'!AT20)*100</f>
        <v>2.7945456505335775</v>
      </c>
      <c r="J24" s="101">
        <f>+('Hispanic &amp; Foreign'!BA20/'Total Bachelor''s'!AY20)*100</f>
        <v>3.2597893063009344</v>
      </c>
      <c r="K24" s="98">
        <f>+(Black!AD20/'All Race'!AA20)*100</f>
        <v>10.519917446495716</v>
      </c>
      <c r="L24" s="179">
        <f>IF(Black!BR20="NA","NA",(Black!BR20/Black!AD20)*100)</f>
        <v>18.417987996058407</v>
      </c>
      <c r="M24" s="98">
        <f>+(Black!AI20/'All Race'!AF20)*100</f>
        <v>10.525936195276751</v>
      </c>
      <c r="N24" s="101">
        <f>IF(Black!BW20="NA","NA",(Black!BW20/Black!AI20)*100)</f>
        <v>16.642558051008756</v>
      </c>
      <c r="O24" s="98">
        <f>+('Hispanic &amp; Foreign'!V20/'All Race'!AA20)*100</f>
        <v>25.440803671557678</v>
      </c>
      <c r="P24" s="98">
        <f>+('Hispanic &amp; Foreign'!AA20/'All Race'!AF20)*100</f>
        <v>31.17792718792823</v>
      </c>
      <c r="Q24" s="31"/>
      <c r="R24" s="43">
        <f t="shared" si="0"/>
        <v>35.960721118053392</v>
      </c>
      <c r="S24" s="43">
        <f t="shared" si="1"/>
        <v>41.703863383204983</v>
      </c>
    </row>
    <row r="25" spans="1:19">
      <c r="A25" s="72" t="s">
        <v>25</v>
      </c>
      <c r="B25" s="72"/>
      <c r="C25" s="72">
        <f>+'Total Bachelor''s'!AY21</f>
        <v>58563</v>
      </c>
      <c r="D25" s="101">
        <f>+(('Total Bachelor''s'!AY21-'Total Bachelor''s'!AT21)/'Total Bachelor''s'!AT21)*100</f>
        <v>10.500396241367598</v>
      </c>
      <c r="E25" s="98">
        <f>+(Public!V21/'Total Bachelor''s'!AT21)*100</f>
        <v>66.227027434997538</v>
      </c>
      <c r="F25" s="101">
        <f>+(Public!AA21/'Total Bachelor''s'!AY21)*100</f>
        <v>64.791762717073922</v>
      </c>
      <c r="G25" s="98">
        <f>+(Gender!CN21/'Total Bachelor''s'!AT21)*100</f>
        <v>56.3549567908223</v>
      </c>
      <c r="H25" s="101">
        <f>+(Gender!CS21/'Total Bachelor''s'!AY21)*100</f>
        <v>56.294930246059792</v>
      </c>
      <c r="I25" s="98">
        <f>+('Hispanic &amp; Foreign'!AV21/'Total Bachelor''s'!AT21)*100</f>
        <v>2.2755575682101212</v>
      </c>
      <c r="J25" s="101">
        <f>+('Hispanic &amp; Foreign'!BA21/'Total Bachelor''s'!AY21)*100</f>
        <v>2.8089407987978756</v>
      </c>
      <c r="K25" s="98">
        <f>+(Black!AD21/'All Race'!AA21)*100</f>
        <v>17.167435742175265</v>
      </c>
      <c r="L25" s="179">
        <f>IF(Black!BR21="NA","NA",(Black!BR21/Black!AD21)*100)</f>
        <v>39.005108246168817</v>
      </c>
      <c r="M25" s="98">
        <f>+(Black!AI21/'All Race'!AF21)*100</f>
        <v>16.235360254848683</v>
      </c>
      <c r="N25" s="101">
        <f>IF(Black!BW21="NA","NA",(Black!BW21/Black!AI21)*100)</f>
        <v>33.2409972299169</v>
      </c>
      <c r="O25" s="98">
        <f>+('Hispanic &amp; Foreign'!V21/'All Race'!AA21)*100</f>
        <v>4.9589710396091284</v>
      </c>
      <c r="P25" s="98">
        <f>+('Hispanic &amp; Foreign'!AA21/'All Race'!AF21)*100</f>
        <v>7.2088447484306188</v>
      </c>
      <c r="Q25" s="31"/>
      <c r="R25" s="43">
        <f t="shared" si="0"/>
        <v>22.126406781784393</v>
      </c>
      <c r="S25" s="43">
        <f t="shared" si="1"/>
        <v>23.444205003279301</v>
      </c>
    </row>
    <row r="26" spans="1:19">
      <c r="A26" s="73" t="s">
        <v>26</v>
      </c>
      <c r="B26" s="73"/>
      <c r="C26" s="73">
        <f>+'Total Bachelor''s'!AY22</f>
        <v>10791</v>
      </c>
      <c r="D26" s="104">
        <f>+(('Total Bachelor''s'!AY22-'Total Bachelor''s'!AT22)/'Total Bachelor''s'!AT22)*100</f>
        <v>5.4117417212073855</v>
      </c>
      <c r="E26" s="183">
        <f>+(Public!V22/'Total Bachelor''s'!AT22)*100</f>
        <v>88.912767412327838</v>
      </c>
      <c r="F26" s="104">
        <f>+(Public!AA22/'Total Bachelor''s'!AY22)*100</f>
        <v>85.506440552312114</v>
      </c>
      <c r="G26" s="183">
        <f>+(Gender!CN22/'Total Bachelor''s'!AT22)*100</f>
        <v>53.07218911790563</v>
      </c>
      <c r="H26" s="104">
        <f>+(Gender!CS22/'Total Bachelor''s'!AY22)*100</f>
        <v>51.830228894449078</v>
      </c>
      <c r="I26" s="183">
        <f>+('Hispanic &amp; Foreign'!AV22/'Total Bachelor''s'!AT22)*100</f>
        <v>2.5984175051284555</v>
      </c>
      <c r="J26" s="104">
        <f>+('Hispanic &amp; Foreign'!BA22/'Total Bachelor''s'!AY22)*100</f>
        <v>3.2712445556482255</v>
      </c>
      <c r="K26" s="183">
        <f>+(Black!AD22/'All Race'!AA22)*100</f>
        <v>4.8373816385343762</v>
      </c>
      <c r="L26" s="112">
        <f>IF(Black!BR22="NA","NA",(Black!BR22/Black!AD22)*100)</f>
        <v>18.936170212765958</v>
      </c>
      <c r="M26" s="183">
        <f>+(Black!AI22/'All Race'!AF22)*100</f>
        <v>5.8870090036608289</v>
      </c>
      <c r="N26" s="104">
        <f>IF(Black!BW22="NA","NA",(Black!BW22/Black!AI22)*100)</f>
        <v>9.9159663865546221</v>
      </c>
      <c r="O26" s="183">
        <f>+('Hispanic &amp; Foreign'!V22/'All Race'!AA22)*100</f>
        <v>1.9452449567723344</v>
      </c>
      <c r="P26" s="97">
        <f>+('Hispanic &amp; Foreign'!AA22/'All Race'!AF22)*100</f>
        <v>3.1067576926882357</v>
      </c>
      <c r="Q26" s="31"/>
      <c r="R26" s="43">
        <f t="shared" si="0"/>
        <v>6.7826265953067111</v>
      </c>
      <c r="S26" s="43">
        <f t="shared" si="1"/>
        <v>8.9937666963490646</v>
      </c>
    </row>
    <row r="27" spans="1:19">
      <c r="A27" s="72" t="s">
        <v>245</v>
      </c>
      <c r="B27" s="72"/>
      <c r="C27" s="72">
        <f>+'Total Bachelor''s'!AY23</f>
        <v>426525</v>
      </c>
      <c r="D27" s="101">
        <f>+(('Total Bachelor''s'!AY23-'Total Bachelor''s'!AT23)/'Total Bachelor''s'!AT23)*100</f>
        <v>12.044100494909056</v>
      </c>
      <c r="E27" s="98">
        <f>+(Public!V23/'Total Bachelor''s'!AT23)*100</f>
        <v>67.811734913679871</v>
      </c>
      <c r="F27" s="101">
        <f>+(Public!AA23/'Total Bachelor''s'!AY23)*100</f>
        <v>71.372135279291953</v>
      </c>
      <c r="G27" s="98">
        <f>+(Gender!CN23/'Total Bachelor''s'!AT23)*100</f>
        <v>57.228719435950779</v>
      </c>
      <c r="H27" s="101">
        <f>+(Gender!CS23/'Total Bachelor''s'!AY23)*100</f>
        <v>56.916710626575231</v>
      </c>
      <c r="I27" s="98">
        <f>+('Hispanic &amp; Foreign'!AV23/'Total Bachelor''s'!AT23)*100</f>
        <v>3.4856413327869364</v>
      </c>
      <c r="J27" s="101">
        <f>+('Hispanic &amp; Foreign'!BA23/'Total Bachelor''s'!AY23)*100</f>
        <v>5.5687239903874337</v>
      </c>
      <c r="K27" s="98">
        <f>+(Black!AD23/'All Race'!AA23)*100</f>
        <v>5.2284077933956636</v>
      </c>
      <c r="L27" s="179">
        <f>IF(Black!BR23="NA","NA",(Black!BR23/Black!AD23)*100)</f>
        <v>8.6891038637548518E-2</v>
      </c>
      <c r="M27" s="98">
        <f>+(Black!AI23/'All Race'!AF23)*100</f>
        <v>5.1413077484617791</v>
      </c>
      <c r="N27" s="179">
        <f>IF(Black!BW23="NA","NA",(Black!BW23/Black!AI23)*100)</f>
        <v>9.6348884381338734E-2</v>
      </c>
      <c r="O27" s="98">
        <f>+('Hispanic &amp; Foreign'!V23/'All Race'!AA23)*100</f>
        <v>16.450570451606257</v>
      </c>
      <c r="P27" s="98">
        <f>+('Hispanic &amp; Foreign'!AA23/'All Race'!AF23)*100</f>
        <v>22.791219105224737</v>
      </c>
      <c r="Q27" s="31"/>
      <c r="R27" s="43">
        <f t="shared" si="0"/>
        <v>21.678978245001922</v>
      </c>
      <c r="S27" s="43">
        <f t="shared" si="1"/>
        <v>27.932526853686518</v>
      </c>
    </row>
    <row r="28" spans="1:19">
      <c r="A28" s="72" t="s">
        <v>249</v>
      </c>
      <c r="B28" s="72"/>
      <c r="C28" s="56">
        <f>+'Total Bachelor''s'!AY24</f>
        <v>22.296772777053185</v>
      </c>
      <c r="D28" s="101"/>
      <c r="E28" s="98"/>
      <c r="F28" s="101"/>
      <c r="G28" s="98"/>
      <c r="H28" s="101"/>
      <c r="I28" s="72"/>
      <c r="J28" s="105"/>
      <c r="K28" s="72"/>
      <c r="L28" s="180"/>
      <c r="M28" s="72"/>
      <c r="N28" s="180"/>
      <c r="O28" s="72"/>
      <c r="P28" s="72"/>
      <c r="Q28" s="31"/>
      <c r="R28" s="43"/>
      <c r="S28" s="43"/>
    </row>
    <row r="29" spans="1:19">
      <c r="A29" s="93" t="s">
        <v>167</v>
      </c>
      <c r="B29" s="93"/>
      <c r="C29" s="93">
        <f>+'Total Bachelor''s'!AY25</f>
        <v>2006</v>
      </c>
      <c r="D29" s="102">
        <f>+(('Total Bachelor''s'!AY25-'Total Bachelor''s'!AT25)/'Total Bachelor''s'!AT25)*100</f>
        <v>14.62857142857143</v>
      </c>
      <c r="E29" s="109">
        <f>+(Public!V25/'Total Bachelor''s'!AT25)*100</f>
        <v>92.114285714285714</v>
      </c>
      <c r="F29" s="102">
        <f>+(Public!AA25/'Total Bachelor''s'!AY25)*100</f>
        <v>96.809571286141576</v>
      </c>
      <c r="G29" s="109">
        <f>+(Gender!CN25/'Total Bachelor''s'!AT25)*100</f>
        <v>58.342857142857142</v>
      </c>
      <c r="H29" s="102">
        <f>+(Gender!CS25/'Total Bachelor''s'!AY25)*100</f>
        <v>58.075772681954142</v>
      </c>
      <c r="I29" s="109">
        <f>+('Hispanic &amp; Foreign'!AV25/'Total Bachelor''s'!AT25)*100</f>
        <v>3.2571428571428571</v>
      </c>
      <c r="J29" s="102">
        <f>+('Hispanic &amp; Foreign'!BA25/'Total Bachelor''s'!AY25)*100</f>
        <v>1.9940179461615155</v>
      </c>
      <c r="K29" s="109">
        <f>+(Black!AD25/'All Race'!AA25)*100</f>
        <v>2.8342575477510783</v>
      </c>
      <c r="L29" s="110" t="str">
        <f>IF(Black!BR25="NA","NA",(Black!BR25/Black!AD25)*100)</f>
        <v>NA</v>
      </c>
      <c r="M29" s="109">
        <f>+(Black!AI25/'All Race'!AF25)*100</f>
        <v>3.2276330690826729</v>
      </c>
      <c r="N29" s="110" t="str">
        <f>IF(Black!BW25="NA","NA",(Black!BW25/Black!AI25)*100)</f>
        <v>NA</v>
      </c>
      <c r="O29" s="109">
        <f>+('Hispanic &amp; Foreign'!V25/'All Race'!AA25)*100</f>
        <v>5.730129390018484</v>
      </c>
      <c r="P29" s="109">
        <f>+('Hispanic &amp; Foreign'!AA25/'All Race'!AF25)*100</f>
        <v>6.4552661381653458</v>
      </c>
      <c r="Q29" s="31"/>
      <c r="R29" s="43">
        <f t="shared" ref="R29:R67" si="2">K29+O29</f>
        <v>8.5643869377695623</v>
      </c>
      <c r="S29" s="43">
        <f t="shared" ref="S29:S67" si="3">M29+P29</f>
        <v>9.6828992072480187</v>
      </c>
    </row>
    <row r="30" spans="1:19">
      <c r="A30" s="93" t="s">
        <v>168</v>
      </c>
      <c r="B30" s="93"/>
      <c r="C30" s="93">
        <f>+'Total Bachelor''s'!AY26</f>
        <v>55670</v>
      </c>
      <c r="D30" s="102">
        <f>+(('Total Bachelor''s'!AY26-'Total Bachelor''s'!AT26)/'Total Bachelor''s'!AT26)*100</f>
        <v>-13.412035524862736</v>
      </c>
      <c r="E30" s="109">
        <f>+(Public!V26/'Total Bachelor''s'!AT26)*100</f>
        <v>36.979142363865428</v>
      </c>
      <c r="F30" s="102">
        <f>+(Public!AA26/'Total Bachelor''s'!AY26)*100</f>
        <v>52.651338243218973</v>
      </c>
      <c r="G30" s="109">
        <f>+(Gender!CN26/'Total Bachelor''s'!AT26)*100</f>
        <v>62.838878260463815</v>
      </c>
      <c r="H30" s="102">
        <f>+(Gender!CS26/'Total Bachelor''s'!AY26)*100</f>
        <v>61.160409556313986</v>
      </c>
      <c r="I30" s="109">
        <f>+('Hispanic &amp; Foreign'!AV26/'Total Bachelor''s'!AT26)*100</f>
        <v>2.0437683729177358</v>
      </c>
      <c r="J30" s="102">
        <f>+('Hispanic &amp; Foreign'!BA26/'Total Bachelor''s'!AY26)*100</f>
        <v>3.8279144961379559</v>
      </c>
      <c r="K30" s="109">
        <f>+(Black!AD26/'All Race'!AA26)*100</f>
        <v>12.570272530978272</v>
      </c>
      <c r="L30" s="110" t="str">
        <f>IF(Black!BR26="NA","NA",(Black!BR26/Black!AD26)*100)</f>
        <v>NA</v>
      </c>
      <c r="M30" s="109">
        <f>+(Black!AI26/'All Race'!AF26)*100</f>
        <v>10.61890420248519</v>
      </c>
      <c r="N30" s="110" t="str">
        <f>IF(Black!BW26="NA","NA",(Black!BW26/Black!AI26)*100)</f>
        <v>NA</v>
      </c>
      <c r="O30" s="109">
        <f>+('Hispanic &amp; Foreign'!V26/'All Race'!AA26)*100</f>
        <v>14.087575621997003</v>
      </c>
      <c r="P30" s="109">
        <f>+('Hispanic &amp; Foreign'!AA26/'All Race'!AF26)*100</f>
        <v>20.045076490416257</v>
      </c>
      <c r="R30" s="43">
        <f t="shared" si="2"/>
        <v>26.657848152975276</v>
      </c>
      <c r="S30" s="43">
        <f t="shared" si="3"/>
        <v>30.663980692901447</v>
      </c>
    </row>
    <row r="31" spans="1:19">
      <c r="A31" s="93" t="s">
        <v>169</v>
      </c>
      <c r="B31" s="93"/>
      <c r="C31" s="93">
        <f>+'Total Bachelor''s'!AY27</f>
        <v>210373</v>
      </c>
      <c r="D31" s="102">
        <f>+(('Total Bachelor''s'!AY27-'Total Bachelor''s'!AT27)/'Total Bachelor''s'!AT27)*100</f>
        <v>23.089930372710786</v>
      </c>
      <c r="E31" s="109">
        <f>+(Public!V27/'Total Bachelor''s'!AT27)*100</f>
        <v>73.328652507167519</v>
      </c>
      <c r="F31" s="102">
        <f>+(Public!AA27/'Total Bachelor''s'!AY27)*100</f>
        <v>72.484586900410221</v>
      </c>
      <c r="G31" s="109">
        <f>+(Gender!CN27/'Total Bachelor''s'!AT27)*100</f>
        <v>56.914750453455035</v>
      </c>
      <c r="H31" s="102">
        <f>+(Gender!CS27/'Total Bachelor''s'!AY27)*100</f>
        <v>57.294900010932956</v>
      </c>
      <c r="I31" s="109">
        <f>+('Hispanic &amp; Foreign'!AV27/'Total Bachelor''s'!AT27)*100</f>
        <v>4.1729565268269848</v>
      </c>
      <c r="J31" s="102">
        <f>+('Hispanic &amp; Foreign'!BA27/'Total Bachelor''s'!AY27)*100</f>
        <v>6.5650059655944446</v>
      </c>
      <c r="K31" s="109">
        <f>+(Black!AD27/'All Race'!AA27)*100</f>
        <v>5.0083631369242694</v>
      </c>
      <c r="L31" s="110" t="str">
        <f>IF(Black!BR27="NA","NA",(Black!BR27/Black!AD27)*100)</f>
        <v>NA</v>
      </c>
      <c r="M31" s="109">
        <f>+(Black!AI27/'All Race'!AF27)*100</f>
        <v>5.3781539632593764</v>
      </c>
      <c r="N31" s="110">
        <f>IF(Black!BW27="NA","NA",(Black!BW27/Black!AI27)*100)</f>
        <v>5.980265125087212E-2</v>
      </c>
      <c r="O31" s="109">
        <f>+('Hispanic &amp; Foreign'!V27/'All Race'!AA27)*100</f>
        <v>23.634360933951619</v>
      </c>
      <c r="P31" s="109">
        <f>+('Hispanic &amp; Foreign'!AA27/'All Race'!AF27)*100</f>
        <v>31.322265761105545</v>
      </c>
      <c r="R31" s="43">
        <f t="shared" si="2"/>
        <v>28.642724070875889</v>
      </c>
      <c r="S31" s="43">
        <f t="shared" si="3"/>
        <v>36.70041972436492</v>
      </c>
    </row>
    <row r="32" spans="1:19">
      <c r="A32" s="93" t="s">
        <v>170</v>
      </c>
      <c r="B32" s="93"/>
      <c r="C32" s="93">
        <f>+'Total Bachelor''s'!AY28</f>
        <v>32166</v>
      </c>
      <c r="D32" s="102">
        <f>+(('Total Bachelor''s'!AY28-'Total Bachelor''s'!AT28)/'Total Bachelor''s'!AT28)*100</f>
        <v>14.290790221716884</v>
      </c>
      <c r="E32" s="109">
        <f>+(Public!V28/'Total Bachelor''s'!AT28)*100</f>
        <v>78.656196702671977</v>
      </c>
      <c r="F32" s="102">
        <f>+(Public!AA28/'Total Bachelor''s'!AY28)*100</f>
        <v>75.77255487160356</v>
      </c>
      <c r="G32" s="109">
        <f>+(Gender!CN28/'Total Bachelor''s'!AT28)*100</f>
        <v>55.052586696986928</v>
      </c>
      <c r="H32" s="102">
        <f>+(Gender!CS28/'Total Bachelor''s'!AY28)*100</f>
        <v>54.775228502145126</v>
      </c>
      <c r="I32" s="109">
        <f>+('Hispanic &amp; Foreign'!AV28/'Total Bachelor''s'!AT28)*100</f>
        <v>2.0928084138715177</v>
      </c>
      <c r="J32" s="102">
        <f>+('Hispanic &amp; Foreign'!BA28/'Total Bachelor''s'!AY28)*100</f>
        <v>3.1555058135919918</v>
      </c>
      <c r="K32" s="109">
        <f>+(Black!AD28/'All Race'!AA28)*100</f>
        <v>3.2915609137055837</v>
      </c>
      <c r="L32" s="110" t="str">
        <f>IF(Black!BR28="NA","NA",(Black!BR28/Black!AD28)*100)</f>
        <v>NA</v>
      </c>
      <c r="M32" s="109">
        <f>+(Black!AI28/'All Race'!AF28)*100</f>
        <v>5.1158884783338934</v>
      </c>
      <c r="N32" s="110" t="str">
        <f>IF(Black!BW28="NA","NA",(Black!BW28/Black!AI28)*100)</f>
        <v>NA</v>
      </c>
      <c r="O32" s="109">
        <f>+('Hispanic &amp; Foreign'!V28/'All Race'!AA28)*100</f>
        <v>9.8905456852791875</v>
      </c>
      <c r="P32" s="109">
        <f>+('Hispanic &amp; Foreign'!AA28/'All Race'!AF28)*100</f>
        <v>13.66140409808532</v>
      </c>
      <c r="R32" s="43">
        <f t="shared" si="2"/>
        <v>13.18210659898477</v>
      </c>
      <c r="S32" s="43">
        <f t="shared" si="3"/>
        <v>18.777292576419214</v>
      </c>
    </row>
    <row r="33" spans="1:19">
      <c r="A33" s="72" t="s">
        <v>173</v>
      </c>
      <c r="B33" s="72"/>
      <c r="C33" s="72">
        <f>+'Total Bachelor''s'!AY29</f>
        <v>6812</v>
      </c>
      <c r="D33" s="101">
        <f>+(('Total Bachelor''s'!AY29-'Total Bachelor''s'!AT29)/'Total Bachelor''s'!AT29)*100</f>
        <v>13.231382978723405</v>
      </c>
      <c r="E33" s="98">
        <f>+(Public!V29/'Total Bachelor''s'!AT29)*100</f>
        <v>67.403590425531917</v>
      </c>
      <c r="F33" s="101">
        <f>+(Public!AA29/'Total Bachelor''s'!AY29)*100</f>
        <v>69.509688784497953</v>
      </c>
      <c r="G33" s="98">
        <f>+(Gender!CN29/'Total Bachelor''s'!AT29)*100</f>
        <v>59.125664893617028</v>
      </c>
      <c r="H33" s="101">
        <f>+(Gender!CS29/'Total Bachelor''s'!AY29)*100</f>
        <v>58.323546682325315</v>
      </c>
      <c r="I33" s="98">
        <f>+('Hispanic &amp; Foreign'!AV29/'Total Bachelor''s'!AT29)*100</f>
        <v>7.7293882978723403</v>
      </c>
      <c r="J33" s="101">
        <f>+('Hispanic &amp; Foreign'!BA29/'Total Bachelor''s'!AY29)*100</f>
        <v>7.0170287727539638</v>
      </c>
      <c r="K33" s="98">
        <f>+(Black!AD29/'All Race'!AA29)*100</f>
        <v>2.1826118588577663</v>
      </c>
      <c r="L33" s="179" t="str">
        <f>IF(Black!BR29="NA","NA",(Black!BR29/Black!AD29)*100)</f>
        <v>NA</v>
      </c>
      <c r="M33" s="98">
        <f>+(Black!AI29/'All Race'!AF29)*100</f>
        <v>2.3538831064851879</v>
      </c>
      <c r="N33" s="179" t="str">
        <f>IF(Black!BW29="NA","NA",(Black!BW29/Black!AI29)*100)</f>
        <v>NA</v>
      </c>
      <c r="O33" s="98">
        <f>+('Hispanic &amp; Foreign'!V29/'All Race'!AA29)*100</f>
        <v>7.8755911240451075</v>
      </c>
      <c r="P33" s="98">
        <f>+('Hispanic &amp; Foreign'!AA29/'All Race'!AF29)*100</f>
        <v>11.016813450760608</v>
      </c>
      <c r="R33" s="43">
        <f t="shared" si="2"/>
        <v>10.058202982902873</v>
      </c>
      <c r="S33" s="43">
        <f t="shared" si="3"/>
        <v>13.370696557245797</v>
      </c>
    </row>
    <row r="34" spans="1:19">
      <c r="A34" s="72" t="s">
        <v>175</v>
      </c>
      <c r="B34" s="72"/>
      <c r="C34" s="72">
        <f>+'Total Bachelor''s'!AY30</f>
        <v>11759</v>
      </c>
      <c r="D34" s="101">
        <f>+(('Total Bachelor''s'!AY30-'Total Bachelor''s'!AT30)/'Total Bachelor''s'!AT30)*100</f>
        <v>20.222881096002453</v>
      </c>
      <c r="E34" s="98">
        <f>+(Public!V30/'Total Bachelor''s'!AT30)*100</f>
        <v>61.138942848379507</v>
      </c>
      <c r="F34" s="101">
        <f>+(Public!AA30/'Total Bachelor''s'!AY30)*100</f>
        <v>56.101709329024573</v>
      </c>
      <c r="G34" s="98">
        <f>+(Gender!CN30/'Total Bachelor''s'!AT30)*100</f>
        <v>55.403332992536548</v>
      </c>
      <c r="H34" s="101">
        <f>+(Gender!CS30/'Total Bachelor''s'!AY30)*100</f>
        <v>54.664512288459896</v>
      </c>
      <c r="I34" s="98">
        <f>+('Hispanic &amp; Foreign'!AV30/'Total Bachelor''s'!AT30)*100</f>
        <v>2.402617319292506</v>
      </c>
      <c r="J34" s="101">
        <f>+('Hispanic &amp; Foreign'!BA30/'Total Bachelor''s'!AY30)*100</f>
        <v>5.5446891742495108</v>
      </c>
      <c r="K34" s="98">
        <f>+(Black!AD30/'All Race'!AA30)*100</f>
        <v>1.0204081632653061</v>
      </c>
      <c r="L34" s="179" t="str">
        <f>IF(Black!BR30="NA","NA",(Black!BR30/Black!AD30)*100)</f>
        <v>NA</v>
      </c>
      <c r="M34" s="98">
        <f>+(Black!AI30/'All Race'!AF30)*100</f>
        <v>1.0630361805296531</v>
      </c>
      <c r="N34" s="179" t="str">
        <f>IF(Black!BW30="NA","NA",(Black!BW30/Black!AI30)*100)</f>
        <v>NA</v>
      </c>
      <c r="O34" s="98">
        <f>+('Hispanic &amp; Foreign'!V30/'All Race'!AA30)*100</f>
        <v>5.5254016500217107</v>
      </c>
      <c r="P34" s="98">
        <f>+('Hispanic &amp; Foreign'!AA30/'All Race'!AF30)*100</f>
        <v>7.4039537486012676</v>
      </c>
      <c r="R34" s="43">
        <f t="shared" si="2"/>
        <v>6.5458098132870166</v>
      </c>
      <c r="S34" s="43">
        <f t="shared" si="3"/>
        <v>8.4669899291309214</v>
      </c>
    </row>
    <row r="35" spans="1:19">
      <c r="A35" s="72" t="s">
        <v>184</v>
      </c>
      <c r="B35" s="72"/>
      <c r="C35" s="72">
        <f>+'Total Bachelor''s'!AY31</f>
        <v>5994</v>
      </c>
      <c r="D35" s="101">
        <f>+(('Total Bachelor''s'!AY31-'Total Bachelor''s'!AT31)/'Total Bachelor''s'!AT31)*100</f>
        <v>11.329866270430907</v>
      </c>
      <c r="E35" s="98">
        <f>+(Public!V31/'Total Bachelor''s'!AT31)*100</f>
        <v>86.924219910846958</v>
      </c>
      <c r="F35" s="101">
        <f>+(Public!AA31/'Total Bachelor''s'!AY31)*100</f>
        <v>88.355021688355023</v>
      </c>
      <c r="G35" s="98">
        <f>+(Gender!CN31/'Total Bachelor''s'!AT31)*100</f>
        <v>54.123328380386326</v>
      </c>
      <c r="H35" s="101">
        <f>+(Gender!CS31/'Total Bachelor''s'!AY31)*100</f>
        <v>53.26993660326994</v>
      </c>
      <c r="I35" s="98">
        <f>+('Hispanic &amp; Foreign'!AV31/'Total Bachelor''s'!AT31)*100</f>
        <v>2.5445765230312034</v>
      </c>
      <c r="J35" s="101">
        <f>+('Hispanic &amp; Foreign'!BA31/'Total Bachelor''s'!AY31)*100</f>
        <v>3.7871204537871206</v>
      </c>
      <c r="K35" s="98">
        <f>+(Black!AD31/'All Race'!AA31)*100</f>
        <v>0.66302652106084248</v>
      </c>
      <c r="L35" s="179" t="str">
        <f>IF(Black!BR31="NA","NA",(Black!BR31/Black!AD31)*100)</f>
        <v>NA</v>
      </c>
      <c r="M35" s="98">
        <f>+(Black!AI31/'All Race'!AF31)*100</f>
        <v>0.77213144191057637</v>
      </c>
      <c r="N35" s="179" t="str">
        <f>IF(Black!BW31="NA","NA",(Black!BW31/Black!AI31)*100)</f>
        <v>NA</v>
      </c>
      <c r="O35" s="98">
        <f>+('Hispanic &amp; Foreign'!V31/'All Race'!AA31)*100</f>
        <v>3.0811232449297972</v>
      </c>
      <c r="P35" s="98">
        <f>+('Hispanic &amp; Foreign'!AA31/'All Race'!AF31)*100</f>
        <v>3.6810917579457709</v>
      </c>
      <c r="R35" s="43">
        <f t="shared" si="2"/>
        <v>3.7441497659906395</v>
      </c>
      <c r="S35" s="43">
        <f t="shared" si="3"/>
        <v>4.453223199856347</v>
      </c>
    </row>
    <row r="36" spans="1:19">
      <c r="A36" s="72" t="s">
        <v>190</v>
      </c>
      <c r="B36" s="72"/>
      <c r="C36" s="72">
        <f>+'Total Bachelor''s'!AY32</f>
        <v>8944</v>
      </c>
      <c r="D36" s="101">
        <f>+(('Total Bachelor''s'!AY32-'Total Bachelor''s'!AT32)/'Total Bachelor''s'!AT32)*100</f>
        <v>17.0833878779945</v>
      </c>
      <c r="E36" s="98">
        <f>+(Public!V32/'Total Bachelor''s'!AT32)*100</f>
        <v>86.726011258018062</v>
      </c>
      <c r="F36" s="101">
        <f>+(Public!AA32/'Total Bachelor''s'!AY32)*100</f>
        <v>91.133720930232556</v>
      </c>
      <c r="G36" s="98">
        <f>+(Gender!CN32/'Total Bachelor''s'!AT32)*100</f>
        <v>57.350438539075796</v>
      </c>
      <c r="H36" s="101">
        <f>+(Gender!CS32/'Total Bachelor''s'!AY32)*100</f>
        <v>58.832737030411451</v>
      </c>
      <c r="I36" s="98">
        <f>+('Hispanic &amp; Foreign'!AV32/'Total Bachelor''s'!AT32)*100</f>
        <v>4.2937557271894224</v>
      </c>
      <c r="J36" s="101">
        <f>+('Hispanic &amp; Foreign'!BA32/'Total Bachelor''s'!AY32)*100</f>
        <v>3.2423971377459746</v>
      </c>
      <c r="K36" s="98">
        <f>+(Black!AD32/'All Race'!AA32)*100</f>
        <v>6.0688276452948733</v>
      </c>
      <c r="L36" s="179" t="str">
        <f>IF(Black!BR32="NA","NA",(Black!BR32/Black!AD32)*100)</f>
        <v>NA</v>
      </c>
      <c r="M36" s="98">
        <f>+(Black!AI32/'All Race'!AF32)*100</f>
        <v>5.4823529411764707</v>
      </c>
      <c r="N36" s="179" t="str">
        <f>IF(Black!BW32="NA","NA",(Black!BW32/Black!AI32)*100)</f>
        <v>NA</v>
      </c>
      <c r="O36" s="98">
        <f>+('Hispanic &amp; Foreign'!V32/'All Race'!AA32)*100</f>
        <v>14.065400542624589</v>
      </c>
      <c r="P36" s="98">
        <f>+('Hispanic &amp; Foreign'!AA32/'All Race'!AF32)*100</f>
        <v>21.305882352941179</v>
      </c>
      <c r="R36" s="43">
        <f t="shared" si="2"/>
        <v>20.134228187919462</v>
      </c>
      <c r="S36" s="43">
        <f t="shared" si="3"/>
        <v>26.788235294117648</v>
      </c>
    </row>
    <row r="37" spans="1:19">
      <c r="A37" s="93" t="s">
        <v>189</v>
      </c>
      <c r="B37" s="93"/>
      <c r="C37" s="93">
        <f>+'Total Bachelor''s'!AY33</f>
        <v>9207</v>
      </c>
      <c r="D37" s="102">
        <f>+(('Total Bachelor''s'!AY33-'Total Bachelor''s'!AT33)/'Total Bachelor''s'!AT33)*100</f>
        <v>11.47838721394842</v>
      </c>
      <c r="E37" s="109">
        <f>+(Public!V33/'Total Bachelor''s'!AT33)*100</f>
        <v>88.158372684344357</v>
      </c>
      <c r="F37" s="102">
        <f>+(Public!AA33/'Total Bachelor''s'!AY33)*100</f>
        <v>93.43977408493538</v>
      </c>
      <c r="G37" s="109">
        <f>+(Gender!CN33/'Total Bachelor''s'!AT33)*100</f>
        <v>58.832788473180777</v>
      </c>
      <c r="H37" s="102">
        <f>+(Gender!CS33/'Total Bachelor''s'!AY33)*100</f>
        <v>56.837189095253613</v>
      </c>
      <c r="I37" s="109">
        <f>+('Hispanic &amp; Foreign'!AV33/'Total Bachelor''s'!AT33)*100</f>
        <v>2.8453807967066229</v>
      </c>
      <c r="J37" s="102">
        <f>+('Hispanic &amp; Foreign'!BA33/'Total Bachelor''s'!AY33)*100</f>
        <v>3.4104485717388942</v>
      </c>
      <c r="K37" s="109">
        <f>+(Black!AD33/'All Race'!AA33)*100</f>
        <v>2.9211684673869547</v>
      </c>
      <c r="L37" s="110" t="str">
        <f>IF(Black!BR33="NA","NA",(Black!BR33/Black!AD33)*100)</f>
        <v>NA</v>
      </c>
      <c r="M37" s="109">
        <f>+(Black!AI33/'All Race'!AF33)*100</f>
        <v>3.2784999424824575</v>
      </c>
      <c r="N37" s="110" t="str">
        <f>IF(Black!BW33="NA","NA",(Black!BW33/Black!AI33)*100)</f>
        <v>NA</v>
      </c>
      <c r="O37" s="109">
        <f>+('Hispanic &amp; Foreign'!V33/'All Race'!AA33)*100</f>
        <v>44.204348406029077</v>
      </c>
      <c r="P37" s="109">
        <f>+('Hispanic &amp; Foreign'!AA33/'All Race'!AF33)*100</f>
        <v>47.785574600253078</v>
      </c>
      <c r="R37" s="43">
        <f t="shared" si="2"/>
        <v>47.125516873416032</v>
      </c>
      <c r="S37" s="43">
        <f t="shared" si="3"/>
        <v>51.064074542735533</v>
      </c>
    </row>
    <row r="38" spans="1:19">
      <c r="A38" s="93" t="s">
        <v>193</v>
      </c>
      <c r="B38" s="93"/>
      <c r="C38" s="93">
        <f>+'Total Bachelor''s'!AY34</f>
        <v>23400</v>
      </c>
      <c r="D38" s="102">
        <f>+(('Total Bachelor''s'!AY34-'Total Bachelor''s'!AT34)/'Total Bachelor''s'!AT34)*100</f>
        <v>10.826939471440749</v>
      </c>
      <c r="E38" s="109">
        <f>+(Public!V34/'Total Bachelor''s'!AT34)*100</f>
        <v>74.831865113195036</v>
      </c>
      <c r="F38" s="102">
        <f>+(Public!AA34/'Total Bachelor''s'!AY34)*100</f>
        <v>77.508547008547012</v>
      </c>
      <c r="G38" s="109">
        <f>+(Gender!CN34/'Total Bachelor''s'!AT34)*100</f>
        <v>55.617126077484137</v>
      </c>
      <c r="H38" s="102">
        <f>+(Gender!CS34/'Total Bachelor''s'!AY34)*100</f>
        <v>56.23504273504274</v>
      </c>
      <c r="I38" s="109">
        <f>+('Hispanic &amp; Foreign'!AV34/'Total Bachelor''s'!AT34)*100</f>
        <v>3.8410533295443785</v>
      </c>
      <c r="J38" s="102">
        <f>+('Hispanic &amp; Foreign'!BA34/'Total Bachelor''s'!AY34)*100</f>
        <v>6.3931623931623935</v>
      </c>
      <c r="K38" s="109">
        <f>+(Black!AD34/'All Race'!AA34)*100</f>
        <v>2.2699353736046572</v>
      </c>
      <c r="L38" s="110" t="str">
        <f>IF(Black!BR34="NA","NA",(Black!BR34/Black!AD34)*100)</f>
        <v>NA</v>
      </c>
      <c r="M38" s="109">
        <f>+(Black!AI34/'All Race'!AF34)*100</f>
        <v>2.0855106888361048</v>
      </c>
      <c r="N38" s="110">
        <f>IF(Black!BW34="NA","NA",(Black!BW34/Black!AI34)*100)</f>
        <v>2.2779043280182232</v>
      </c>
      <c r="O38" s="109">
        <f>+('Hispanic &amp; Foreign'!V34/'All Race'!AA34)*100</f>
        <v>6.3130908508251888</v>
      </c>
      <c r="P38" s="109">
        <f>+('Hispanic &amp; Foreign'!AA34/'All Race'!AF34)*100</f>
        <v>10.318289786223279</v>
      </c>
      <c r="R38" s="43">
        <f t="shared" si="2"/>
        <v>8.5830262244298456</v>
      </c>
      <c r="S38" s="43">
        <f t="shared" si="3"/>
        <v>12.403800475059384</v>
      </c>
    </row>
    <row r="39" spans="1:19">
      <c r="A39" s="93" t="s">
        <v>197</v>
      </c>
      <c r="B39" s="93"/>
      <c r="C39" s="93">
        <f>+'Total Bachelor''s'!AY35</f>
        <v>23769</v>
      </c>
      <c r="D39" s="102">
        <f>+(('Total Bachelor''s'!AY35-'Total Bachelor''s'!AT35)/'Total Bachelor''s'!AT35)*100</f>
        <v>3.5866817746012378</v>
      </c>
      <c r="E39" s="109">
        <f>+(Public!V35/'Total Bachelor''s'!AT35)*100</f>
        <v>62.86934541968099</v>
      </c>
      <c r="F39" s="102">
        <f>+(Public!AA35/'Total Bachelor''s'!AY35)*100</f>
        <v>68.332702259245238</v>
      </c>
      <c r="G39" s="109">
        <f>+(Gender!CN35/'Total Bachelor''s'!AT35)*100</f>
        <v>49.424736337488021</v>
      </c>
      <c r="H39" s="102">
        <f>+(Gender!CS35/'Total Bachelor''s'!AY35)*100</f>
        <v>49.543523076275818</v>
      </c>
      <c r="I39" s="109">
        <f>+('Hispanic &amp; Foreign'!AV35/'Total Bachelor''s'!AT35)*100</f>
        <v>2.87196025451059</v>
      </c>
      <c r="J39" s="102">
        <f>+('Hispanic &amp; Foreign'!BA35/'Total Bachelor''s'!AY35)*100</f>
        <v>3.6644368715553868</v>
      </c>
      <c r="K39" s="109">
        <f>+(Black!AD35/'All Race'!AA35)*100</f>
        <v>0.97461253209090037</v>
      </c>
      <c r="L39" s="110" t="str">
        <f>IF(Black!BR35="NA","NA",(Black!BR35/Black!AD35)*100)</f>
        <v>NA</v>
      </c>
      <c r="M39" s="109">
        <f>+(Black!AI35/'All Race'!AF35)*100</f>
        <v>1.2825177369474259</v>
      </c>
      <c r="N39" s="110" t="str">
        <f>IF(Black!BW35="NA","NA",(Black!BW35/Black!AI35)*100)</f>
        <v>NA</v>
      </c>
      <c r="O39" s="109">
        <f>+('Hispanic &amp; Foreign'!V35/'All Race'!AA35)*100</f>
        <v>5.2011029761338783</v>
      </c>
      <c r="P39" s="109">
        <f>+('Hispanic &amp; Foreign'!AA35/'All Race'!AF35)*100</f>
        <v>6.9856285246498091</v>
      </c>
      <c r="R39" s="43">
        <f t="shared" si="2"/>
        <v>6.175715508224779</v>
      </c>
      <c r="S39" s="43">
        <f t="shared" si="3"/>
        <v>8.2681462615972343</v>
      </c>
    </row>
    <row r="40" spans="1:19">
      <c r="A40" s="93" t="s">
        <v>76</v>
      </c>
      <c r="B40" s="93"/>
      <c r="C40" s="93">
        <f>+'Total Bachelor''s'!AY36</f>
        <v>34218</v>
      </c>
      <c r="D40" s="102">
        <f>+(('Total Bachelor''s'!AY36-'Total Bachelor''s'!AT36)/'Total Bachelor''s'!AT36)*100</f>
        <v>5.6893995552260934</v>
      </c>
      <c r="E40" s="109">
        <f>+(Public!V36/'Total Bachelor''s'!AT36)*100</f>
        <v>75.315048183839878</v>
      </c>
      <c r="F40" s="102">
        <f>+(Public!AA36/'Total Bachelor''s'!AY36)*100</f>
        <v>76.979952072008885</v>
      </c>
      <c r="G40" s="109">
        <f>+(Gender!CN36/'Total Bachelor''s'!AT36)*100</f>
        <v>56.464665184086982</v>
      </c>
      <c r="H40" s="102">
        <f>+(Gender!CS36/'Total Bachelor''s'!AY36)*100</f>
        <v>56.011455958852061</v>
      </c>
      <c r="I40" s="109">
        <f>+('Hispanic &amp; Foreign'!AV36/'Total Bachelor''s'!AT36)*100</f>
        <v>3.8052878675562147</v>
      </c>
      <c r="J40" s="102">
        <f>+('Hispanic &amp; Foreign'!BA36/'Total Bachelor''s'!AY36)*100</f>
        <v>6.8414284879303287</v>
      </c>
      <c r="K40" s="109">
        <f>+(Black!AD36/'All Race'!AA36)*100</f>
        <v>3.5285570968969457</v>
      </c>
      <c r="L40" s="110">
        <f>IF(Black!BR36="NA","NA",(Black!BR36/Black!AD36)*100)</f>
        <v>1.4705882352941175</v>
      </c>
      <c r="M40" s="109">
        <f>+(Black!AI36/'All Race'!AF36)*100</f>
        <v>3.2368472521024838</v>
      </c>
      <c r="N40" s="110">
        <f>IF(Black!BW36="NA","NA",(Black!BW36/Black!AI36)*100)</f>
        <v>0.30211480362537763</v>
      </c>
      <c r="O40" s="109">
        <f>+('Hispanic &amp; Foreign'!V36/'All Race'!AA36)*100</f>
        <v>6.8218770540007609</v>
      </c>
      <c r="P40" s="109">
        <f>+('Hispanic &amp; Foreign'!AA36/'All Race'!AF36)*100</f>
        <v>10.639546254645023</v>
      </c>
      <c r="R40" s="43">
        <f t="shared" si="2"/>
        <v>10.350434150897707</v>
      </c>
      <c r="S40" s="43">
        <f t="shared" si="3"/>
        <v>13.876393506747506</v>
      </c>
    </row>
    <row r="41" spans="1:19">
      <c r="A41" s="94" t="s">
        <v>200</v>
      </c>
      <c r="B41" s="94"/>
      <c r="C41" s="94">
        <f>+'Total Bachelor''s'!AY37</f>
        <v>2207</v>
      </c>
      <c r="D41" s="103">
        <f>+(('Total Bachelor''s'!AY37-'Total Bachelor''s'!AT37)/'Total Bachelor''s'!AT37)*100</f>
        <v>6.9282945736434103</v>
      </c>
      <c r="E41" s="182">
        <f>+(Public!V37/'Total Bachelor''s'!AT37)*100</f>
        <v>99.903100775193792</v>
      </c>
      <c r="F41" s="103">
        <f>+(Public!AA37/'Total Bachelor''s'!AY37)*100</f>
        <v>99.864068871771636</v>
      </c>
      <c r="G41" s="182">
        <f>+(Gender!CN37/'Total Bachelor''s'!AT37)*100</f>
        <v>56.782945736434108</v>
      </c>
      <c r="H41" s="103">
        <f>+(Gender!CS37/'Total Bachelor''s'!AY37)*100</f>
        <v>54.780244676030811</v>
      </c>
      <c r="I41" s="182">
        <f>+('Hispanic &amp; Foreign'!AV37/'Total Bachelor''s'!AT37)*100</f>
        <v>3.6337209302325584</v>
      </c>
      <c r="J41" s="103">
        <f>+('Hispanic &amp; Foreign'!BA37/'Total Bachelor''s'!AY37)*100</f>
        <v>3.8966923425464426</v>
      </c>
      <c r="K41" s="182">
        <f>+(Black!AD37/'All Race'!AA37)*100</f>
        <v>0.9164420485175202</v>
      </c>
      <c r="L41" s="111" t="str">
        <f>IF(Black!BR37="NA","NA",(Black!BR37/Black!AD37)*100)</f>
        <v>NA</v>
      </c>
      <c r="M41" s="182">
        <f>+(Black!AI37/'All Race'!AF37)*100</f>
        <v>0.74113287453679189</v>
      </c>
      <c r="N41" s="111" t="str">
        <f>IF(Black!BW37="NA","NA",(Black!BW37/Black!AI37)*100)</f>
        <v>NA</v>
      </c>
      <c r="O41" s="182">
        <f>+('Hispanic &amp; Foreign'!V37/'All Race'!AA37)*100</f>
        <v>4.3126684636118604</v>
      </c>
      <c r="P41" s="99">
        <f>+('Hispanic &amp; Foreign'!AA37/'All Race'!AF37)*100</f>
        <v>6.9348861831656965</v>
      </c>
      <c r="R41" s="43">
        <f t="shared" si="2"/>
        <v>5.229110512129381</v>
      </c>
      <c r="S41" s="43">
        <f t="shared" si="3"/>
        <v>7.6760190577024883</v>
      </c>
    </row>
    <row r="42" spans="1:19">
      <c r="A42" s="72" t="s">
        <v>246</v>
      </c>
      <c r="B42" s="72"/>
      <c r="C42" s="72">
        <f>+'Total Bachelor''s'!AY38</f>
        <v>440559</v>
      </c>
      <c r="D42" s="101">
        <f>+(('Total Bachelor''s'!AY38-'Total Bachelor''s'!AT38)/'Total Bachelor''s'!AT38)*100</f>
        <v>0.70173192925993566</v>
      </c>
      <c r="E42" s="98">
        <f>+(Public!V38/'Total Bachelor''s'!AT38)*100</f>
        <v>60.673525505784141</v>
      </c>
      <c r="F42" s="101">
        <f>+(Public!AA38/'Total Bachelor''s'!AY38)*100</f>
        <v>64.235891220018203</v>
      </c>
      <c r="G42" s="98">
        <f>+(Gender!CN38/'Total Bachelor''s'!AT38)*100</f>
        <v>56.78702778812724</v>
      </c>
      <c r="H42" s="101">
        <f>+(Gender!CS38/'Total Bachelor''s'!AY38)*100</f>
        <v>56.682986841716996</v>
      </c>
      <c r="I42" s="98">
        <f>+('Hispanic &amp; Foreign'!AV38/'Total Bachelor''s'!AT38)*100</f>
        <v>3.4810018080454594</v>
      </c>
      <c r="J42" s="101">
        <f>+('Hispanic &amp; Foreign'!BA38/'Total Bachelor''s'!AY38)*100</f>
        <v>5.1166813071574975</v>
      </c>
      <c r="K42" s="98">
        <f>+(Black!AD38/'All Race'!AA38)*100</f>
        <v>7.698075106341502</v>
      </c>
      <c r="L42" s="179">
        <f>IF(Black!BR38="NA","NA",(Black!BR38/Black!AD38)*100)</f>
        <v>5.62625803519252</v>
      </c>
      <c r="M42" s="98">
        <f>+(Black!AI38/'All Race'!AF38)*100</f>
        <v>7.1890322979065031</v>
      </c>
      <c r="N42" s="101">
        <f>IF(Black!BW38="NA","NA",(Black!BW38/Black!AI38)*100)</f>
        <v>3.765934783355668</v>
      </c>
      <c r="O42" s="98">
        <f>+('Hispanic &amp; Foreign'!V38/'All Race'!AA38)*100</f>
        <v>4.4710916061440651</v>
      </c>
      <c r="P42" s="98">
        <f>+('Hispanic &amp; Foreign'!AA38/'All Race'!AF38)*100</f>
        <v>6.2698696967825613</v>
      </c>
      <c r="R42" s="43">
        <f t="shared" si="2"/>
        <v>12.169166712485566</v>
      </c>
      <c r="S42" s="43">
        <f t="shared" si="3"/>
        <v>13.458901994689064</v>
      </c>
    </row>
    <row r="43" spans="1:19">
      <c r="A43" s="72" t="s">
        <v>249</v>
      </c>
      <c r="B43" s="72"/>
      <c r="C43" s="56">
        <f>+'Total Bachelor''s'!AY39</f>
        <v>23.030405997035981</v>
      </c>
      <c r="D43" s="101"/>
      <c r="E43" s="98"/>
      <c r="F43" s="101"/>
      <c r="G43" s="98"/>
      <c r="H43" s="101"/>
      <c r="I43" s="72"/>
      <c r="J43" s="105"/>
      <c r="K43" s="72"/>
      <c r="L43" s="180"/>
      <c r="M43" s="72"/>
      <c r="N43" s="105"/>
      <c r="O43" s="72"/>
      <c r="P43" s="72"/>
      <c r="R43" s="43"/>
      <c r="S43" s="43"/>
    </row>
    <row r="44" spans="1:19">
      <c r="A44" s="93" t="s">
        <v>176</v>
      </c>
      <c r="B44" s="93"/>
      <c r="C44" s="93">
        <f>+'Total Bachelor''s'!AY40</f>
        <v>74764</v>
      </c>
      <c r="D44" s="102">
        <f>+(('Total Bachelor''s'!AY40-'Total Bachelor''s'!AT40)/'Total Bachelor''s'!AT40)*100</f>
        <v>6.8438728117184713</v>
      </c>
      <c r="E44" s="109">
        <f>+(Public!V40/'Total Bachelor''s'!AT40)*100</f>
        <v>49.529117541979275</v>
      </c>
      <c r="F44" s="102">
        <f>+(Public!AA40/'Total Bachelor''s'!AY40)*100</f>
        <v>44.203092397410522</v>
      </c>
      <c r="G44" s="109">
        <f>+(Gender!CN40/'Total Bachelor''s'!AT40)*100</f>
        <v>55.5069667738478</v>
      </c>
      <c r="H44" s="102">
        <f>+(Gender!CS40/'Total Bachelor''s'!AY40)*100</f>
        <v>58.502755336793108</v>
      </c>
      <c r="I44" s="109">
        <f>+('Hispanic &amp; Foreign'!AV40/'Total Bachelor''s'!AT40)*100</f>
        <v>2.9453376205787785</v>
      </c>
      <c r="J44" s="102">
        <f>+('Hispanic &amp; Foreign'!BA40/'Total Bachelor''s'!AY40)*100</f>
        <v>4.4393023380236478</v>
      </c>
      <c r="K44" s="109">
        <f>+(Black!AD40/'All Race'!AA40)*100</f>
        <v>10.497579385334014</v>
      </c>
      <c r="L44" s="110">
        <f>IF(Black!BR40="NA","NA",(Black!BR40/Black!AD40)*100)</f>
        <v>12.479740680713128</v>
      </c>
      <c r="M44" s="109">
        <f>+(Black!AI40/'All Race'!AF40)*100</f>
        <v>10.111617946875137</v>
      </c>
      <c r="N44" s="102">
        <f>IF(Black!BW40="NA","NA",(Black!BW40/Black!AI40)*100)</f>
        <v>5.7876414273281114</v>
      </c>
      <c r="O44" s="109">
        <f>+('Hispanic &amp; Foreign'!V40/'All Race'!AA40)*100</f>
        <v>9.5741883593955421</v>
      </c>
      <c r="P44" s="109">
        <f>+('Hispanic &amp; Foreign'!AA40/'All Race'!AF40)*100</f>
        <v>13.470423444169025</v>
      </c>
      <c r="R44" s="43">
        <f t="shared" si="2"/>
        <v>20.071767744729556</v>
      </c>
      <c r="S44" s="43">
        <f t="shared" si="3"/>
        <v>23.582041391044164</v>
      </c>
    </row>
    <row r="45" spans="1:19">
      <c r="A45" s="93" t="s">
        <v>177</v>
      </c>
      <c r="B45" s="93"/>
      <c r="C45" s="93">
        <f>+'Total Bachelor''s'!AY41</f>
        <v>47964</v>
      </c>
      <c r="D45" s="102">
        <f>+(('Total Bachelor''s'!AY41-'Total Bachelor''s'!AT41)/'Total Bachelor''s'!AT41)*100</f>
        <v>5.3412984274795745</v>
      </c>
      <c r="E45" s="109">
        <f>+(Public!V41/'Total Bachelor''s'!AT41)*100</f>
        <v>65.56487744882719</v>
      </c>
      <c r="F45" s="102">
        <f>+(Public!AA41/'Total Bachelor''s'!AY41)*100</f>
        <v>68.591026603285798</v>
      </c>
      <c r="G45" s="109">
        <f>+(Gender!CN41/'Total Bachelor''s'!AT41)*100</f>
        <v>55.044803654572604</v>
      </c>
      <c r="H45" s="102">
        <f>+(Gender!CS41/'Total Bachelor''s'!AY41)*100</f>
        <v>55.873154866149612</v>
      </c>
      <c r="I45" s="109">
        <f>+('Hispanic &amp; Foreign'!AV41/'Total Bachelor''s'!AT41)*100</f>
        <v>4.3244311692875339</v>
      </c>
      <c r="J45" s="102">
        <f>+('Hispanic &amp; Foreign'!BA41/'Total Bachelor''s'!AY41)*100</f>
        <v>7.1157534817780004</v>
      </c>
      <c r="K45" s="109">
        <f>+(Black!AD41/'All Race'!AA41)*100</f>
        <v>6.474752241623408</v>
      </c>
      <c r="L45" s="110">
        <f>IF(Black!BR41="NA","NA",(Black!BR41/Black!AD41)*100)</f>
        <v>4.0816326530612246</v>
      </c>
      <c r="M45" s="109">
        <f>+(Black!AI41/'All Race'!AF41)*100</f>
        <v>6.8620068003925061</v>
      </c>
      <c r="N45" s="102">
        <f>IF(Black!BW41="NA","NA",(Black!BW41/Black!AI41)*100)</f>
        <v>1.2304622547389426</v>
      </c>
      <c r="O45" s="109">
        <f>+('Hispanic &amp; Foreign'!V41/'All Race'!AA41)*100</f>
        <v>3.7517697026899479</v>
      </c>
      <c r="P45" s="109">
        <f>+('Hispanic &amp; Foreign'!AA41/'All Race'!AF41)*100</f>
        <v>5.7712055863627025</v>
      </c>
      <c r="R45" s="43">
        <f t="shared" si="2"/>
        <v>10.226521944313356</v>
      </c>
      <c r="S45" s="43">
        <f t="shared" si="3"/>
        <v>12.633212386755208</v>
      </c>
    </row>
    <row r="46" spans="1:19">
      <c r="A46" s="93" t="s">
        <v>174</v>
      </c>
      <c r="B46" s="93"/>
      <c r="C46" s="93">
        <f>+'Total Bachelor''s'!AY42</f>
        <v>27702</v>
      </c>
      <c r="D46" s="102">
        <f>+(('Total Bachelor''s'!AY42-'Total Bachelor''s'!AT42)/'Total Bachelor''s'!AT42)*100</f>
        <v>-31.895958304651391</v>
      </c>
      <c r="E46" s="109">
        <f>+(Public!V42/'Total Bachelor''s'!AT42)*100</f>
        <v>28.695053594257057</v>
      </c>
      <c r="F46" s="102">
        <f>+(Public!AA42/'Total Bachelor''s'!AY42)*100</f>
        <v>48.696844993141291</v>
      </c>
      <c r="G46" s="109">
        <f>+(Gender!CN42/'Total Bachelor''s'!AT42)*100</f>
        <v>62.341429835775401</v>
      </c>
      <c r="H46" s="102">
        <f>+(Gender!CS42/'Total Bachelor''s'!AY42)*100</f>
        <v>56.855100714749838</v>
      </c>
      <c r="I46" s="109">
        <f>+('Hispanic &amp; Foreign'!AV42/'Total Bachelor''s'!AT42)*100</f>
        <v>2.2568590815222738</v>
      </c>
      <c r="J46" s="102">
        <f>+('Hispanic &amp; Foreign'!BA42/'Total Bachelor''s'!AY42)*100</f>
        <v>5.4003321059851279</v>
      </c>
      <c r="K46" s="109">
        <f>+(Black!AD42/'All Race'!AA42)*100</f>
        <v>12.016109641740803</v>
      </c>
      <c r="L46" s="110" t="str">
        <f>IF(Black!BR42="NA","NA",(Black!BR42/Black!AD42)*100)</f>
        <v>NA</v>
      </c>
      <c r="M46" s="109">
        <f>+(Black!AI42/'All Race'!AF42)*100</f>
        <v>6.3238110437280559</v>
      </c>
      <c r="N46" s="110" t="str">
        <f>IF(Black!BW42="NA","NA",(Black!BW42/Black!AI42)*100)</f>
        <v>NA</v>
      </c>
      <c r="O46" s="109">
        <f>+('Hispanic &amp; Foreign'!V42/'All Race'!AA42)*100</f>
        <v>5.4279874969944704</v>
      </c>
      <c r="P46" s="109">
        <f>+('Hispanic &amp; Foreign'!AA42/'All Race'!AF42)*100</f>
        <v>6.4195659112671555</v>
      </c>
      <c r="R46" s="43">
        <f t="shared" si="2"/>
        <v>17.444097138735273</v>
      </c>
      <c r="S46" s="43">
        <f t="shared" si="3"/>
        <v>12.743376954995211</v>
      </c>
    </row>
    <row r="47" spans="1:19">
      <c r="A47" s="93" t="s">
        <v>178</v>
      </c>
      <c r="B47" s="93"/>
      <c r="C47" s="93">
        <f>+'Total Bachelor''s'!AY43</f>
        <v>19257</v>
      </c>
      <c r="D47" s="102">
        <f>+(('Total Bachelor''s'!AY43-'Total Bachelor''s'!AT43)/'Total Bachelor''s'!AT43)*100</f>
        <v>1.3579662087478288</v>
      </c>
      <c r="E47" s="109">
        <f>+(Public!V43/'Total Bachelor''s'!AT43)*100</f>
        <v>78.972577504079169</v>
      </c>
      <c r="F47" s="102">
        <f>+(Public!AA43/'Total Bachelor''s'!AY43)*100</f>
        <v>80.334423845874227</v>
      </c>
      <c r="G47" s="109">
        <f>+(Gender!CN43/'Total Bachelor''s'!AT43)*100</f>
        <v>55.739775777672506</v>
      </c>
      <c r="H47" s="102">
        <f>+(Gender!CS43/'Total Bachelor''s'!AY43)*100</f>
        <v>55.51747416523861</v>
      </c>
      <c r="I47" s="109">
        <f>+('Hispanic &amp; Foreign'!AV43/'Total Bachelor''s'!AT43)*100</f>
        <v>9.7899889467866732</v>
      </c>
      <c r="J47" s="102">
        <f>+('Hispanic &amp; Foreign'!BA43/'Total Bachelor''s'!AY43)*100</f>
        <v>8.7137144934309596</v>
      </c>
      <c r="K47" s="109">
        <f>+(Black!AD43/'All Race'!AA43)*100</f>
        <v>4.7236914098121465</v>
      </c>
      <c r="L47" s="110" t="str">
        <f>IF(Black!BR43="NA","NA",(Black!BR43/Black!AD43)*100)</f>
        <v>NA</v>
      </c>
      <c r="M47" s="109">
        <f>+(Black!AI43/'All Race'!AF43)*100</f>
        <v>5.0032297844852902</v>
      </c>
      <c r="N47" s="110" t="str">
        <f>IF(Black!BW43="NA","NA",(Black!BW43/Black!AI43)*100)</f>
        <v>NA</v>
      </c>
      <c r="O47" s="109">
        <f>+('Hispanic &amp; Foreign'!V43/'All Race'!AA43)*100</f>
        <v>5.0884552252416562</v>
      </c>
      <c r="P47" s="109">
        <f>+('Hispanic &amp; Foreign'!AA43/'All Race'!AF43)*100</f>
        <v>7.4226319807387391</v>
      </c>
      <c r="R47" s="43">
        <f t="shared" si="2"/>
        <v>9.8121466350538036</v>
      </c>
      <c r="S47" s="43">
        <f t="shared" si="3"/>
        <v>12.425861765224029</v>
      </c>
    </row>
    <row r="48" spans="1:19">
      <c r="A48" s="72" t="s">
        <v>181</v>
      </c>
      <c r="B48" s="72"/>
      <c r="C48" s="72">
        <f>+'Total Bachelor''s'!AY44</f>
        <v>61341</v>
      </c>
      <c r="D48" s="101">
        <f>+(('Total Bachelor''s'!AY44-'Total Bachelor''s'!AT44)/'Total Bachelor''s'!AT44)*100</f>
        <v>6.0987632967223036</v>
      </c>
      <c r="E48" s="98">
        <f>+(Public!V44/'Total Bachelor''s'!AT44)*100</f>
        <v>75.490789587477309</v>
      </c>
      <c r="F48" s="101">
        <f>+(Public!AA44/'Total Bachelor''s'!AY44)*100</f>
        <v>78.273911413247248</v>
      </c>
      <c r="G48" s="98">
        <f>+(Gender!CN44/'Total Bachelor''s'!AT44)*100</f>
        <v>55.516734411484912</v>
      </c>
      <c r="H48" s="101">
        <f>+(Gender!CS44/'Total Bachelor''s'!AY44)*100</f>
        <v>55.545230759198581</v>
      </c>
      <c r="I48" s="98">
        <f>+('Hispanic &amp; Foreign'!AV44/'Total Bachelor''s'!AT44)*100</f>
        <v>3.6685981146761222</v>
      </c>
      <c r="J48" s="101">
        <f>+('Hispanic &amp; Foreign'!BA44/'Total Bachelor''s'!AY44)*100</f>
        <v>5.4482320144764511</v>
      </c>
      <c r="K48" s="98">
        <f>+(Black!AD44/'All Race'!AA44)*100</f>
        <v>7.9959972811721167</v>
      </c>
      <c r="L48" s="179">
        <f>IF(Black!BR44="NA","NA",(Black!BR44/Black!AD44)*100)</f>
        <v>1.7237308146399055</v>
      </c>
      <c r="M48" s="98">
        <f>+(Black!AI44/'All Race'!AF44)*100</f>
        <v>8.0060260411062103</v>
      </c>
      <c r="N48" s="101">
        <f>IF(Black!BW44="NA","NA",(Black!BW44/Black!AI44)*100)</f>
        <v>2.0161290322580645</v>
      </c>
      <c r="O48" s="98">
        <f>+('Hispanic &amp; Foreign'!V44/'All Race'!AA44)*100</f>
        <v>3.2172796616569741</v>
      </c>
      <c r="P48" s="98">
        <f>+('Hispanic &amp; Foreign'!AA44/'All Race'!AF44)*100</f>
        <v>4.1662183005129316</v>
      </c>
      <c r="R48" s="43">
        <f t="shared" si="2"/>
        <v>11.21327694282909</v>
      </c>
      <c r="S48" s="43">
        <f t="shared" si="3"/>
        <v>12.172244341619141</v>
      </c>
    </row>
    <row r="49" spans="1:19">
      <c r="A49" s="72" t="s">
        <v>182</v>
      </c>
      <c r="B49" s="72"/>
      <c r="C49" s="72">
        <f>+'Total Bachelor''s'!AY45</f>
        <v>32840</v>
      </c>
      <c r="D49" s="101">
        <f>+(('Total Bachelor''s'!AY45-'Total Bachelor''s'!AT45)/'Total Bachelor''s'!AT45)*100</f>
        <v>-2.0081759317279864</v>
      </c>
      <c r="E49" s="98">
        <f>+(Public!V45/'Total Bachelor''s'!AT45)*100</f>
        <v>63.614119893772568</v>
      </c>
      <c r="F49" s="101">
        <f>+(Public!AA45/'Total Bachelor''s'!AY45)*100</f>
        <v>65.325822168087697</v>
      </c>
      <c r="G49" s="98">
        <f>+(Gender!CN45/'Total Bachelor''s'!AT45)*100</f>
        <v>56.628770924715774</v>
      </c>
      <c r="H49" s="101">
        <f>+(Gender!CS45/'Total Bachelor''s'!AY45)*100</f>
        <v>56.85444579780755</v>
      </c>
      <c r="I49" s="98">
        <f>+('Hispanic &amp; Foreign'!AV45/'Total Bachelor''s'!AT45)*100</f>
        <v>4.2252260316891954</v>
      </c>
      <c r="J49" s="101">
        <f>+('Hispanic &amp; Foreign'!BA45/'Total Bachelor''s'!AY45)*100</f>
        <v>5.6699147381242394</v>
      </c>
      <c r="K49" s="98">
        <f>+(Black!AD45/'All Race'!AA45)*100</f>
        <v>3.9459617066770334</v>
      </c>
      <c r="L49" s="179" t="str">
        <f>IF(Black!BR45="NA","NA",(Black!BR45/Black!AD45)*100)</f>
        <v>NA</v>
      </c>
      <c r="M49" s="98">
        <f>+(Black!AI45/'All Race'!AF45)*100</f>
        <v>4.9879270995270071</v>
      </c>
      <c r="N49" s="179" t="str">
        <f>IF(Black!BW45="NA","NA",(Black!BW45/Black!AI45)*100)</f>
        <v>NA</v>
      </c>
      <c r="O49" s="98">
        <f>+('Hispanic &amp; Foreign'!V45/'All Race'!AA45)*100</f>
        <v>2.5496484919169342</v>
      </c>
      <c r="P49" s="98">
        <f>+('Hispanic &amp; Foreign'!AA45/'All Race'!AF45)*100</f>
        <v>3.7111765289584229</v>
      </c>
      <c r="R49" s="43">
        <f t="shared" si="2"/>
        <v>6.4956101985939672</v>
      </c>
      <c r="S49" s="43">
        <f t="shared" si="3"/>
        <v>8.69910362848543</v>
      </c>
    </row>
    <row r="50" spans="1:19">
      <c r="A50" s="72" t="s">
        <v>183</v>
      </c>
      <c r="B50" s="72"/>
      <c r="C50" s="72">
        <f>+'Total Bachelor''s'!AY46</f>
        <v>41172</v>
      </c>
      <c r="D50" s="101">
        <f>+(('Total Bachelor''s'!AY46-'Total Bachelor''s'!AT46)/'Total Bachelor''s'!AT46)*100</f>
        <v>-4.0771632263175057</v>
      </c>
      <c r="E50" s="98">
        <f>+(Public!V46/'Total Bachelor''s'!AT46)*100</f>
        <v>48.888681794883745</v>
      </c>
      <c r="F50" s="101">
        <f>+(Public!AA46/'Total Bachelor''s'!AY46)*100</f>
        <v>54.515204507918</v>
      </c>
      <c r="G50" s="98">
        <f>+(Gender!CN46/'Total Bachelor''s'!AT46)*100</f>
        <v>60.321047481478033</v>
      </c>
      <c r="H50" s="101">
        <f>+(Gender!CS46/'Total Bachelor''s'!AY46)*100</f>
        <v>57.823277955892351</v>
      </c>
      <c r="I50" s="98">
        <f>+('Hispanic &amp; Foreign'!AV46/'Total Bachelor''s'!AT46)*100</f>
        <v>3.2291132752434648</v>
      </c>
      <c r="J50" s="101">
        <f>+('Hispanic &amp; Foreign'!BA46/'Total Bachelor''s'!AY46)*100</f>
        <v>4.5297775187020308</v>
      </c>
      <c r="K50" s="98">
        <f>+(Black!AD46/'All Race'!AA46)*100</f>
        <v>10.293892545538037</v>
      </c>
      <c r="L50" s="179">
        <f>IF(Black!BR46="NA","NA",(Black!BR46/Black!AD46)*100)</f>
        <v>7.1127633209417587</v>
      </c>
      <c r="M50" s="98">
        <f>+(Black!AI46/'All Race'!AF46)*100</f>
        <v>9.8876227070558187</v>
      </c>
      <c r="N50" s="101">
        <f>IF(Black!BW46="NA","NA",(Black!BW46/Black!AI46)*100)</f>
        <v>5.7758850146393401</v>
      </c>
      <c r="O50" s="98">
        <f>+('Hispanic &amp; Foreign'!V46/'All Race'!AA46)*100</f>
        <v>4.0792897596816164</v>
      </c>
      <c r="P50" s="98">
        <f>+('Hispanic &amp; Foreign'!AA46/'All Race'!AF46)*100</f>
        <v>4.8661736452877857</v>
      </c>
      <c r="R50" s="43">
        <f t="shared" si="2"/>
        <v>14.373182305219654</v>
      </c>
      <c r="S50" s="43">
        <f t="shared" si="3"/>
        <v>14.753796352343604</v>
      </c>
    </row>
    <row r="51" spans="1:19">
      <c r="A51" s="72" t="s">
        <v>186</v>
      </c>
      <c r="B51" s="72"/>
      <c r="C51" s="72">
        <f>+'Total Bachelor''s'!AY47</f>
        <v>14370</v>
      </c>
      <c r="D51" s="101">
        <f>+(('Total Bachelor''s'!AY47-'Total Bachelor''s'!AT47)/'Total Bachelor''s'!AT47)*100</f>
        <v>0.85626052779337447</v>
      </c>
      <c r="E51" s="98">
        <f>+(Public!V47/'Total Bachelor''s'!AT47)*100</f>
        <v>58.962661426165077</v>
      </c>
      <c r="F51" s="101">
        <f>+(Public!AA47/'Total Bachelor''s'!AY47)*100</f>
        <v>62.616562282533053</v>
      </c>
      <c r="G51" s="98">
        <f>+(Gender!CN47/'Total Bachelor''s'!AT47)*100</f>
        <v>55.306007860752381</v>
      </c>
      <c r="H51" s="101">
        <f>+(Gender!CS47/'Total Bachelor''s'!AY47)*100</f>
        <v>56.583159359777312</v>
      </c>
      <c r="I51" s="98">
        <f>+('Hispanic &amp; Foreign'!AV47/'Total Bachelor''s'!AT47)*100</f>
        <v>2.6038742279618194</v>
      </c>
      <c r="J51" s="101">
        <f>+('Hispanic &amp; Foreign'!BA47/'Total Bachelor''s'!AY47)*100</f>
        <v>3.3890048712595684</v>
      </c>
      <c r="K51" s="98">
        <f>+(Black!AD47/'All Race'!AA47)*100</f>
        <v>4.5457994991272672</v>
      </c>
      <c r="L51" s="179" t="str">
        <f>IF(Black!BR47="NA","NA",(Black!BR47/Black!AD47)*100)</f>
        <v>NA</v>
      </c>
      <c r="M51" s="98">
        <f>+(Black!AI47/'All Race'!AF47)*100</f>
        <v>4.0434294271808318</v>
      </c>
      <c r="N51" s="179" t="str">
        <f>IF(Black!BW47="NA","NA",(Black!BW47/Black!AI47)*100)</f>
        <v>NA</v>
      </c>
      <c r="O51" s="98">
        <f>+('Hispanic &amp; Foreign'!V47/'All Race'!AA47)*100</f>
        <v>3.9083251119374669</v>
      </c>
      <c r="P51" s="98">
        <f>+('Hispanic &amp; Foreign'!AA47/'All Race'!AF47)*100</f>
        <v>7.8247847248221634</v>
      </c>
      <c r="R51" s="43">
        <f t="shared" si="2"/>
        <v>8.454124611064735</v>
      </c>
      <c r="S51" s="43">
        <f t="shared" si="3"/>
        <v>11.868214152002995</v>
      </c>
    </row>
    <row r="52" spans="1:19">
      <c r="A52" s="93" t="s">
        <v>185</v>
      </c>
      <c r="B52" s="93"/>
      <c r="C52" s="93">
        <f>+'Total Bachelor''s'!AY48</f>
        <v>6427</v>
      </c>
      <c r="D52" s="102">
        <f>+(('Total Bachelor''s'!AY48-'Total Bachelor''s'!AT48)/'Total Bachelor''s'!AT48)*100</f>
        <v>13.171332981158654</v>
      </c>
      <c r="E52" s="109">
        <f>+(Public!V48/'Total Bachelor''s'!AT48)*100</f>
        <v>89.100193696073248</v>
      </c>
      <c r="F52" s="102">
        <f>+(Public!AA48/'Total Bachelor''s'!AY48)*100</f>
        <v>89.264042321456358</v>
      </c>
      <c r="G52" s="109">
        <f>+(Gender!CN48/'Total Bachelor''s'!AT48)*100</f>
        <v>51.769677760169039</v>
      </c>
      <c r="H52" s="102">
        <f>+(Gender!CS48/'Total Bachelor''s'!AY48)*100</f>
        <v>51.003578652559511</v>
      </c>
      <c r="I52" s="109">
        <f>+('Hispanic &amp; Foreign'!AV48/'Total Bachelor''s'!AT48)*100</f>
        <v>5.5995773903856314</v>
      </c>
      <c r="J52" s="102">
        <f>+('Hispanic &amp; Foreign'!BA48/'Total Bachelor''s'!AY48)*100</f>
        <v>4.4344173020071569</v>
      </c>
      <c r="K52" s="109">
        <f>+(Black!AD48/'All Race'!AA48)*100</f>
        <v>2.0252197172334734</v>
      </c>
      <c r="L52" s="110" t="str">
        <f>IF(Black!BR48="NA","NA",(Black!BR48/Black!AD48)*100)</f>
        <v>NA</v>
      </c>
      <c r="M52" s="109">
        <f>+(Black!AI48/'All Race'!AF48)*100</f>
        <v>2.8704164592666332</v>
      </c>
      <c r="N52" s="110" t="str">
        <f>IF(Black!BW48="NA","NA",(Black!BW48/Black!AI48)*100)</f>
        <v>NA</v>
      </c>
      <c r="O52" s="109">
        <f>+('Hispanic &amp; Foreign'!V48/'All Race'!AA48)*100</f>
        <v>1.0890332441727169</v>
      </c>
      <c r="P52" s="109">
        <f>+('Hispanic &amp; Foreign'!AA48/'All Race'!AF48)*100</f>
        <v>2.7542724406835908</v>
      </c>
      <c r="R52" s="43">
        <f t="shared" si="2"/>
        <v>3.1142529614061902</v>
      </c>
      <c r="S52" s="43">
        <f t="shared" si="3"/>
        <v>5.6246888999502236</v>
      </c>
    </row>
    <row r="53" spans="1:19">
      <c r="A53" s="93" t="s">
        <v>192</v>
      </c>
      <c r="B53" s="93"/>
      <c r="C53" s="93">
        <f>+'Total Bachelor''s'!AY49</f>
        <v>71631</v>
      </c>
      <c r="D53" s="102">
        <f>+(('Total Bachelor''s'!AY49-'Total Bachelor''s'!AT49)/'Total Bachelor''s'!AT49)*100</f>
        <v>7.3348717333972662</v>
      </c>
      <c r="E53" s="109">
        <f>+(Public!V49/'Total Bachelor''s'!AT49)*100</f>
        <v>66.869455766003355</v>
      </c>
      <c r="F53" s="102">
        <f>+(Public!AA49/'Total Bachelor''s'!AY49)*100</f>
        <v>68.861247225363314</v>
      </c>
      <c r="G53" s="109">
        <f>+(Gender!CN49/'Total Bachelor''s'!AT49)*100</f>
        <v>56.176576360584995</v>
      </c>
      <c r="H53" s="102">
        <f>+(Gender!CS49/'Total Bachelor''s'!AY49)*100</f>
        <v>56.474152252516376</v>
      </c>
      <c r="I53" s="109">
        <f>+('Hispanic &amp; Foreign'!AV49/'Total Bachelor''s'!AT49)*100</f>
        <v>2.6267681611124432</v>
      </c>
      <c r="J53" s="102">
        <f>+('Hispanic &amp; Foreign'!BA49/'Total Bachelor''s'!AY49)*100</f>
        <v>4.733983889656713</v>
      </c>
      <c r="K53" s="109">
        <f>+(Black!AD49/'All Race'!AA49)*100</f>
        <v>8.3061368144877452</v>
      </c>
      <c r="L53" s="110">
        <f>IF(Black!BR49="NA","NA",(Black!BR49/Black!AD49)*100)</f>
        <v>7.8967642526964559</v>
      </c>
      <c r="M53" s="109">
        <f>+(Black!AI49/'All Race'!AF49)*100</f>
        <v>7.767313690458165</v>
      </c>
      <c r="N53" s="102">
        <f>IF(Black!BW49="NA","NA",(Black!BW49/Black!AI49)*100)</f>
        <v>6.7056530214424956</v>
      </c>
      <c r="O53" s="109">
        <f>+('Hispanic &amp; Foreign'!V49/'All Race'!AA49)*100</f>
        <v>2.6076662187240034</v>
      </c>
      <c r="P53" s="109">
        <f>+('Hispanic &amp; Foreign'!AA49/'All Race'!AF49)*100</f>
        <v>3.7186203555097963</v>
      </c>
      <c r="R53" s="43">
        <f t="shared" si="2"/>
        <v>10.913803033211749</v>
      </c>
      <c r="S53" s="43">
        <f t="shared" si="3"/>
        <v>11.485934045967962</v>
      </c>
    </row>
    <row r="54" spans="1:19">
      <c r="A54" s="93" t="s">
        <v>196</v>
      </c>
      <c r="B54" s="93"/>
      <c r="C54" s="93">
        <f>+'Total Bachelor''s'!AY50</f>
        <v>6068</v>
      </c>
      <c r="D54" s="102">
        <f>+(('Total Bachelor''s'!AY50-'Total Bachelor''s'!AT50)/'Total Bachelor''s'!AT50)*100</f>
        <v>12.537091988130564</v>
      </c>
      <c r="E54" s="109">
        <f>+(Public!V50/'Total Bachelor''s'!AT50)*100</f>
        <v>74.925816023738861</v>
      </c>
      <c r="F54" s="102">
        <f>+(Public!AA50/'Total Bachelor''s'!AY50)*100</f>
        <v>76.779828609096896</v>
      </c>
      <c r="G54" s="109">
        <f>+(Gender!CN50/'Total Bachelor''s'!AT50)*100</f>
        <v>56.917655786350153</v>
      </c>
      <c r="H54" s="102">
        <f>+(Gender!CS50/'Total Bachelor''s'!AY50)*100</f>
        <v>57.679630850362564</v>
      </c>
      <c r="I54" s="109">
        <f>+('Hispanic &amp; Foreign'!AV50/'Total Bachelor''s'!AT50)*100</f>
        <v>1.1498516320474776</v>
      </c>
      <c r="J54" s="102">
        <f>+('Hispanic &amp; Foreign'!BA50/'Total Bachelor''s'!AY50)*100</f>
        <v>2.0270270270270272</v>
      </c>
      <c r="K54" s="109">
        <f>+(Black!AD50/'All Race'!AA50)*100</f>
        <v>1.172022684310019</v>
      </c>
      <c r="L54" s="110" t="str">
        <f>IF(Black!BR50="NA","NA",(Black!BR50/Black!AD50)*100)</f>
        <v>NA</v>
      </c>
      <c r="M54" s="109">
        <f>+(Black!AI50/'All Race'!AF50)*100</f>
        <v>2.4796195652173911</v>
      </c>
      <c r="N54" s="110" t="str">
        <f>IF(Black!BW50="NA","NA",(Black!BW50/Black!AI50)*100)</f>
        <v>NA</v>
      </c>
      <c r="O54" s="109">
        <f>+('Hispanic &amp; Foreign'!V50/'All Race'!AA50)*100</f>
        <v>1.6257088846880909</v>
      </c>
      <c r="P54" s="109">
        <f>+('Hispanic &amp; Foreign'!AA50/'All Race'!AF50)*100</f>
        <v>2.9042119565217392</v>
      </c>
      <c r="R54" s="43">
        <f t="shared" si="2"/>
        <v>2.7977315689981097</v>
      </c>
      <c r="S54" s="43">
        <f t="shared" si="3"/>
        <v>5.3838315217391308</v>
      </c>
    </row>
    <row r="55" spans="1:19">
      <c r="A55" s="93" t="s">
        <v>199</v>
      </c>
      <c r="B55" s="93"/>
      <c r="C55" s="94">
        <f>+'Total Bachelor''s'!AY51</f>
        <v>37023</v>
      </c>
      <c r="D55" s="103">
        <f>+(('Total Bachelor''s'!AY51-'Total Bachelor''s'!AT51)/'Total Bachelor''s'!AT51)*100</f>
        <v>2.8359535581356594</v>
      </c>
      <c r="E55" s="182">
        <f>+(Public!V51/'Total Bachelor''s'!AT51)*100</f>
        <v>72.712627076273534</v>
      </c>
      <c r="F55" s="103">
        <f>+(Public!AA51/'Total Bachelor''s'!AY51)*100</f>
        <v>74.164708424492886</v>
      </c>
      <c r="G55" s="182">
        <f>+(Gender!CN51/'Total Bachelor''s'!AT51)*100</f>
        <v>56.21909893894783</v>
      </c>
      <c r="H55" s="103">
        <f>+(Gender!CS51/'Total Bachelor''s'!AY51)*100</f>
        <v>56.265024444264377</v>
      </c>
      <c r="I55" s="182">
        <f>+('Hispanic &amp; Foreign'!AV51/'Total Bachelor''s'!AT51)*100</f>
        <v>2.760957724570857</v>
      </c>
      <c r="J55" s="103">
        <f>+('Hispanic &amp; Foreign'!BA51/'Total Bachelor''s'!AY51)*100</f>
        <v>3.4600113442994891</v>
      </c>
      <c r="K55" s="182">
        <f>+(Black!AD51/'All Race'!AA51)*100</f>
        <v>3.0731821644108512</v>
      </c>
      <c r="L55" s="111">
        <f>IF(Black!BR51="NA","NA",(Black!BR51/Black!AD51)*100)</f>
        <v>0.38131553860819828</v>
      </c>
      <c r="M55" s="182">
        <f>+(Black!AI51/'All Race'!AF51)*100</f>
        <v>2.9552896014451844</v>
      </c>
      <c r="N55" s="103">
        <f>IF(Black!BW51="NA","NA",(Black!BW51/Black!AI51)*100)</f>
        <v>0.8595988538681949</v>
      </c>
      <c r="O55" s="182">
        <f>+('Hispanic &amp; Foreign'!V51/'All Race'!AA51)*100</f>
        <v>3.1903673756371944</v>
      </c>
      <c r="P55" s="99">
        <f>+('Hispanic &amp; Foreign'!AA51/'All Race'!AF51)*100</f>
        <v>4.6968499491927291</v>
      </c>
      <c r="R55" s="43">
        <f t="shared" si="2"/>
        <v>6.2635495400480456</v>
      </c>
      <c r="S55" s="43">
        <f t="shared" si="3"/>
        <v>7.652139550637914</v>
      </c>
    </row>
    <row r="56" spans="1:19">
      <c r="A56" s="95" t="s">
        <v>247</v>
      </c>
      <c r="B56" s="95"/>
      <c r="C56" s="72">
        <f>+'Total Bachelor''s'!AY52</f>
        <v>397256</v>
      </c>
      <c r="D56" s="101">
        <f>+(('Total Bachelor''s'!AY52-'Total Bachelor''s'!AT52)/'Total Bachelor''s'!AT52)*100</f>
        <v>8.2205513784461157</v>
      </c>
      <c r="E56" s="98">
        <f>+(Public!V52/'Total Bachelor''s'!AT52)*100</f>
        <v>49.000490356325599</v>
      </c>
      <c r="F56" s="101">
        <f>+(Public!AA52/'Total Bachelor''s'!AY52)*100</f>
        <v>49.331161769740419</v>
      </c>
      <c r="G56" s="98">
        <f>+(Gender!CN52/'Total Bachelor''s'!AT52)*100</f>
        <v>57.273346409502011</v>
      </c>
      <c r="H56" s="101">
        <f>+(Gender!CS52/'Total Bachelor''s'!AY52)*100</f>
        <v>56.79637311960046</v>
      </c>
      <c r="I56" s="98">
        <f>+('Hispanic &amp; Foreign'!AV52/'Total Bachelor''s'!AT52)*100</f>
        <v>4.2947041516835567</v>
      </c>
      <c r="J56" s="98">
        <f>+('Hispanic &amp; Foreign'!BA52/'Total Bachelor''s'!AY52)*100</f>
        <v>5.9528364581025839</v>
      </c>
      <c r="K56" s="184">
        <f>+(Black!AD52/'All Race'!AA52)*100</f>
        <v>8.6927539197539474</v>
      </c>
      <c r="L56" s="179">
        <f>IF(Black!BR52="NA","NA",(Black!BR52/Black!AD52)*100)</f>
        <v>6.898027606377287</v>
      </c>
      <c r="M56" s="98">
        <f>+(Black!AI52/'All Race'!AF52)*100</f>
        <v>9.468941302538731</v>
      </c>
      <c r="N56" s="101">
        <f>IF(Black!BW52="NA","NA",(Black!BW52/Black!AI52)*100)</f>
        <v>5.3784800601956357</v>
      </c>
      <c r="O56" s="98">
        <f>+('Hispanic &amp; Foreign'!V52/'All Race'!AA52)*100</f>
        <v>8.5150976799273241</v>
      </c>
      <c r="P56" s="98">
        <f>+('Hispanic &amp; Foreign'!AA52/'All Race'!AF52)*100</f>
        <v>11.70044801130858</v>
      </c>
      <c r="R56" s="43">
        <f t="shared" si="2"/>
        <v>17.20785159968127</v>
      </c>
      <c r="S56" s="43">
        <f t="shared" si="3"/>
        <v>21.169389313847311</v>
      </c>
    </row>
    <row r="57" spans="1:19">
      <c r="A57" s="72" t="s">
        <v>249</v>
      </c>
      <c r="B57" s="72"/>
      <c r="C57" s="56">
        <f>+'Total Bachelor''s'!AY53</f>
        <v>20.766723559746882</v>
      </c>
      <c r="D57" s="101"/>
      <c r="E57" s="98"/>
      <c r="F57" s="101"/>
      <c r="G57" s="98"/>
      <c r="H57" s="101"/>
      <c r="I57" s="72"/>
      <c r="J57" s="105"/>
      <c r="K57" s="72"/>
      <c r="L57" s="180"/>
      <c r="M57" s="72"/>
      <c r="N57" s="105"/>
      <c r="O57" s="72"/>
      <c r="P57" s="72"/>
      <c r="R57" s="43"/>
      <c r="S57" s="43"/>
    </row>
    <row r="58" spans="1:19">
      <c r="A58" s="93" t="s">
        <v>171</v>
      </c>
      <c r="B58" s="93"/>
      <c r="C58" s="93">
        <f>+'Total Bachelor''s'!AY54</f>
        <v>22914</v>
      </c>
      <c r="D58" s="102">
        <f>+(('Total Bachelor''s'!AY54-'Total Bachelor''s'!AT54)/'Total Bachelor''s'!AT54)*100</f>
        <v>10.642201834862385</v>
      </c>
      <c r="E58" s="109">
        <f>+(Public!V54/'Total Bachelor''s'!AT54)*100</f>
        <v>53.814582327378076</v>
      </c>
      <c r="F58" s="102">
        <f>+(Public!AA54/'Total Bachelor''s'!AY54)*100</f>
        <v>49.825434232347035</v>
      </c>
      <c r="G58" s="109">
        <f>+(Gender!CN54/'Total Bachelor''s'!AT54)*100</f>
        <v>57.542250120714634</v>
      </c>
      <c r="H58" s="102">
        <f>+(Gender!CS54/'Total Bachelor''s'!AY54)*100</f>
        <v>56.306188356463295</v>
      </c>
      <c r="I58" s="109">
        <f>+('Hispanic &amp; Foreign'!AV54/'Total Bachelor''s'!AT54)*100</f>
        <v>2.4818928054080156</v>
      </c>
      <c r="J58" s="102">
        <f>+('Hispanic &amp; Foreign'!BA54/'Total Bachelor''s'!AY54)*100</f>
        <v>3.8971807628524049</v>
      </c>
      <c r="K58" s="109">
        <f>+(Black!AD54/'All Race'!AA54)*100</f>
        <v>8.4690553745928341</v>
      </c>
      <c r="L58" s="110" t="str">
        <f>IF(Black!BR54="NA","NA",(Black!BR54/Black!AD54)*100)</f>
        <v>NA</v>
      </c>
      <c r="M58" s="109">
        <f>+(Black!AI54/'All Race'!AF54)*100</f>
        <v>9.4660194174757279</v>
      </c>
      <c r="N58" s="110" t="str">
        <f>IF(Black!BW54="NA","NA",(Black!BW54/Black!AI54)*100)</f>
        <v>NA</v>
      </c>
      <c r="O58" s="109">
        <f>+('Hispanic &amp; Foreign'!V54/'All Race'!AA54)*100</f>
        <v>8.283724587217792</v>
      </c>
      <c r="P58" s="109">
        <f>+('Hispanic &amp; Foreign'!AA54/'All Race'!AF54)*100</f>
        <v>11.318605111947692</v>
      </c>
      <c r="R58" s="43">
        <f t="shared" si="2"/>
        <v>16.752779961810624</v>
      </c>
      <c r="S58" s="43">
        <f t="shared" si="3"/>
        <v>20.784624529423418</v>
      </c>
    </row>
    <row r="59" spans="1:19">
      <c r="A59" s="93" t="s">
        <v>180</v>
      </c>
      <c r="B59" s="93"/>
      <c r="C59" s="93">
        <f>+'Total Bachelor''s'!AY55</f>
        <v>7688</v>
      </c>
      <c r="D59" s="102">
        <f>+(('Total Bachelor''s'!AY55-'Total Bachelor''s'!AT55)/'Total Bachelor''s'!AT55)*100</f>
        <v>5.2056220718375845E-2</v>
      </c>
      <c r="E59" s="109">
        <f>+(Public!V55/'Total Bachelor''s'!AT55)*100</f>
        <v>59.617386777719936</v>
      </c>
      <c r="F59" s="102">
        <f>+(Public!AA55/'Total Bachelor''s'!AY55)*100</f>
        <v>54.058272632674296</v>
      </c>
      <c r="G59" s="109">
        <f>+(Gender!CN55/'Total Bachelor''s'!AT55)*100</f>
        <v>57.30088495575221</v>
      </c>
      <c r="H59" s="102">
        <f>+(Gender!CS55/'Total Bachelor''s'!AY55)*100</f>
        <v>57.960457856399586</v>
      </c>
      <c r="I59" s="109">
        <f>+('Hispanic &amp; Foreign'!AV55/'Total Bachelor''s'!AT55)*100</f>
        <v>2.9411764705882351</v>
      </c>
      <c r="J59" s="102">
        <f>+('Hispanic &amp; Foreign'!BA55/'Total Bachelor''s'!AY55)*100</f>
        <v>3.4729448491155051</v>
      </c>
      <c r="K59" s="109">
        <f>+(Black!AD55/'All Race'!AA55)*100</f>
        <v>2.0432162281346464</v>
      </c>
      <c r="L59" s="110" t="str">
        <f>IF(Black!BR55="NA","NA",(Black!BR55/Black!AD55)*100)</f>
        <v>NA</v>
      </c>
      <c r="M59" s="109">
        <f>+(Black!AI55/'All Race'!AF55)*100</f>
        <v>3</v>
      </c>
      <c r="N59" s="110" t="str">
        <f>IF(Black!BW55="NA","NA",(Black!BW55/Black!AI55)*100)</f>
        <v>NA</v>
      </c>
      <c r="O59" s="109">
        <f>+('Hispanic &amp; Foreign'!V55/'All Race'!AA55)*100</f>
        <v>2.3666029692782597</v>
      </c>
      <c r="P59" s="109">
        <f>+('Hispanic &amp; Foreign'!AA55/'All Race'!AF55)*100</f>
        <v>3.1176470588235294</v>
      </c>
      <c r="R59" s="43">
        <f t="shared" si="2"/>
        <v>4.4098191974129062</v>
      </c>
      <c r="S59" s="43">
        <f t="shared" si="3"/>
        <v>6.117647058823529</v>
      </c>
    </row>
    <row r="60" spans="1:19">
      <c r="A60" s="93" t="s">
        <v>179</v>
      </c>
      <c r="B60" s="93"/>
      <c r="C60" s="93">
        <f>+'Total Bachelor''s'!AY56</f>
        <v>61607</v>
      </c>
      <c r="D60" s="102">
        <f>+(('Total Bachelor''s'!AY56-'Total Bachelor''s'!AT56)/'Total Bachelor''s'!AT56)*100</f>
        <v>10.487992969744795</v>
      </c>
      <c r="E60" s="109">
        <f>+(Public!V56/'Total Bachelor''s'!AT56)*100</f>
        <v>32.498789433096</v>
      </c>
      <c r="F60" s="102">
        <f>+(Public!AA56/'Total Bachelor''s'!AY56)*100</f>
        <v>35.023617446069437</v>
      </c>
      <c r="G60" s="109">
        <f>+(Gender!CN56/'Total Bachelor''s'!AT56)*100</f>
        <v>57.309133951469718</v>
      </c>
      <c r="H60" s="102">
        <f>+(Gender!CS56/'Total Bachelor''s'!AY56)*100</f>
        <v>56.995146655412533</v>
      </c>
      <c r="I60" s="109">
        <f>+('Hispanic &amp; Foreign'!AV56/'Total Bachelor''s'!AT56)*100</f>
        <v>5.360569594146237</v>
      </c>
      <c r="J60" s="102">
        <f>+('Hispanic &amp; Foreign'!BA56/'Total Bachelor''s'!AY56)*100</f>
        <v>8.6970636453649739</v>
      </c>
      <c r="K60" s="109">
        <f>+(Black!AD56/'All Race'!AA56)*100</f>
        <v>6.6373747665138403</v>
      </c>
      <c r="L60" s="110">
        <f>IF(Black!BR56="NA","NA",(Black!BR56/Black!AD56)*100)</f>
        <v>8.4106172049888066</v>
      </c>
      <c r="M60" s="109">
        <f>+(Black!AI56/'All Race'!AF56)*100</f>
        <v>7.5257277553132367</v>
      </c>
      <c r="N60" s="110">
        <f>IF(Black!BW56="NA","NA",(Black!BW56/Black!AI56)*100)</f>
        <v>4.8637636872930994</v>
      </c>
      <c r="O60" s="109">
        <f>+('Hispanic &amp; Foreign'!V56/'All Race'!AA56)*100</f>
        <v>7.3611818644931226</v>
      </c>
      <c r="P60" s="109">
        <f>+('Hispanic &amp; Foreign'!AA56/'All Race'!AF56)*100</f>
        <v>9.7065981870795888</v>
      </c>
      <c r="R60" s="43">
        <f t="shared" si="2"/>
        <v>13.998556631006963</v>
      </c>
      <c r="S60" s="43">
        <f t="shared" si="3"/>
        <v>17.232325942392826</v>
      </c>
    </row>
    <row r="61" spans="1:19">
      <c r="A61" s="93" t="s">
        <v>187</v>
      </c>
      <c r="B61" s="93"/>
      <c r="C61" s="93">
        <f>+'Total Bachelor''s'!AY57</f>
        <v>14869</v>
      </c>
      <c r="D61" s="102">
        <f>+(('Total Bachelor''s'!AY57-'Total Bachelor''s'!AT57)/'Total Bachelor''s'!AT57)*100</f>
        <v>60.399137001078749</v>
      </c>
      <c r="E61" s="109">
        <f>+(Public!V57/'Total Bachelor''s'!AT57)*100</f>
        <v>56.569579288025892</v>
      </c>
      <c r="F61" s="102">
        <f>+(Public!AA57/'Total Bachelor''s'!AY57)*100</f>
        <v>34.232295379648939</v>
      </c>
      <c r="G61" s="109">
        <f>+(Gender!CN57/'Total Bachelor''s'!AT57)*100</f>
        <v>57.141316073354908</v>
      </c>
      <c r="H61" s="102">
        <f>+(Gender!CS57/'Total Bachelor''s'!AY57)*100</f>
        <v>59.587060326854527</v>
      </c>
      <c r="I61" s="109">
        <f>+('Hispanic &amp; Foreign'!AV57/'Total Bachelor''s'!AT57)*100</f>
        <v>2.2761596548004315</v>
      </c>
      <c r="J61" s="102">
        <f>+('Hispanic &amp; Foreign'!BA57/'Total Bachelor''s'!AY57)*100</f>
        <v>2.6027305131481606</v>
      </c>
      <c r="K61" s="109">
        <f>+(Black!AD57/'All Race'!AA57)*100</f>
        <v>2.4756852343059239</v>
      </c>
      <c r="L61" s="110" t="str">
        <f>IF(Black!BR57="NA","NA",(Black!BR57/Black!AD57)*100)</f>
        <v>NA</v>
      </c>
      <c r="M61" s="109">
        <f>+(Black!AI57/'All Race'!AF57)*100</f>
        <v>5.385829696350636</v>
      </c>
      <c r="N61" s="110" t="str">
        <f>IF(Black!BW57="NA","NA",(Black!BW57/Black!AI57)*100)</f>
        <v>NA</v>
      </c>
      <c r="O61" s="109">
        <f>+('Hispanic &amp; Foreign'!V57/'All Race'!AA57)*100</f>
        <v>3.3724895793861309</v>
      </c>
      <c r="P61" s="109">
        <f>+('Hispanic &amp; Foreign'!AA57/'All Race'!AF57)*100</f>
        <v>5.1815396044200952</v>
      </c>
      <c r="R61" s="43">
        <f t="shared" si="2"/>
        <v>5.8481748136920544</v>
      </c>
      <c r="S61" s="43">
        <f t="shared" si="3"/>
        <v>10.567369300770732</v>
      </c>
    </row>
    <row r="62" spans="1:19">
      <c r="A62" s="72" t="s">
        <v>188</v>
      </c>
      <c r="B62" s="72"/>
      <c r="C62" s="72">
        <f>+'Total Bachelor''s'!AY58</f>
        <v>43720</v>
      </c>
      <c r="D62" s="101">
        <f>+(('Total Bachelor''s'!AY58-'Total Bachelor''s'!AT58)/'Total Bachelor''s'!AT58)*100</f>
        <v>9.83820721535524</v>
      </c>
      <c r="E62" s="98">
        <f>+(Public!V58/'Total Bachelor''s'!AT58)*100</f>
        <v>73.218771982715296</v>
      </c>
      <c r="F62" s="101">
        <f>+(Public!AA58/'Total Bachelor''s'!AY58)*100</f>
        <v>74.663769441903014</v>
      </c>
      <c r="G62" s="98">
        <f>+(Gender!CN58/'Total Bachelor''s'!AT58)*100</f>
        <v>55.934076977188219</v>
      </c>
      <c r="H62" s="101">
        <f>+(Gender!CS58/'Total Bachelor''s'!AY58)*100</f>
        <v>55.400274473924981</v>
      </c>
      <c r="I62" s="98">
        <f>+('Hispanic &amp; Foreign'!AV58/'Total Bachelor''s'!AT58)*100</f>
        <v>2.2937393226811373</v>
      </c>
      <c r="J62" s="101">
        <f>+('Hispanic &amp; Foreign'!BA58/'Total Bachelor''s'!AY58)*100</f>
        <v>3.1541628545288201</v>
      </c>
      <c r="K62" s="98">
        <f>+(Black!AD58/'All Race'!AA58)*100</f>
        <v>11.056928387485618</v>
      </c>
      <c r="L62" s="179">
        <f>IF(Black!BR58="NA","NA",(Black!BR58/Black!AD58)*100)</f>
        <v>3.4687809712586719</v>
      </c>
      <c r="M62" s="98">
        <f>+(Black!AI58/'All Race'!AF58)*100</f>
        <v>11.623995983935744</v>
      </c>
      <c r="N62" s="179">
        <f>IF(Black!BW58="NA","NA",(Black!BW58/Black!AI58)*100)</f>
        <v>1.4683653638522998</v>
      </c>
      <c r="O62" s="98">
        <f>+('Hispanic &amp; Foreign'!V58/'All Race'!AA58)*100</f>
        <v>14.09237849980823</v>
      </c>
      <c r="P62" s="98">
        <f>+('Hispanic &amp; Foreign'!AA58/'All Race'!AF58)*100</f>
        <v>17.944277108433734</v>
      </c>
      <c r="R62" s="43">
        <f t="shared" si="2"/>
        <v>25.149306887293847</v>
      </c>
      <c r="S62" s="43">
        <f t="shared" si="3"/>
        <v>29.568273092369481</v>
      </c>
    </row>
    <row r="63" spans="1:19">
      <c r="A63" s="72" t="s">
        <v>191</v>
      </c>
      <c r="B63" s="72"/>
      <c r="C63" s="72">
        <f>+'Total Bachelor''s'!AY59</f>
        <v>136680</v>
      </c>
      <c r="D63" s="101">
        <f>+(('Total Bachelor''s'!AY59-'Total Bachelor''s'!AT59)/'Total Bachelor''s'!AT59)*100</f>
        <v>7.974878540111388</v>
      </c>
      <c r="E63" s="98">
        <f>+(Public!V59/'Total Bachelor''s'!AT59)*100</f>
        <v>45.890113362562708</v>
      </c>
      <c r="F63" s="101">
        <f>+(Public!AA59/'Total Bachelor''s'!AY59)*100</f>
        <v>47.876792508047991</v>
      </c>
      <c r="G63" s="98">
        <f>+(Gender!CN59/'Total Bachelor''s'!AT59)*100</f>
        <v>58.523521744282505</v>
      </c>
      <c r="H63" s="101">
        <f>+(Gender!CS59/'Total Bachelor''s'!AY59)*100</f>
        <v>57.668276265730171</v>
      </c>
      <c r="I63" s="98">
        <f>+('Hispanic &amp; Foreign'!AV59/'Total Bachelor''s'!AT59)*100</f>
        <v>6.2440257534463006</v>
      </c>
      <c r="J63" s="101">
        <f>+('Hispanic &amp; Foreign'!BA59/'Total Bachelor''s'!AY59)*100</f>
        <v>7.3156277436347672</v>
      </c>
      <c r="K63" s="98">
        <f>+(Black!AD59/'All Race'!AA59)*100</f>
        <v>11.220852244537955</v>
      </c>
      <c r="L63" s="179">
        <f>IF(Black!BR59="NA","NA",(Black!BR59/Black!AD59)*100)</f>
        <v>7.4101367395398343</v>
      </c>
      <c r="M63" s="98">
        <f>+(Black!AI59/'All Race'!AF59)*100</f>
        <v>12.00006635369839</v>
      </c>
      <c r="N63" s="179">
        <f>IF(Black!BW59="NA","NA",(Black!BW59/Black!AI59)*100)</f>
        <v>6.5247442632015487</v>
      </c>
      <c r="O63" s="98">
        <f>+('Hispanic &amp; Foreign'!V59/'All Race'!AA59)*100</f>
        <v>11.881442825379908</v>
      </c>
      <c r="P63" s="98">
        <f>+('Hispanic &amp; Foreign'!AA59/'All Race'!AF59)*100</f>
        <v>16.270756266277392</v>
      </c>
      <c r="R63" s="43">
        <f t="shared" si="2"/>
        <v>23.102295069917865</v>
      </c>
      <c r="S63" s="43">
        <f t="shared" si="3"/>
        <v>28.270822619975782</v>
      </c>
    </row>
    <row r="64" spans="1:19">
      <c r="A64" s="72" t="s">
        <v>194</v>
      </c>
      <c r="B64" s="72"/>
      <c r="C64" s="72">
        <f>+'Total Bachelor''s'!AY60</f>
        <v>91273</v>
      </c>
      <c r="D64" s="101">
        <f>+(('Total Bachelor''s'!AY60-'Total Bachelor''s'!AT60)/'Total Bachelor''s'!AT60)*100</f>
        <v>1.4460054239096607</v>
      </c>
      <c r="E64" s="98">
        <f>+(Public!V60/'Total Bachelor''s'!AT60)*100</f>
        <v>51.247054639221091</v>
      </c>
      <c r="F64" s="101">
        <f>+(Public!AA60/'Total Bachelor''s'!AY60)*100</f>
        <v>52.010999967131575</v>
      </c>
      <c r="G64" s="98">
        <f>+(Gender!CN60/'Total Bachelor''s'!AT60)*100</f>
        <v>56.264171075445688</v>
      </c>
      <c r="H64" s="101">
        <f>+(Gender!CS60/'Total Bachelor''s'!AY60)*100</f>
        <v>55.922342861525308</v>
      </c>
      <c r="I64" s="98">
        <f>+('Hispanic &amp; Foreign'!AV60/'Total Bachelor''s'!AT60)*100</f>
        <v>2.6163695371893478</v>
      </c>
      <c r="J64" s="101">
        <f>+('Hispanic &amp; Foreign'!BA60/'Total Bachelor''s'!AY60)*100</f>
        <v>4.9204036242919598</v>
      </c>
      <c r="K64" s="98">
        <f>+(Black!AD60/'All Race'!AA60)*100</f>
        <v>7.5779335980400448</v>
      </c>
      <c r="L64" s="179">
        <f>IF(Black!BR60="NA","NA",(Black!BR60/Black!AD60)*100)</f>
        <v>9.9697404045230122</v>
      </c>
      <c r="M64" s="98">
        <f>+(Black!AI60/'All Race'!AF60)*100</f>
        <v>7.9802838648375802</v>
      </c>
      <c r="N64" s="179">
        <f>IF(Black!BW60="NA","NA",(Black!BW60/Black!AI60)*100)</f>
        <v>8.6917696085727041</v>
      </c>
      <c r="O64" s="98">
        <f>+('Hispanic &amp; Foreign'!V60/'All Race'!AA60)*100</f>
        <v>3.8390518833198564</v>
      </c>
      <c r="P64" s="98">
        <f>+('Hispanic &amp; Foreign'!AA60/'All Race'!AF60)*100</f>
        <v>5.6476037769463741</v>
      </c>
      <c r="R64" s="43">
        <f t="shared" si="2"/>
        <v>11.416985481359902</v>
      </c>
      <c r="S64" s="43">
        <f t="shared" si="3"/>
        <v>13.627887641783953</v>
      </c>
    </row>
    <row r="65" spans="1:19">
      <c r="A65" s="72" t="s">
        <v>195</v>
      </c>
      <c r="B65" s="72"/>
      <c r="C65" s="72">
        <f>+'Total Bachelor''s'!AY61</f>
        <v>12077</v>
      </c>
      <c r="D65" s="101">
        <f>+(('Total Bachelor''s'!AY61-'Total Bachelor''s'!AT61)/'Total Bachelor''s'!AT61)*100</f>
        <v>9.6613093616634877</v>
      </c>
      <c r="E65" s="98">
        <f>+(Public!V61/'Total Bachelor''s'!AT61)*100</f>
        <v>35.603377826205396</v>
      </c>
      <c r="F65" s="101">
        <f>+(Public!AA61/'Total Bachelor''s'!AY61)*100</f>
        <v>39.562805332450111</v>
      </c>
      <c r="G65" s="98">
        <f>+(Gender!CN61/'Total Bachelor''s'!AT61)*100</f>
        <v>57.141559974575507</v>
      </c>
      <c r="H65" s="101">
        <f>+(Gender!CS61/'Total Bachelor''s'!AY61)*100</f>
        <v>57.348679307775107</v>
      </c>
      <c r="I65" s="98">
        <f>+('Hispanic &amp; Foreign'!AV61/'Total Bachelor''s'!AT61)*100</f>
        <v>4.5128484518296563</v>
      </c>
      <c r="J65" s="101">
        <f>+('Hispanic &amp; Foreign'!BA61/'Total Bachelor''s'!AY61)*100</f>
        <v>5.6802185973337753</v>
      </c>
      <c r="K65" s="98">
        <f>+(Black!AD61/'All Race'!AA61)*100</f>
        <v>5.0407957974740141</v>
      </c>
      <c r="L65" s="179" t="str">
        <f>IF(Black!BR61="NA","NA",(Black!BR61/Black!AD61)*100)</f>
        <v>NA</v>
      </c>
      <c r="M65" s="98">
        <f>+(Black!AI61/'All Race'!AF61)*100</f>
        <v>6.1232300038270191</v>
      </c>
      <c r="N65" s="179" t="str">
        <f>IF(Black!BW61="NA","NA",(Black!BW61/Black!AI61)*100)</f>
        <v>NA</v>
      </c>
      <c r="O65" s="98">
        <f>+('Hispanic &amp; Foreign'!V61/'All Race'!AA61)*100</f>
        <v>7.3432435453224549</v>
      </c>
      <c r="P65" s="98">
        <f>+('Hispanic &amp; Foreign'!AA61/'All Race'!AF61)*100</f>
        <v>10.505166475315729</v>
      </c>
      <c r="R65" s="43">
        <f t="shared" si="2"/>
        <v>12.38403934279647</v>
      </c>
      <c r="S65" s="43">
        <f t="shared" si="3"/>
        <v>16.628396479142747</v>
      </c>
    </row>
    <row r="66" spans="1:19">
      <c r="A66" s="73" t="s">
        <v>198</v>
      </c>
      <c r="B66" s="73"/>
      <c r="C66" s="73">
        <f>+'Total Bachelor''s'!AY62</f>
        <v>6428</v>
      </c>
      <c r="D66" s="104">
        <f>+(('Total Bachelor''s'!AY62-'Total Bachelor''s'!AT62)/'Total Bachelor''s'!AT62)*100</f>
        <v>2.307814738182397</v>
      </c>
      <c r="E66" s="183">
        <f>+(Public!V62/'Total Bachelor''s'!AT62)*100</f>
        <v>55.976444373706826</v>
      </c>
      <c r="F66" s="104">
        <f>+(Public!AA62/'Total Bachelor''s'!AY62)*100</f>
        <v>52.89359054138145</v>
      </c>
      <c r="G66" s="183">
        <f>+(Gender!CN62/'Total Bachelor''s'!AT62)*100</f>
        <v>54.209772401718922</v>
      </c>
      <c r="H66" s="104">
        <f>+(Gender!CS62/'Total Bachelor''s'!AY62)*100</f>
        <v>51.120099564405727</v>
      </c>
      <c r="I66" s="183">
        <f>+('Hispanic &amp; Foreign'!AV62/'Total Bachelor''s'!AT62)*100</f>
        <v>2.4988063027216296</v>
      </c>
      <c r="J66" s="104">
        <f>+('Hispanic &amp; Foreign'!BA62/'Total Bachelor''s'!AY62)*100</f>
        <v>2.9247044181705038</v>
      </c>
      <c r="K66" s="183">
        <f>+(Black!AD62/'All Race'!AA62)*100</f>
        <v>1.5317667536988686</v>
      </c>
      <c r="L66" s="112" t="str">
        <f>IF(Black!BR62="NA","NA",(Black!BR62/Black!AD62)*100)</f>
        <v>NA</v>
      </c>
      <c r="M66" s="183">
        <f>+(Black!AI62/'All Race'!AF62)*100</f>
        <v>2.4605464109960971</v>
      </c>
      <c r="N66" s="112" t="str">
        <f>IF(Black!BW62="NA","NA",(Black!BW62/Black!AI62)*100)</f>
        <v>NA</v>
      </c>
      <c r="O66" s="183">
        <f>+('Hispanic &amp; Foreign'!V62/'All Race'!AA62)*100</f>
        <v>3.1157528285465625</v>
      </c>
      <c r="P66" s="97">
        <f>+('Hispanic &amp; Foreign'!AA62/'All Race'!AF62)*100</f>
        <v>5.3622942474121835</v>
      </c>
      <c r="R66" s="43">
        <f t="shared" si="2"/>
        <v>4.6475195822454314</v>
      </c>
      <c r="S66" s="43">
        <f t="shared" si="3"/>
        <v>7.8228406584082801</v>
      </c>
    </row>
    <row r="67" spans="1:19">
      <c r="A67" s="96" t="s">
        <v>172</v>
      </c>
      <c r="B67" s="96"/>
      <c r="C67" s="94">
        <f>+'Total Bachelor''s'!AY63</f>
        <v>9519</v>
      </c>
      <c r="D67" s="103">
        <f>+(('Total Bachelor''s'!AY63-'Total Bachelor''s'!AT63)/'Total Bachelor''s'!AT63)*100</f>
        <v>3.3326096396005207</v>
      </c>
      <c r="E67" s="182">
        <f>+(Public!V63/'Total Bachelor''s'!AT63)*100</f>
        <v>4.3204515848892751</v>
      </c>
      <c r="F67" s="103">
        <f>+(Public!AA63/'Total Bachelor''s'!AY63)*100</f>
        <v>4.0655531043176802</v>
      </c>
      <c r="G67" s="182">
        <f>+(Gender!CN63/'Total Bachelor''s'!AT63)*100</f>
        <v>60.518888406426399</v>
      </c>
      <c r="H67" s="103">
        <f>+(Gender!CS63/'Total Bachelor''s'!AY63)*100</f>
        <v>59.775186469166933</v>
      </c>
      <c r="I67" s="182">
        <f>+('Hispanic &amp; Foreign'!AV63/'Total Bachelor''s'!AT63)*100</f>
        <v>4.4615718627876682</v>
      </c>
      <c r="J67" s="103">
        <f>+('Hispanic &amp; Foreign'!BA63/'Total Bachelor''s'!AY63)*100</f>
        <v>8.7088979934867119</v>
      </c>
      <c r="K67" s="182">
        <f>+(Black!AD63/'All Race'!AA63)*100</f>
        <v>29.223149113660064</v>
      </c>
      <c r="L67" s="111">
        <f>IF(Black!BR63="NA","NA",(Black!BR63/Black!AD63)*100)</f>
        <v>82.426404995539698</v>
      </c>
      <c r="M67" s="182">
        <f>+(Black!AI63/'All Race'!AF63)*100</f>
        <v>25.917458789556008</v>
      </c>
      <c r="N67" s="103">
        <f>IF(Black!BW63="NA","NA",(Black!BW63/Black!AI63)*100)</f>
        <v>74.651810584958227</v>
      </c>
      <c r="O67" s="182">
        <f>+('Hispanic &amp; Foreign'!V63/'All Race'!AA63)*100</f>
        <v>6.6736183524504691</v>
      </c>
      <c r="P67" s="99">
        <f>+('Hispanic &amp; Foreign'!AA63/'All Race'!AF63)*100</f>
        <v>9.4092167007580318</v>
      </c>
      <c r="R67" s="43">
        <f t="shared" si="2"/>
        <v>35.896767466110532</v>
      </c>
      <c r="S67" s="43">
        <f t="shared" si="3"/>
        <v>35.326675490314038</v>
      </c>
    </row>
    <row r="68" spans="1:19">
      <c r="A68" s="134" t="s">
        <v>275</v>
      </c>
      <c r="B68" s="72"/>
      <c r="C68" s="72"/>
      <c r="D68" s="98"/>
      <c r="E68" s="98"/>
      <c r="F68" s="98"/>
      <c r="G68" s="98"/>
      <c r="H68" s="98"/>
      <c r="I68" s="98"/>
      <c r="J68" s="98"/>
      <c r="K68" s="98"/>
      <c r="L68" s="197"/>
      <c r="M68" s="98"/>
      <c r="N68" s="98"/>
      <c r="O68" s="98"/>
      <c r="P68" s="98"/>
      <c r="R68" s="43"/>
      <c r="S68" s="43"/>
    </row>
    <row r="69" spans="1:19" s="134" customFormat="1" ht="21.75" customHeight="1">
      <c r="A69" s="200" t="s">
        <v>273</v>
      </c>
      <c r="B69" s="200"/>
      <c r="C69" s="200"/>
      <c r="D69" s="200"/>
      <c r="E69" s="200"/>
      <c r="F69" s="200"/>
      <c r="G69" s="200"/>
      <c r="H69" s="200"/>
      <c r="I69" s="200"/>
      <c r="J69" s="200"/>
      <c r="K69" s="200"/>
      <c r="L69" s="200"/>
      <c r="M69" s="200"/>
      <c r="N69" s="200"/>
      <c r="O69" s="200"/>
      <c r="P69" s="200"/>
    </row>
    <row r="70" spans="1:19" ht="19.5" customHeight="1">
      <c r="A70" s="201" t="s">
        <v>268</v>
      </c>
      <c r="B70" s="201"/>
      <c r="C70" s="201"/>
      <c r="D70" s="201"/>
      <c r="E70" s="201"/>
      <c r="F70" s="201"/>
      <c r="G70" s="201"/>
      <c r="H70" s="201"/>
      <c r="I70" s="201"/>
      <c r="J70" s="201"/>
      <c r="K70" s="201"/>
      <c r="L70" s="201"/>
      <c r="M70" s="201"/>
      <c r="N70" s="201"/>
      <c r="O70" s="201"/>
      <c r="P70" s="201"/>
    </row>
    <row r="71" spans="1:19" ht="36.75" customHeight="1">
      <c r="A71" s="201" t="s">
        <v>274</v>
      </c>
      <c r="B71" s="201"/>
      <c r="C71" s="201"/>
      <c r="D71" s="201"/>
      <c r="E71" s="201"/>
      <c r="F71" s="201"/>
      <c r="G71" s="201"/>
      <c r="H71" s="201"/>
      <c r="I71" s="201"/>
      <c r="J71" s="201"/>
      <c r="K71" s="201"/>
      <c r="L71" s="201"/>
      <c r="M71" s="201"/>
      <c r="N71" s="201"/>
      <c r="O71" s="201"/>
      <c r="P71" s="201"/>
    </row>
    <row r="72" spans="1:19" ht="12.75" customHeight="1">
      <c r="A72" s="202" t="s">
        <v>264</v>
      </c>
      <c r="B72" s="203"/>
      <c r="C72" s="203"/>
      <c r="D72" s="203"/>
      <c r="E72" s="203"/>
      <c r="F72" s="203"/>
      <c r="G72" s="203"/>
      <c r="H72" s="203"/>
      <c r="I72" s="203"/>
      <c r="J72" s="203"/>
      <c r="K72" s="203"/>
      <c r="L72" s="203"/>
      <c r="M72" s="203"/>
      <c r="N72" s="203"/>
      <c r="O72" s="203"/>
      <c r="P72" s="203"/>
    </row>
    <row r="73" spans="1:19" ht="12.75" customHeight="1">
      <c r="H73" s="15"/>
      <c r="P73" s="45" t="s">
        <v>272</v>
      </c>
    </row>
    <row r="74" spans="1:19" ht="12.75" customHeight="1"/>
  </sheetData>
  <mergeCells count="4">
    <mergeCell ref="A69:P69"/>
    <mergeCell ref="A70:P70"/>
    <mergeCell ref="A71:P71"/>
    <mergeCell ref="A72:P72"/>
  </mergeCells>
  <phoneticPr fontId="0" type="noConversion"/>
  <pageMargins left="0.5" right="0.5" top="0.5" bottom="0.5" header="0.5" footer="0.5"/>
  <pageSetup scale="62" orientation="portrait" verticalDpi="300" r:id="rId1"/>
  <headerFooter alignWithMargins="0">
    <oddFooter>&amp;L&amp;"Arial,Regular"&amp;8SREB Fact Book&amp;R&amp;"Arial,Regular"&amp;8&amp;D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62"/>
  </sheetPr>
  <dimension ref="A1:AY79"/>
  <sheetViews>
    <sheetView zoomScale="80" zoomScaleNormal="80" workbookViewId="0">
      <pane xSplit="1" ySplit="3" topLeftCell="AI4" activePane="bottomRight" state="frozen"/>
      <selection pane="topRight" activeCell="B1" sqref="B1"/>
      <selection pane="bottomLeft" activeCell="A4" sqref="A4"/>
      <selection pane="bottomRight" activeCell="AY54" sqref="AY54:AY63"/>
    </sheetView>
  </sheetViews>
  <sheetFormatPr defaultRowHeight="12.75"/>
  <cols>
    <col min="1" max="1" width="20.7109375" style="1" customWidth="1"/>
    <col min="2" max="22" width="9.140625" style="1"/>
    <col min="23" max="23" width="10.7109375" style="1" customWidth="1"/>
    <col min="24" max="24" width="10.85546875" style="1" customWidth="1"/>
    <col min="25" max="28" width="10" style="1" customWidth="1"/>
    <col min="29" max="29" width="10.85546875" style="1" customWidth="1"/>
    <col min="30" max="32" width="9.7109375" style="1" customWidth="1"/>
    <col min="33" max="37" width="10.85546875" style="1" customWidth="1"/>
    <col min="38" max="38" width="10.85546875" style="46" customWidth="1"/>
    <col min="39" max="45" width="10.85546875" style="1" customWidth="1"/>
    <col min="46" max="46" width="10.28515625" style="1" customWidth="1"/>
    <col min="47" max="47" width="9.85546875" style="1" bestFit="1" customWidth="1"/>
    <col min="48" max="51" width="9.85546875" style="1" customWidth="1"/>
    <col min="52" max="16384" width="9.140625" style="1"/>
  </cols>
  <sheetData>
    <row r="1" spans="1:51">
      <c r="A1" s="6" t="s">
        <v>83</v>
      </c>
      <c r="B1" s="6"/>
      <c r="C1" s="6"/>
      <c r="AK1" s="15"/>
      <c r="AL1" s="15"/>
      <c r="AM1" s="15"/>
      <c r="AN1" s="15"/>
      <c r="AO1" s="15"/>
      <c r="AP1" s="15"/>
      <c r="AQ1" s="15"/>
      <c r="AR1" s="15"/>
      <c r="AS1" s="15"/>
    </row>
    <row r="2" spans="1:51">
      <c r="B2" s="6"/>
      <c r="C2" s="6"/>
      <c r="AL2" s="1"/>
    </row>
    <row r="3" spans="1:51" s="6" customFormat="1">
      <c r="A3" s="61"/>
      <c r="B3" s="62" t="s">
        <v>0</v>
      </c>
      <c r="C3" s="63" t="s">
        <v>1</v>
      </c>
      <c r="D3" s="63" t="s">
        <v>59</v>
      </c>
      <c r="E3" s="63" t="s">
        <v>2</v>
      </c>
      <c r="F3" s="63" t="s">
        <v>60</v>
      </c>
      <c r="G3" s="63" t="s">
        <v>3</v>
      </c>
      <c r="H3" s="63" t="s">
        <v>61</v>
      </c>
      <c r="I3" s="63" t="s">
        <v>4</v>
      </c>
      <c r="J3" s="63" t="s">
        <v>62</v>
      </c>
      <c r="K3" s="63" t="s">
        <v>5</v>
      </c>
      <c r="L3" s="63" t="s">
        <v>63</v>
      </c>
      <c r="M3" s="63" t="s">
        <v>6</v>
      </c>
      <c r="N3" s="63" t="s">
        <v>64</v>
      </c>
      <c r="O3" s="63" t="s">
        <v>7</v>
      </c>
      <c r="P3" s="63" t="s">
        <v>8</v>
      </c>
      <c r="Q3" s="63" t="s">
        <v>65</v>
      </c>
      <c r="R3" s="63" t="s">
        <v>66</v>
      </c>
      <c r="S3" s="63" t="s">
        <v>67</v>
      </c>
      <c r="T3" s="63" t="s">
        <v>68</v>
      </c>
      <c r="U3" s="63" t="s">
        <v>69</v>
      </c>
      <c r="V3" s="63" t="s">
        <v>70</v>
      </c>
      <c r="W3" s="63" t="s">
        <v>71</v>
      </c>
      <c r="X3" s="63" t="s">
        <v>72</v>
      </c>
      <c r="Y3" s="63" t="s">
        <v>73</v>
      </c>
      <c r="Z3" s="63" t="s">
        <v>9</v>
      </c>
      <c r="AA3" s="63" t="s">
        <v>74</v>
      </c>
      <c r="AB3" s="63" t="s">
        <v>10</v>
      </c>
      <c r="AC3" s="63" t="s">
        <v>75</v>
      </c>
      <c r="AD3" s="64" t="s">
        <v>56</v>
      </c>
      <c r="AE3" s="63" t="s">
        <v>58</v>
      </c>
      <c r="AF3" s="63" t="s">
        <v>164</v>
      </c>
      <c r="AG3" s="63" t="s">
        <v>201</v>
      </c>
      <c r="AH3" s="63" t="s">
        <v>202</v>
      </c>
      <c r="AI3" s="63" t="s">
        <v>225</v>
      </c>
      <c r="AJ3" s="63" t="s">
        <v>226</v>
      </c>
      <c r="AK3" s="63" t="s">
        <v>210</v>
      </c>
      <c r="AL3" s="63" t="s">
        <v>221</v>
      </c>
      <c r="AM3" s="63" t="s">
        <v>222</v>
      </c>
      <c r="AN3" s="63" t="s">
        <v>227</v>
      </c>
      <c r="AO3" s="63" t="s">
        <v>236</v>
      </c>
      <c r="AP3" s="63" t="s">
        <v>240</v>
      </c>
      <c r="AQ3" s="63" t="s">
        <v>242</v>
      </c>
      <c r="AR3" s="63" t="s">
        <v>258</v>
      </c>
      <c r="AS3" s="63" t="s">
        <v>259</v>
      </c>
      <c r="AT3" s="199" t="s">
        <v>262</v>
      </c>
      <c r="AU3" s="199" t="s">
        <v>263</v>
      </c>
      <c r="AV3" s="199" t="s">
        <v>265</v>
      </c>
      <c r="AW3" s="199" t="s">
        <v>266</v>
      </c>
      <c r="AX3" s="198" t="s">
        <v>269</v>
      </c>
      <c r="AY3" s="198" t="s">
        <v>270</v>
      </c>
    </row>
    <row r="4" spans="1:51">
      <c r="A4" s="52" t="s">
        <v>243</v>
      </c>
      <c r="B4" s="66">
        <v>384352</v>
      </c>
      <c r="C4" s="66">
        <v>365337</v>
      </c>
      <c r="D4" s="53">
        <f t="shared" ref="D4:AP4" si="0">D5+D23+D38+D52+D63</f>
        <v>789489</v>
      </c>
      <c r="E4" s="53">
        <f t="shared" si="0"/>
        <v>836843</v>
      </c>
      <c r="F4" s="53">
        <f t="shared" si="0"/>
        <v>884098</v>
      </c>
      <c r="G4" s="53">
        <f t="shared" si="0"/>
        <v>919103</v>
      </c>
      <c r="H4" s="53">
        <f t="shared" si="0"/>
        <v>942616</v>
      </c>
      <c r="I4" s="53">
        <f t="shared" si="0"/>
        <v>919912</v>
      </c>
      <c r="J4" s="53">
        <f t="shared" si="0"/>
        <v>922605</v>
      </c>
      <c r="K4" s="53">
        <f t="shared" si="0"/>
        <v>916780</v>
      </c>
      <c r="L4" s="53">
        <f t="shared" si="0"/>
        <v>917795</v>
      </c>
      <c r="M4" s="53">
        <f t="shared" si="0"/>
        <v>918159</v>
      </c>
      <c r="N4" s="53">
        <f t="shared" si="0"/>
        <v>926254</v>
      </c>
      <c r="O4" s="53">
        <f t="shared" si="0"/>
        <v>931871</v>
      </c>
      <c r="P4" s="53">
        <f t="shared" si="0"/>
        <v>949748</v>
      </c>
      <c r="Q4" s="53">
        <f t="shared" si="0"/>
        <v>966048</v>
      </c>
      <c r="R4" s="53">
        <f t="shared" si="0"/>
        <v>970483</v>
      </c>
      <c r="S4" s="53">
        <f t="shared" si="0"/>
        <v>975684</v>
      </c>
      <c r="T4" s="53">
        <f t="shared" si="0"/>
        <v>984132</v>
      </c>
      <c r="U4" s="53">
        <f t="shared" si="0"/>
        <v>987876</v>
      </c>
      <c r="V4" s="53">
        <f t="shared" si="0"/>
        <v>989902</v>
      </c>
      <c r="W4" s="53">
        <f t="shared" si="0"/>
        <v>1013266</v>
      </c>
      <c r="X4" s="53">
        <f t="shared" si="0"/>
        <v>1048059</v>
      </c>
      <c r="Y4" s="53">
        <f t="shared" si="0"/>
        <v>1091261</v>
      </c>
      <c r="Z4" s="53">
        <f t="shared" si="0"/>
        <v>1133157</v>
      </c>
      <c r="AA4" s="53">
        <f t="shared" si="0"/>
        <v>1161733</v>
      </c>
      <c r="AB4" s="53">
        <f t="shared" si="0"/>
        <v>1165841</v>
      </c>
      <c r="AC4" s="53">
        <f t="shared" si="0"/>
        <v>1156850</v>
      </c>
      <c r="AD4" s="53">
        <f t="shared" si="0"/>
        <v>1161592</v>
      </c>
      <c r="AE4" s="53">
        <f t="shared" si="0"/>
        <v>1169811</v>
      </c>
      <c r="AF4" s="53">
        <f t="shared" si="0"/>
        <v>1181295</v>
      </c>
      <c r="AG4" s="53">
        <f t="shared" si="0"/>
        <v>1197329</v>
      </c>
      <c r="AH4" s="53">
        <f t="shared" si="0"/>
        <v>1234838</v>
      </c>
      <c r="AI4" s="53">
        <f t="shared" si="0"/>
        <v>1241100</v>
      </c>
      <c r="AJ4" s="53">
        <f t="shared" si="0"/>
        <v>1288655</v>
      </c>
      <c r="AK4" s="53">
        <f t="shared" si="0"/>
        <v>1345402</v>
      </c>
      <c r="AL4" s="53">
        <f t="shared" si="0"/>
        <v>1395334</v>
      </c>
      <c r="AM4" s="53">
        <f t="shared" si="0"/>
        <v>1435815</v>
      </c>
      <c r="AN4" s="53">
        <f t="shared" si="0"/>
        <v>1462819</v>
      </c>
      <c r="AO4" s="53">
        <f t="shared" si="0"/>
        <v>1520649</v>
      </c>
      <c r="AP4" s="53">
        <f t="shared" si="0"/>
        <v>1559381</v>
      </c>
      <c r="AQ4" s="53">
        <f t="shared" ref="AQ4:AR4" si="1">AQ5+AQ23+AQ38+AQ52+AQ63</f>
        <v>1597852</v>
      </c>
      <c r="AR4" s="53">
        <f t="shared" si="1"/>
        <v>1643045</v>
      </c>
      <c r="AS4" s="53">
        <f t="shared" ref="AS4:AT4" si="2">AS5+AS23+AS38+AS52+AS63</f>
        <v>1671636</v>
      </c>
      <c r="AT4" s="53">
        <f t="shared" si="2"/>
        <v>1766695</v>
      </c>
      <c r="AU4" s="53">
        <f t="shared" ref="AU4:AW4" si="3">AU5+AU23+AU38+AU52+AU63</f>
        <v>1811011</v>
      </c>
      <c r="AV4" s="53">
        <f t="shared" si="3"/>
        <v>0</v>
      </c>
      <c r="AW4" s="53">
        <f t="shared" si="3"/>
        <v>1856952</v>
      </c>
      <c r="AX4" s="53">
        <f t="shared" ref="AX4:AY4" si="4">AX5+AX23+AX38+AX52+AX63</f>
        <v>1881824</v>
      </c>
      <c r="AY4" s="53">
        <f t="shared" si="4"/>
        <v>1912945</v>
      </c>
    </row>
    <row r="5" spans="1:51">
      <c r="A5" s="54" t="s">
        <v>11</v>
      </c>
      <c r="B5" s="1">
        <f>SUM(B7:B22)</f>
        <v>102822</v>
      </c>
      <c r="C5" s="1">
        <f>SUM(C7:C22)</f>
        <v>97162</v>
      </c>
      <c r="D5" s="55">
        <f t="shared" ref="D5:AP5" si="5">SUM(D7:D22)</f>
        <v>218135</v>
      </c>
      <c r="E5" s="55">
        <f t="shared" si="5"/>
        <v>228801</v>
      </c>
      <c r="F5" s="55">
        <f t="shared" si="5"/>
        <v>240705</v>
      </c>
      <c r="G5" s="55">
        <f t="shared" si="5"/>
        <v>251534</v>
      </c>
      <c r="H5" s="55">
        <f t="shared" si="5"/>
        <v>264156</v>
      </c>
      <c r="I5" s="55">
        <f t="shared" si="5"/>
        <v>264290</v>
      </c>
      <c r="J5" s="55">
        <f t="shared" si="5"/>
        <v>266860</v>
      </c>
      <c r="K5" s="55">
        <f t="shared" si="5"/>
        <v>266073</v>
      </c>
      <c r="L5" s="55">
        <f t="shared" si="5"/>
        <v>267791</v>
      </c>
      <c r="M5" s="55">
        <f t="shared" si="5"/>
        <v>268775</v>
      </c>
      <c r="N5" s="55">
        <f t="shared" si="5"/>
        <v>271534</v>
      </c>
      <c r="O5" s="55">
        <f t="shared" si="5"/>
        <v>273540</v>
      </c>
      <c r="P5" s="55">
        <f t="shared" si="5"/>
        <v>274170</v>
      </c>
      <c r="Q5" s="55">
        <f t="shared" si="5"/>
        <v>279677</v>
      </c>
      <c r="R5" s="55">
        <f t="shared" si="5"/>
        <v>281148</v>
      </c>
      <c r="S5" s="55">
        <f t="shared" si="5"/>
        <v>284396</v>
      </c>
      <c r="T5" s="55">
        <f t="shared" si="5"/>
        <v>290305</v>
      </c>
      <c r="U5" s="55">
        <f t="shared" si="5"/>
        <v>287957</v>
      </c>
      <c r="V5" s="55">
        <f t="shared" si="5"/>
        <v>288999</v>
      </c>
      <c r="W5" s="55">
        <f t="shared" si="5"/>
        <v>296414</v>
      </c>
      <c r="X5" s="55">
        <f t="shared" si="5"/>
        <v>307826</v>
      </c>
      <c r="Y5" s="55">
        <f t="shared" si="5"/>
        <v>325697</v>
      </c>
      <c r="Z5" s="55">
        <f t="shared" si="5"/>
        <v>339239</v>
      </c>
      <c r="AA5" s="55">
        <f t="shared" si="5"/>
        <v>354557</v>
      </c>
      <c r="AB5" s="55">
        <f t="shared" si="5"/>
        <v>361247</v>
      </c>
      <c r="AC5" s="55">
        <f t="shared" si="5"/>
        <v>360059</v>
      </c>
      <c r="AD5" s="55">
        <f t="shared" si="5"/>
        <v>363667</v>
      </c>
      <c r="AE5" s="55">
        <f t="shared" si="5"/>
        <v>367991</v>
      </c>
      <c r="AF5" s="55">
        <f t="shared" si="5"/>
        <v>374264</v>
      </c>
      <c r="AG5" s="55">
        <f t="shared" si="5"/>
        <v>379842</v>
      </c>
      <c r="AH5" s="55">
        <f t="shared" si="5"/>
        <v>391330</v>
      </c>
      <c r="AI5" s="55">
        <f t="shared" si="5"/>
        <v>392481</v>
      </c>
      <c r="AJ5" s="55">
        <f t="shared" si="5"/>
        <v>406854</v>
      </c>
      <c r="AK5" s="55">
        <f t="shared" si="5"/>
        <v>422776</v>
      </c>
      <c r="AL5" s="55">
        <f t="shared" si="5"/>
        <v>440645</v>
      </c>
      <c r="AM5" s="55">
        <f t="shared" si="5"/>
        <v>453160</v>
      </c>
      <c r="AN5" s="55">
        <f t="shared" si="5"/>
        <v>466410</v>
      </c>
      <c r="AO5" s="55">
        <f t="shared" si="5"/>
        <v>481868</v>
      </c>
      <c r="AP5" s="55">
        <f t="shared" si="5"/>
        <v>497417</v>
      </c>
      <c r="AQ5" s="55">
        <f t="shared" ref="AQ5:AR5" si="6">SUM(AQ7:AQ22)</f>
        <v>514105</v>
      </c>
      <c r="AR5" s="55">
        <f t="shared" si="6"/>
        <v>529387</v>
      </c>
      <c r="AS5" s="55">
        <f t="shared" ref="AS5:AT5" si="7">SUM(AS7:AS22)</f>
        <v>549750</v>
      </c>
      <c r="AT5" s="55">
        <f t="shared" si="7"/>
        <v>572238</v>
      </c>
      <c r="AU5" s="55">
        <f t="shared" ref="AU5:AW5" si="8">SUM(AU7:AU22)</f>
        <v>591247</v>
      </c>
      <c r="AV5" s="55">
        <f t="shared" si="8"/>
        <v>0</v>
      </c>
      <c r="AW5" s="55">
        <f t="shared" si="8"/>
        <v>613118</v>
      </c>
      <c r="AX5" s="55">
        <f t="shared" ref="AX5:AY5" si="9">SUM(AX7:AX22)</f>
        <v>626767</v>
      </c>
      <c r="AY5" s="55">
        <f t="shared" si="9"/>
        <v>639086</v>
      </c>
    </row>
    <row r="6" spans="1:51" s="51" customFormat="1">
      <c r="A6" s="56" t="s">
        <v>244</v>
      </c>
      <c r="B6" s="51">
        <f>(B5/B4)</f>
        <v>0.26752039796852883</v>
      </c>
      <c r="C6" s="51">
        <f>(C5/C4)</f>
        <v>0.2659517103386736</v>
      </c>
      <c r="D6" s="57">
        <f t="shared" ref="D6:AP6" si="10">(D5/D4)*100</f>
        <v>27.629897313325451</v>
      </c>
      <c r="E6" s="57">
        <f t="shared" si="10"/>
        <v>27.340970767515532</v>
      </c>
      <c r="F6" s="57">
        <f t="shared" si="10"/>
        <v>27.22605412522141</v>
      </c>
      <c r="G6" s="57">
        <f t="shared" si="10"/>
        <v>27.367335325855752</v>
      </c>
      <c r="H6" s="57">
        <f t="shared" si="10"/>
        <v>28.023712731377358</v>
      </c>
      <c r="I6" s="57">
        <f t="shared" si="10"/>
        <v>28.729921992538415</v>
      </c>
      <c r="J6" s="57">
        <f t="shared" si="10"/>
        <v>28.924621045843018</v>
      </c>
      <c r="K6" s="57">
        <f t="shared" si="10"/>
        <v>29.022557211108445</v>
      </c>
      <c r="L6" s="57">
        <f t="shared" si="10"/>
        <v>29.177648603446304</v>
      </c>
      <c r="M6" s="57">
        <f t="shared" si="10"/>
        <v>29.273252236268444</v>
      </c>
      <c r="N6" s="57">
        <f t="shared" si="10"/>
        <v>29.315285008215891</v>
      </c>
      <c r="O6" s="57">
        <f t="shared" si="10"/>
        <v>29.353848333084731</v>
      </c>
      <c r="P6" s="57">
        <f t="shared" si="10"/>
        <v>28.867657525996371</v>
      </c>
      <c r="Q6" s="57">
        <f t="shared" si="10"/>
        <v>28.950631852661569</v>
      </c>
      <c r="R6" s="57">
        <f t="shared" si="10"/>
        <v>28.969904676331272</v>
      </c>
      <c r="S6" s="57">
        <f t="shared" si="10"/>
        <v>29.148371808905342</v>
      </c>
      <c r="T6" s="57">
        <f t="shared" si="10"/>
        <v>29.498583523348493</v>
      </c>
      <c r="U6" s="57">
        <f t="shared" si="10"/>
        <v>29.14910373366698</v>
      </c>
      <c r="V6" s="57">
        <f t="shared" si="10"/>
        <v>29.194708163030281</v>
      </c>
      <c r="W6" s="57">
        <f t="shared" si="10"/>
        <v>29.253325385436796</v>
      </c>
      <c r="X6" s="57">
        <f t="shared" si="10"/>
        <v>29.37105640045074</v>
      </c>
      <c r="Y6" s="57">
        <f t="shared" si="10"/>
        <v>29.845930533575377</v>
      </c>
      <c r="Z6" s="57">
        <f t="shared" si="10"/>
        <v>29.93751086566116</v>
      </c>
      <c r="AA6" s="57">
        <f t="shared" si="10"/>
        <v>30.519663296127426</v>
      </c>
      <c r="AB6" s="57">
        <f t="shared" si="10"/>
        <v>30.985957776403474</v>
      </c>
      <c r="AC6" s="57">
        <f t="shared" si="10"/>
        <v>31.124086960280074</v>
      </c>
      <c r="AD6" s="57">
        <f t="shared" si="10"/>
        <v>31.307636416228764</v>
      </c>
      <c r="AE6" s="57">
        <f t="shared" si="10"/>
        <v>31.457303786680068</v>
      </c>
      <c r="AF6" s="57">
        <f t="shared" si="10"/>
        <v>31.68251791466145</v>
      </c>
      <c r="AG6" s="57">
        <f t="shared" si="10"/>
        <v>31.724112587267161</v>
      </c>
      <c r="AH6" s="57">
        <f t="shared" si="10"/>
        <v>31.690796687500711</v>
      </c>
      <c r="AI6" s="57">
        <f t="shared" si="10"/>
        <v>31.623640319071789</v>
      </c>
      <c r="AJ6" s="57">
        <f t="shared" si="10"/>
        <v>31.571987847794791</v>
      </c>
      <c r="AK6" s="57">
        <f t="shared" si="10"/>
        <v>31.42376776606546</v>
      </c>
      <c r="AL6" s="57">
        <f t="shared" si="10"/>
        <v>31.57989413287428</v>
      </c>
      <c r="AM6" s="57">
        <f t="shared" si="10"/>
        <v>31.561169092118412</v>
      </c>
      <c r="AN6" s="57">
        <f t="shared" si="10"/>
        <v>31.884327452678697</v>
      </c>
      <c r="AO6" s="57">
        <f t="shared" si="10"/>
        <v>31.688312029929328</v>
      </c>
      <c r="AP6" s="57">
        <f t="shared" si="10"/>
        <v>31.898362234758537</v>
      </c>
      <c r="AQ6" s="57">
        <f t="shared" ref="AQ6" si="11">(AQ5/AQ4)*100</f>
        <v>32.174757111422089</v>
      </c>
      <c r="AR6" s="57">
        <f t="shared" ref="AR6:AS6" si="12">(AR5/AR4)*100</f>
        <v>32.219872249390612</v>
      </c>
      <c r="AS6" s="57">
        <f t="shared" si="12"/>
        <v>32.886944286914137</v>
      </c>
      <c r="AT6" s="57">
        <f t="shared" ref="AT6:AU6" si="13">(AT5/AT4)*100</f>
        <v>32.390310721431824</v>
      </c>
      <c r="AU6" s="57">
        <f t="shared" si="13"/>
        <v>32.647344494318361</v>
      </c>
      <c r="AV6" s="57" t="e">
        <f t="shared" ref="AV6:AW6" si="14">(AV5/AV4)*100</f>
        <v>#DIV/0!</v>
      </c>
      <c r="AW6" s="57">
        <f t="shared" si="14"/>
        <v>33.017439330688134</v>
      </c>
      <c r="AX6" s="57">
        <f t="shared" ref="AX6:AY6" si="15">(AX5/AX4)*100</f>
        <v>33.306355961025048</v>
      </c>
      <c r="AY6" s="57">
        <f t="shared" si="15"/>
        <v>33.408487959664285</v>
      </c>
    </row>
    <row r="7" spans="1:51" s="7" customFormat="1">
      <c r="A7" s="54" t="s">
        <v>12</v>
      </c>
      <c r="B7" s="7">
        <v>6656</v>
      </c>
      <c r="C7" s="7">
        <v>6079</v>
      </c>
      <c r="D7" s="7">
        <v>12868</v>
      </c>
      <c r="E7" s="7">
        <v>13000</v>
      </c>
      <c r="F7" s="7">
        <v>13792</v>
      </c>
      <c r="G7" s="7">
        <v>13790</v>
      </c>
      <c r="H7" s="7">
        <v>14365</v>
      </c>
      <c r="I7" s="7">
        <v>14236</v>
      </c>
      <c r="J7" s="7">
        <v>14792</v>
      </c>
      <c r="K7" s="7">
        <v>15280</v>
      </c>
      <c r="L7" s="7">
        <v>16100</v>
      </c>
      <c r="M7" s="7">
        <v>16345</v>
      </c>
      <c r="N7" s="7">
        <v>16306</v>
      </c>
      <c r="O7" s="7">
        <v>16534</v>
      </c>
      <c r="P7" s="7">
        <v>16623</v>
      </c>
      <c r="Q7" s="7">
        <v>16217</v>
      </c>
      <c r="R7" s="7">
        <v>15909</v>
      </c>
      <c r="S7" s="7">
        <v>16334</v>
      </c>
      <c r="T7" s="7">
        <v>16068</v>
      </c>
      <c r="U7" s="7">
        <v>15975</v>
      </c>
      <c r="V7" s="7">
        <v>16270</v>
      </c>
      <c r="W7" s="7">
        <v>16508</v>
      </c>
      <c r="X7" s="7">
        <v>17111</v>
      </c>
      <c r="Y7" s="7">
        <v>18308</v>
      </c>
      <c r="Z7" s="7">
        <v>19628</v>
      </c>
      <c r="AA7" s="7">
        <v>20525</v>
      </c>
      <c r="AB7" s="7">
        <v>21150</v>
      </c>
      <c r="AC7" s="7">
        <v>19924</v>
      </c>
      <c r="AD7" s="7">
        <v>20108</v>
      </c>
      <c r="AE7" s="7">
        <v>20647</v>
      </c>
      <c r="AF7" s="7">
        <v>20335</v>
      </c>
      <c r="AG7" s="7">
        <v>20447</v>
      </c>
      <c r="AH7" s="7">
        <v>21293</v>
      </c>
      <c r="AI7" s="7">
        <v>20823</v>
      </c>
      <c r="AJ7" s="7">
        <v>20314</v>
      </c>
      <c r="AK7" s="47">
        <v>20479</v>
      </c>
      <c r="AL7" s="47">
        <v>21386</v>
      </c>
      <c r="AM7" s="47">
        <v>21616</v>
      </c>
      <c r="AN7" s="47">
        <v>21995</v>
      </c>
      <c r="AO7" s="47">
        <v>21981</v>
      </c>
      <c r="AP7" s="47">
        <v>23448</v>
      </c>
      <c r="AQ7" s="47">
        <v>24245</v>
      </c>
      <c r="AR7" s="47">
        <v>25662</v>
      </c>
      <c r="AS7" s="47">
        <v>25484</v>
      </c>
      <c r="AT7" s="7">
        <v>27439</v>
      </c>
      <c r="AU7" s="7">
        <v>29877</v>
      </c>
      <c r="AW7" s="7">
        <v>26768</v>
      </c>
      <c r="AX7" s="7">
        <v>27761</v>
      </c>
      <c r="AY7" s="7">
        <v>28561</v>
      </c>
    </row>
    <row r="8" spans="1:51" s="7" customFormat="1">
      <c r="A8" s="54" t="s">
        <v>13</v>
      </c>
      <c r="B8" s="7">
        <v>3354</v>
      </c>
      <c r="C8" s="7">
        <v>3547</v>
      </c>
      <c r="D8" s="7">
        <v>7287</v>
      </c>
      <c r="E8" s="7">
        <v>7284</v>
      </c>
      <c r="F8" s="7">
        <v>7111</v>
      </c>
      <c r="G8" s="7">
        <v>7124</v>
      </c>
      <c r="H8" s="7">
        <v>7035</v>
      </c>
      <c r="I8" s="7">
        <v>6997</v>
      </c>
      <c r="J8" s="7">
        <v>6959</v>
      </c>
      <c r="K8" s="7">
        <v>6581</v>
      </c>
      <c r="L8" s="7">
        <v>6522</v>
      </c>
      <c r="M8" s="7">
        <v>6708</v>
      </c>
      <c r="N8" s="7">
        <v>6965</v>
      </c>
      <c r="O8" s="7">
        <v>6955</v>
      </c>
      <c r="P8" s="7">
        <v>7243</v>
      </c>
      <c r="Q8" s="7">
        <v>7282</v>
      </c>
      <c r="R8" s="7">
        <v>7431</v>
      </c>
      <c r="S8" s="7">
        <v>7153</v>
      </c>
      <c r="T8" s="7">
        <v>7283</v>
      </c>
      <c r="U8" s="7">
        <v>7036</v>
      </c>
      <c r="V8" s="7">
        <v>7017</v>
      </c>
      <c r="W8" s="7">
        <v>7300</v>
      </c>
      <c r="X8" s="7">
        <v>7486</v>
      </c>
      <c r="Y8" s="7">
        <v>7729</v>
      </c>
      <c r="Z8" s="7">
        <v>8133</v>
      </c>
      <c r="AA8" s="7">
        <v>8449</v>
      </c>
      <c r="AB8" s="7">
        <v>8549</v>
      </c>
      <c r="AC8" s="7">
        <v>8623</v>
      </c>
      <c r="AD8" s="7">
        <v>9099</v>
      </c>
      <c r="AE8" s="7">
        <v>9214</v>
      </c>
      <c r="AF8" s="7">
        <v>9222</v>
      </c>
      <c r="AG8" s="7">
        <v>9248</v>
      </c>
      <c r="AH8" s="7">
        <v>9405</v>
      </c>
      <c r="AI8" s="7">
        <v>9628</v>
      </c>
      <c r="AJ8" s="7">
        <v>10078</v>
      </c>
      <c r="AK8" s="47">
        <v>10591</v>
      </c>
      <c r="AL8" s="47">
        <v>10784</v>
      </c>
      <c r="AM8" s="47">
        <v>11191</v>
      </c>
      <c r="AN8" s="47">
        <v>11340</v>
      </c>
      <c r="AO8" s="47">
        <v>11479</v>
      </c>
      <c r="AP8" s="47">
        <v>11574</v>
      </c>
      <c r="AQ8" s="47">
        <v>12027</v>
      </c>
      <c r="AR8" s="47">
        <v>12523</v>
      </c>
      <c r="AS8" s="47">
        <v>13259</v>
      </c>
      <c r="AT8" s="7">
        <v>14189</v>
      </c>
      <c r="AU8" s="7">
        <v>14318</v>
      </c>
      <c r="AW8" s="7">
        <v>15881</v>
      </c>
      <c r="AX8" s="7">
        <v>16019</v>
      </c>
      <c r="AY8" s="7">
        <v>16107</v>
      </c>
    </row>
    <row r="9" spans="1:51" s="7" customFormat="1">
      <c r="A9" s="54" t="s">
        <v>55</v>
      </c>
      <c r="D9" s="7">
        <v>1533</v>
      </c>
      <c r="E9" s="7">
        <v>1602</v>
      </c>
      <c r="F9" s="7">
        <v>2103</v>
      </c>
      <c r="G9" s="7">
        <v>2417</v>
      </c>
      <c r="H9" s="7">
        <v>2551</v>
      </c>
      <c r="I9" s="7">
        <v>2776</v>
      </c>
      <c r="J9" s="7">
        <v>2808</v>
      </c>
      <c r="K9" s="7">
        <v>3016</v>
      </c>
      <c r="L9" s="7">
        <v>2997</v>
      </c>
      <c r="M9" s="7">
        <v>3053</v>
      </c>
      <c r="N9" s="7">
        <v>3276</v>
      </c>
      <c r="O9" s="7">
        <v>3194</v>
      </c>
      <c r="P9" s="7">
        <v>3224</v>
      </c>
      <c r="Q9" s="7">
        <v>3281</v>
      </c>
      <c r="R9" s="7">
        <v>3324</v>
      </c>
      <c r="S9" s="7">
        <v>3137</v>
      </c>
      <c r="T9" s="7">
        <v>3198</v>
      </c>
      <c r="U9" s="7">
        <v>3246</v>
      </c>
      <c r="V9" s="7">
        <v>3485</v>
      </c>
      <c r="W9" s="7">
        <v>3414</v>
      </c>
      <c r="X9" s="7">
        <v>3539</v>
      </c>
      <c r="Y9" s="7">
        <v>4008</v>
      </c>
      <c r="Z9" s="7">
        <v>4121</v>
      </c>
      <c r="AA9" s="7">
        <v>4119</v>
      </c>
      <c r="AB9" s="7">
        <v>4187</v>
      </c>
      <c r="AC9" s="7">
        <v>4466</v>
      </c>
      <c r="AD9" s="7">
        <v>4384</v>
      </c>
      <c r="AE9" s="7">
        <v>4334</v>
      </c>
      <c r="AF9" s="7">
        <v>4418</v>
      </c>
      <c r="AG9" s="7">
        <v>4554</v>
      </c>
      <c r="AH9" s="7">
        <v>4665</v>
      </c>
      <c r="AI9" s="7">
        <v>4504</v>
      </c>
      <c r="AJ9" s="7">
        <v>4936</v>
      </c>
      <c r="AK9" s="47">
        <v>5164</v>
      </c>
      <c r="AL9" s="47">
        <v>5101</v>
      </c>
      <c r="AM9" s="47">
        <v>5247</v>
      </c>
      <c r="AN9" s="47">
        <v>5410</v>
      </c>
      <c r="AO9" s="47">
        <v>5113</v>
      </c>
      <c r="AP9" s="47">
        <v>5322</v>
      </c>
      <c r="AQ9" s="47">
        <v>5472</v>
      </c>
      <c r="AR9" s="47">
        <v>5492</v>
      </c>
      <c r="AS9" s="47">
        <v>5877</v>
      </c>
      <c r="AT9" s="7">
        <v>5885</v>
      </c>
      <c r="AU9" s="7">
        <v>6230</v>
      </c>
      <c r="AW9" s="7">
        <v>6895</v>
      </c>
      <c r="AX9" s="7">
        <v>6988</v>
      </c>
      <c r="AY9" s="7">
        <v>6873</v>
      </c>
    </row>
    <row r="10" spans="1:51" s="7" customFormat="1">
      <c r="A10" s="54" t="s">
        <v>14</v>
      </c>
      <c r="B10" s="7">
        <v>7128</v>
      </c>
      <c r="C10" s="7">
        <v>6040</v>
      </c>
      <c r="D10" s="7">
        <v>19773</v>
      </c>
      <c r="E10" s="7">
        <v>20933</v>
      </c>
      <c r="F10" s="7">
        <v>22817</v>
      </c>
      <c r="G10" s="7">
        <v>24252</v>
      </c>
      <c r="H10" s="7">
        <v>26837</v>
      </c>
      <c r="I10" s="7">
        <v>26313</v>
      </c>
      <c r="J10" s="7">
        <v>27540</v>
      </c>
      <c r="K10" s="7">
        <v>28300</v>
      </c>
      <c r="L10" s="7">
        <v>27770</v>
      </c>
      <c r="M10" s="7">
        <v>28523</v>
      </c>
      <c r="N10" s="7">
        <v>28629</v>
      </c>
      <c r="O10" s="7">
        <v>29988</v>
      </c>
      <c r="P10" s="7">
        <v>28556</v>
      </c>
      <c r="Q10" s="7">
        <v>31184</v>
      </c>
      <c r="R10" s="7">
        <v>30102</v>
      </c>
      <c r="S10" s="7">
        <v>31289</v>
      </c>
      <c r="T10" s="7">
        <v>32056</v>
      </c>
      <c r="U10" s="7">
        <v>31430</v>
      </c>
      <c r="V10" s="7">
        <v>32345</v>
      </c>
      <c r="W10" s="7">
        <v>34039</v>
      </c>
      <c r="X10" s="7">
        <v>35600</v>
      </c>
      <c r="Y10" s="7">
        <v>38927</v>
      </c>
      <c r="Z10" s="7">
        <v>41090</v>
      </c>
      <c r="AA10" s="7">
        <v>43212</v>
      </c>
      <c r="AB10" s="7">
        <v>44075</v>
      </c>
      <c r="AC10" s="7">
        <v>44924</v>
      </c>
      <c r="AD10" s="7">
        <v>46311</v>
      </c>
      <c r="AE10" s="7">
        <v>47530</v>
      </c>
      <c r="AF10" s="7">
        <v>48463</v>
      </c>
      <c r="AG10" s="7">
        <v>49531</v>
      </c>
      <c r="AH10" s="7">
        <v>51333</v>
      </c>
      <c r="AI10" s="7">
        <v>52557</v>
      </c>
      <c r="AJ10" s="7">
        <v>56351</v>
      </c>
      <c r="AK10" s="47">
        <v>59173</v>
      </c>
      <c r="AL10" s="47">
        <v>63699</v>
      </c>
      <c r="AM10" s="47">
        <v>65839</v>
      </c>
      <c r="AN10" s="47">
        <v>69899</v>
      </c>
      <c r="AO10" s="47">
        <v>73874</v>
      </c>
      <c r="AP10" s="47">
        <v>77460</v>
      </c>
      <c r="AQ10" s="47">
        <v>80275</v>
      </c>
      <c r="AR10" s="47">
        <v>83370</v>
      </c>
      <c r="AS10" s="47">
        <v>86198</v>
      </c>
      <c r="AT10" s="7">
        <v>90583</v>
      </c>
      <c r="AU10" s="7">
        <v>93830</v>
      </c>
      <c r="AW10" s="7">
        <v>99848</v>
      </c>
      <c r="AX10" s="7">
        <v>101241</v>
      </c>
      <c r="AY10" s="7">
        <v>103018</v>
      </c>
    </row>
    <row r="11" spans="1:51" s="7" customFormat="1">
      <c r="A11" s="54" t="s">
        <v>15</v>
      </c>
      <c r="B11" s="7">
        <v>6718</v>
      </c>
      <c r="C11" s="7">
        <v>5756</v>
      </c>
      <c r="D11" s="7">
        <v>13911</v>
      </c>
      <c r="E11" s="7">
        <v>15117</v>
      </c>
      <c r="F11" s="7">
        <v>15913</v>
      </c>
      <c r="G11" s="7">
        <v>16032</v>
      </c>
      <c r="H11" s="7">
        <v>16921</v>
      </c>
      <c r="I11" s="7">
        <v>16759</v>
      </c>
      <c r="J11" s="7">
        <v>16791</v>
      </c>
      <c r="K11" s="7">
        <v>16377</v>
      </c>
      <c r="L11" s="7">
        <v>16351</v>
      </c>
      <c r="M11" s="7">
        <v>16135</v>
      </c>
      <c r="N11" s="7">
        <v>16579</v>
      </c>
      <c r="O11" s="7">
        <v>17014</v>
      </c>
      <c r="P11" s="7">
        <v>17325</v>
      </c>
      <c r="Q11" s="7">
        <v>17920</v>
      </c>
      <c r="R11" s="7">
        <v>17741</v>
      </c>
      <c r="S11" s="7">
        <v>18401</v>
      </c>
      <c r="T11" s="7">
        <v>18734</v>
      </c>
      <c r="U11" s="7">
        <v>19103</v>
      </c>
      <c r="V11" s="7">
        <v>19481</v>
      </c>
      <c r="W11" s="7">
        <v>19883</v>
      </c>
      <c r="X11" s="7">
        <v>21415</v>
      </c>
      <c r="Y11" s="7">
        <v>22322</v>
      </c>
      <c r="Z11" s="7">
        <v>23493</v>
      </c>
      <c r="AA11" s="7">
        <v>25390</v>
      </c>
      <c r="AB11" s="7">
        <v>26283</v>
      </c>
      <c r="AC11" s="7">
        <v>26312</v>
      </c>
      <c r="AD11" s="7">
        <v>27446</v>
      </c>
      <c r="AE11" s="7">
        <v>27519</v>
      </c>
      <c r="AF11" s="7">
        <v>29408</v>
      </c>
      <c r="AG11" s="7">
        <v>28915</v>
      </c>
      <c r="AH11" s="7">
        <v>29219</v>
      </c>
      <c r="AI11" s="7">
        <v>28790</v>
      </c>
      <c r="AJ11" s="7">
        <v>29999</v>
      </c>
      <c r="AK11" s="47">
        <v>31953</v>
      </c>
      <c r="AL11" s="47">
        <v>36162</v>
      </c>
      <c r="AM11" s="47">
        <v>35515</v>
      </c>
      <c r="AN11" s="47">
        <v>36332</v>
      </c>
      <c r="AO11" s="47">
        <v>37418</v>
      </c>
      <c r="AP11" s="47">
        <v>39035</v>
      </c>
      <c r="AQ11" s="47">
        <v>40461</v>
      </c>
      <c r="AR11" s="47">
        <v>42245</v>
      </c>
      <c r="AS11" s="47">
        <v>44626</v>
      </c>
      <c r="AT11" s="7">
        <v>45814</v>
      </c>
      <c r="AU11" s="7">
        <v>47189</v>
      </c>
      <c r="AW11" s="7">
        <v>48943</v>
      </c>
      <c r="AX11" s="7">
        <v>49738</v>
      </c>
      <c r="AY11" s="7">
        <v>50986</v>
      </c>
    </row>
    <row r="12" spans="1:51" s="7" customFormat="1">
      <c r="A12" s="54" t="s">
        <v>16</v>
      </c>
      <c r="B12" s="7">
        <v>5071</v>
      </c>
      <c r="C12" s="7">
        <v>5306</v>
      </c>
      <c r="D12" s="7">
        <v>12018</v>
      </c>
      <c r="E12" s="7">
        <v>12459</v>
      </c>
      <c r="F12" s="7">
        <v>12309</v>
      </c>
      <c r="G12" s="7">
        <v>12716</v>
      </c>
      <c r="H12" s="7">
        <v>12539</v>
      </c>
      <c r="I12" s="7">
        <v>12000</v>
      </c>
      <c r="J12" s="7">
        <v>11819</v>
      </c>
      <c r="K12" s="7">
        <v>11337</v>
      </c>
      <c r="L12" s="7">
        <v>11226</v>
      </c>
      <c r="M12" s="7">
        <v>11220</v>
      </c>
      <c r="N12" s="7">
        <v>11491</v>
      </c>
      <c r="O12" s="7">
        <v>11509</v>
      </c>
      <c r="P12" s="7">
        <v>11586</v>
      </c>
      <c r="Q12" s="7">
        <v>11591</v>
      </c>
      <c r="R12" s="7">
        <v>11717</v>
      </c>
      <c r="S12" s="7">
        <v>11572</v>
      </c>
      <c r="T12" s="7">
        <v>11773</v>
      </c>
      <c r="U12" s="7">
        <v>11707</v>
      </c>
      <c r="V12" s="7">
        <v>12074</v>
      </c>
      <c r="W12" s="7">
        <v>12337</v>
      </c>
      <c r="X12" s="7">
        <v>12225</v>
      </c>
      <c r="Y12" s="7">
        <v>12973</v>
      </c>
      <c r="Z12" s="7">
        <v>13861</v>
      </c>
      <c r="AA12" s="7">
        <v>14396</v>
      </c>
      <c r="AB12" s="7">
        <v>14629</v>
      </c>
      <c r="AC12" s="7">
        <v>14570</v>
      </c>
      <c r="AD12" s="7">
        <v>14680</v>
      </c>
      <c r="AE12" s="7">
        <v>14674</v>
      </c>
      <c r="AF12" s="7">
        <v>14977</v>
      </c>
      <c r="AG12" s="7">
        <v>15516</v>
      </c>
      <c r="AH12" s="7">
        <v>15643</v>
      </c>
      <c r="AI12" s="7">
        <v>15434</v>
      </c>
      <c r="AJ12" s="7">
        <v>16401</v>
      </c>
      <c r="AK12" s="47">
        <v>16254</v>
      </c>
      <c r="AL12" s="47">
        <v>17243</v>
      </c>
      <c r="AM12" s="47">
        <v>17862</v>
      </c>
      <c r="AN12" s="47">
        <v>18646</v>
      </c>
      <c r="AO12" s="47">
        <v>19079</v>
      </c>
      <c r="AP12" s="47">
        <v>19639</v>
      </c>
      <c r="AQ12" s="47">
        <v>19996</v>
      </c>
      <c r="AR12" s="47">
        <v>20364</v>
      </c>
      <c r="AS12" s="47">
        <v>21077</v>
      </c>
      <c r="AT12" s="7">
        <v>21525</v>
      </c>
      <c r="AU12" s="7">
        <v>21865</v>
      </c>
      <c r="AW12" s="7">
        <v>22608</v>
      </c>
      <c r="AX12" s="7">
        <v>23221</v>
      </c>
      <c r="AY12" s="7">
        <v>23752</v>
      </c>
    </row>
    <row r="13" spans="1:51" s="7" customFormat="1">
      <c r="A13" s="54" t="s">
        <v>17</v>
      </c>
      <c r="B13" s="7">
        <v>6042</v>
      </c>
      <c r="C13" s="7">
        <v>6201</v>
      </c>
      <c r="D13" s="7">
        <v>13617</v>
      </c>
      <c r="E13" s="7">
        <v>14051</v>
      </c>
      <c r="F13" s="7">
        <v>14259</v>
      </c>
      <c r="G13" s="7">
        <v>15228</v>
      </c>
      <c r="H13" s="7">
        <v>15975</v>
      </c>
      <c r="I13" s="7">
        <v>16061</v>
      </c>
      <c r="J13" s="7">
        <v>15969</v>
      </c>
      <c r="K13" s="7">
        <v>15370</v>
      </c>
      <c r="L13" s="7">
        <v>15307</v>
      </c>
      <c r="M13" s="7">
        <v>14765</v>
      </c>
      <c r="N13" s="7">
        <v>14774</v>
      </c>
      <c r="O13" s="7">
        <v>14821</v>
      </c>
      <c r="P13" s="7">
        <v>15313</v>
      </c>
      <c r="Q13" s="7">
        <v>15533</v>
      </c>
      <c r="R13" s="7">
        <v>16020</v>
      </c>
      <c r="S13" s="7">
        <v>16070</v>
      </c>
      <c r="T13" s="7">
        <v>16535</v>
      </c>
      <c r="U13" s="7">
        <v>16221</v>
      </c>
      <c r="V13" s="7">
        <v>16367</v>
      </c>
      <c r="W13" s="7">
        <v>16210</v>
      </c>
      <c r="X13" s="7">
        <v>15905</v>
      </c>
      <c r="Y13" s="7">
        <v>16309</v>
      </c>
      <c r="Z13" s="7">
        <v>16985</v>
      </c>
      <c r="AA13" s="7">
        <v>17825</v>
      </c>
      <c r="AB13" s="7">
        <v>17787</v>
      </c>
      <c r="AC13" s="7">
        <v>17920</v>
      </c>
      <c r="AD13" s="7">
        <v>17985</v>
      </c>
      <c r="AE13" s="7">
        <v>17507</v>
      </c>
      <c r="AF13" s="7">
        <v>18553</v>
      </c>
      <c r="AG13" s="7">
        <v>18767</v>
      </c>
      <c r="AH13" s="7">
        <v>19844</v>
      </c>
      <c r="AI13" s="7">
        <v>19990</v>
      </c>
      <c r="AJ13" s="7">
        <v>20312</v>
      </c>
      <c r="AK13" s="47">
        <v>21182</v>
      </c>
      <c r="AL13" s="47">
        <v>21336</v>
      </c>
      <c r="AM13" s="47">
        <v>21494</v>
      </c>
      <c r="AN13" s="47">
        <v>19936</v>
      </c>
      <c r="AO13" s="47">
        <v>21671</v>
      </c>
      <c r="AP13" s="47">
        <v>21163</v>
      </c>
      <c r="AQ13" s="47">
        <v>21425</v>
      </c>
      <c r="AR13" s="47">
        <v>20893</v>
      </c>
      <c r="AS13" s="47">
        <v>21509</v>
      </c>
      <c r="AT13" s="7">
        <v>22015</v>
      </c>
      <c r="AU13" s="7">
        <v>22334</v>
      </c>
      <c r="AW13" s="7">
        <v>22247</v>
      </c>
      <c r="AX13" s="7">
        <v>22602</v>
      </c>
      <c r="AY13" s="7">
        <v>22542</v>
      </c>
    </row>
    <row r="14" spans="1:51" s="7" customFormat="1">
      <c r="A14" s="54" t="s">
        <v>18</v>
      </c>
      <c r="B14" s="7">
        <v>5847</v>
      </c>
      <c r="C14" s="7">
        <v>4992</v>
      </c>
      <c r="D14" s="7">
        <v>12076</v>
      </c>
      <c r="E14" s="7">
        <v>12598</v>
      </c>
      <c r="F14" s="7">
        <v>13815</v>
      </c>
      <c r="G14" s="7">
        <v>14792</v>
      </c>
      <c r="H14" s="7">
        <v>16181</v>
      </c>
      <c r="I14" s="7">
        <v>16486</v>
      </c>
      <c r="J14" s="7">
        <v>16098</v>
      </c>
      <c r="K14" s="7">
        <v>16337</v>
      </c>
      <c r="L14" s="7">
        <v>16401</v>
      </c>
      <c r="M14" s="7">
        <v>15550</v>
      </c>
      <c r="N14" s="7">
        <v>15698</v>
      </c>
      <c r="O14" s="7">
        <v>15859</v>
      </c>
      <c r="P14" s="7">
        <v>16111</v>
      </c>
      <c r="Q14" s="7">
        <v>16056</v>
      </c>
      <c r="R14" s="7">
        <v>15840</v>
      </c>
      <c r="S14" s="7">
        <v>15690</v>
      </c>
      <c r="T14" s="7">
        <v>16582</v>
      </c>
      <c r="U14" s="7">
        <v>16760</v>
      </c>
      <c r="V14" s="7">
        <v>17334</v>
      </c>
      <c r="W14" s="7">
        <v>17928</v>
      </c>
      <c r="X14" s="7">
        <v>18493</v>
      </c>
      <c r="Y14" s="7">
        <v>19235</v>
      </c>
      <c r="Z14" s="7">
        <v>20324</v>
      </c>
      <c r="AA14" s="7">
        <v>20427</v>
      </c>
      <c r="AB14" s="7">
        <v>20720</v>
      </c>
      <c r="AC14" s="7">
        <v>19908</v>
      </c>
      <c r="AD14" s="7">
        <v>19942</v>
      </c>
      <c r="AE14" s="7">
        <v>20384</v>
      </c>
      <c r="AF14" s="7">
        <v>20809</v>
      </c>
      <c r="AG14" s="7">
        <v>20948</v>
      </c>
      <c r="AH14" s="7">
        <v>21136</v>
      </c>
      <c r="AI14" s="7">
        <v>22085</v>
      </c>
      <c r="AJ14" s="7">
        <v>22330</v>
      </c>
      <c r="AK14" s="47">
        <v>23556</v>
      </c>
      <c r="AL14" s="47">
        <v>23999</v>
      </c>
      <c r="AM14" s="47">
        <v>25018</v>
      </c>
      <c r="AN14" s="47">
        <v>25693</v>
      </c>
      <c r="AO14" s="47">
        <v>25694</v>
      </c>
      <c r="AP14" s="47">
        <v>26085</v>
      </c>
      <c r="AQ14" s="47">
        <v>26854</v>
      </c>
      <c r="AR14" s="47">
        <v>27572</v>
      </c>
      <c r="AS14" s="47">
        <v>29247</v>
      </c>
      <c r="AT14" s="7">
        <v>30863</v>
      </c>
      <c r="AU14" s="7">
        <v>31729</v>
      </c>
      <c r="AW14" s="7">
        <v>33219</v>
      </c>
      <c r="AX14" s="7">
        <v>33882</v>
      </c>
      <c r="AY14" s="7">
        <v>34150</v>
      </c>
    </row>
    <row r="15" spans="1:51" s="7" customFormat="1">
      <c r="A15" s="54" t="s">
        <v>19</v>
      </c>
      <c r="B15" s="7">
        <v>3677</v>
      </c>
      <c r="C15" s="7">
        <v>4893</v>
      </c>
      <c r="D15" s="7">
        <v>8784</v>
      </c>
      <c r="E15" s="7">
        <v>8816</v>
      </c>
      <c r="F15" s="7">
        <v>9054</v>
      </c>
      <c r="G15" s="7">
        <v>9215</v>
      </c>
      <c r="H15" s="7">
        <v>9843</v>
      </c>
      <c r="I15" s="7">
        <v>9643</v>
      </c>
      <c r="J15" s="7">
        <v>9061</v>
      </c>
      <c r="K15" s="7">
        <v>9055</v>
      </c>
      <c r="L15" s="7">
        <v>8784</v>
      </c>
      <c r="M15" s="7">
        <v>8687</v>
      </c>
      <c r="N15" s="7">
        <v>8805</v>
      </c>
      <c r="O15" s="7">
        <v>8982</v>
      </c>
      <c r="P15" s="7">
        <v>8577</v>
      </c>
      <c r="Q15" s="7">
        <v>9020</v>
      </c>
      <c r="R15" s="7">
        <v>8987</v>
      </c>
      <c r="S15" s="7">
        <v>8644</v>
      </c>
      <c r="T15" s="7">
        <v>8911</v>
      </c>
      <c r="U15" s="7">
        <v>9173</v>
      </c>
      <c r="V15" s="7">
        <v>8486</v>
      </c>
      <c r="W15" s="7">
        <v>8227</v>
      </c>
      <c r="X15" s="7">
        <v>8808</v>
      </c>
      <c r="Y15" s="7">
        <v>9106</v>
      </c>
      <c r="Z15" s="7">
        <v>10054</v>
      </c>
      <c r="AA15" s="7">
        <v>10673</v>
      </c>
      <c r="AB15" s="7">
        <v>10524</v>
      </c>
      <c r="AC15" s="7">
        <v>10335</v>
      </c>
      <c r="AD15" s="7">
        <v>9983</v>
      </c>
      <c r="AE15" s="7">
        <v>10252</v>
      </c>
      <c r="AF15" s="7">
        <v>10290</v>
      </c>
      <c r="AG15" s="7">
        <v>10750</v>
      </c>
      <c r="AH15" s="7">
        <v>10988</v>
      </c>
      <c r="AI15" s="7">
        <v>11232</v>
      </c>
      <c r="AJ15" s="7">
        <v>11899</v>
      </c>
      <c r="AK15" s="47">
        <v>11797</v>
      </c>
      <c r="AL15" s="47">
        <v>11663</v>
      </c>
      <c r="AM15" s="47">
        <v>11681</v>
      </c>
      <c r="AN15" s="47">
        <v>11803</v>
      </c>
      <c r="AO15" s="47">
        <v>12052</v>
      </c>
      <c r="AP15" s="47">
        <v>12186</v>
      </c>
      <c r="AQ15" s="47">
        <v>12430</v>
      </c>
      <c r="AR15" s="47">
        <v>12953</v>
      </c>
      <c r="AS15" s="47">
        <v>13230</v>
      </c>
      <c r="AT15" s="7">
        <v>13516</v>
      </c>
      <c r="AU15" s="7">
        <v>14076</v>
      </c>
      <c r="AW15" s="7">
        <v>14296</v>
      </c>
      <c r="AX15" s="7">
        <v>14702</v>
      </c>
      <c r="AY15" s="7">
        <v>15219</v>
      </c>
    </row>
    <row r="16" spans="1:51" s="7" customFormat="1">
      <c r="A16" s="54" t="s">
        <v>20</v>
      </c>
      <c r="B16" s="7">
        <v>8129</v>
      </c>
      <c r="C16" s="7">
        <v>8429</v>
      </c>
      <c r="D16" s="7">
        <v>18587</v>
      </c>
      <c r="E16" s="7">
        <v>19847</v>
      </c>
      <c r="F16" s="7">
        <v>20776</v>
      </c>
      <c r="G16" s="7">
        <v>22094</v>
      </c>
      <c r="H16" s="7">
        <v>22943</v>
      </c>
      <c r="I16" s="7">
        <v>23406</v>
      </c>
      <c r="J16" s="7">
        <v>23410</v>
      </c>
      <c r="K16" s="7">
        <v>23244</v>
      </c>
      <c r="L16" s="7">
        <v>23792</v>
      </c>
      <c r="M16" s="7">
        <v>23640</v>
      </c>
      <c r="N16" s="7">
        <v>23689</v>
      </c>
      <c r="O16" s="7">
        <v>23712</v>
      </c>
      <c r="P16" s="7">
        <v>24113</v>
      </c>
      <c r="Q16" s="7">
        <v>24448</v>
      </c>
      <c r="R16" s="7">
        <v>25225</v>
      </c>
      <c r="S16" s="7">
        <v>25008</v>
      </c>
      <c r="T16" s="7">
        <v>25125</v>
      </c>
      <c r="U16" s="7">
        <v>24919</v>
      </c>
      <c r="V16" s="7">
        <v>25688</v>
      </c>
      <c r="W16" s="7">
        <v>26981</v>
      </c>
      <c r="X16" s="7">
        <v>27288</v>
      </c>
      <c r="Y16" s="7">
        <v>28795</v>
      </c>
      <c r="Z16" s="7">
        <v>30826</v>
      </c>
      <c r="AA16" s="7">
        <v>31852</v>
      </c>
      <c r="AB16" s="7">
        <v>32730</v>
      </c>
      <c r="AC16" s="7">
        <v>32321</v>
      </c>
      <c r="AD16" s="7">
        <v>32761</v>
      </c>
      <c r="AE16" s="7">
        <v>34202</v>
      </c>
      <c r="AF16" s="7">
        <v>34129</v>
      </c>
      <c r="AG16" s="7">
        <v>34629</v>
      </c>
      <c r="AH16" s="7">
        <v>35257</v>
      </c>
      <c r="AI16" s="7">
        <v>34767</v>
      </c>
      <c r="AJ16" s="7">
        <v>36071</v>
      </c>
      <c r="AK16" s="47">
        <v>37272</v>
      </c>
      <c r="AL16" s="47">
        <v>38803</v>
      </c>
      <c r="AM16" s="47">
        <v>39303</v>
      </c>
      <c r="AN16" s="47">
        <v>39969</v>
      </c>
      <c r="AO16" s="47">
        <v>41263</v>
      </c>
      <c r="AP16" s="47">
        <v>43452</v>
      </c>
      <c r="AQ16" s="47">
        <v>44834</v>
      </c>
      <c r="AR16" s="47">
        <v>46528</v>
      </c>
      <c r="AS16" s="47">
        <v>48670</v>
      </c>
      <c r="AT16" s="7">
        <v>50722</v>
      </c>
      <c r="AU16" s="7">
        <v>51782</v>
      </c>
      <c r="AW16" s="7">
        <v>52889</v>
      </c>
      <c r="AX16" s="7">
        <v>53526</v>
      </c>
      <c r="AY16" s="7">
        <v>54947</v>
      </c>
    </row>
    <row r="17" spans="1:51" s="7" customFormat="1">
      <c r="A17" s="54" t="s">
        <v>21</v>
      </c>
      <c r="B17" s="7">
        <v>7594</v>
      </c>
      <c r="C17" s="7">
        <v>6569</v>
      </c>
      <c r="D17" s="7">
        <v>12012</v>
      </c>
      <c r="E17" s="7">
        <v>12488</v>
      </c>
      <c r="F17" s="7">
        <v>13164</v>
      </c>
      <c r="G17" s="7">
        <v>13457</v>
      </c>
      <c r="H17" s="7">
        <v>13873</v>
      </c>
      <c r="I17" s="7">
        <v>13494</v>
      </c>
      <c r="J17" s="7">
        <v>13328</v>
      </c>
      <c r="K17" s="7">
        <v>12778</v>
      </c>
      <c r="L17" s="7">
        <v>12744</v>
      </c>
      <c r="M17" s="7">
        <v>12855</v>
      </c>
      <c r="N17" s="7">
        <v>12741</v>
      </c>
      <c r="O17" s="7">
        <v>12818</v>
      </c>
      <c r="P17" s="7">
        <v>12419</v>
      </c>
      <c r="Q17" s="7">
        <v>12404</v>
      </c>
      <c r="R17" s="7">
        <v>12598</v>
      </c>
      <c r="S17" s="7">
        <v>13287</v>
      </c>
      <c r="T17" s="7">
        <v>13498</v>
      </c>
      <c r="U17" s="7">
        <v>13545</v>
      </c>
      <c r="V17" s="7">
        <v>13173</v>
      </c>
      <c r="W17" s="7">
        <v>13617</v>
      </c>
      <c r="X17" s="7">
        <v>13601</v>
      </c>
      <c r="Y17" s="7">
        <v>14067</v>
      </c>
      <c r="Z17" s="7">
        <v>14542</v>
      </c>
      <c r="AA17" s="7">
        <v>15002</v>
      </c>
      <c r="AB17" s="7">
        <v>15734</v>
      </c>
      <c r="AC17" s="7">
        <v>15307</v>
      </c>
      <c r="AD17" s="7">
        <v>14422</v>
      </c>
      <c r="AE17" s="7">
        <v>15123</v>
      </c>
      <c r="AF17" s="7">
        <v>15887</v>
      </c>
      <c r="AG17" s="7">
        <v>15756</v>
      </c>
      <c r="AH17" s="7">
        <v>15578</v>
      </c>
      <c r="AI17" s="7">
        <v>15932</v>
      </c>
      <c r="AJ17" s="7">
        <v>16232</v>
      </c>
      <c r="AK17" s="47">
        <v>16663</v>
      </c>
      <c r="AL17" s="47">
        <v>17424</v>
      </c>
      <c r="AM17" s="47">
        <v>18266</v>
      </c>
      <c r="AN17" s="47">
        <v>18909</v>
      </c>
      <c r="AO17" s="47">
        <v>18892</v>
      </c>
      <c r="AP17" s="47">
        <v>19218</v>
      </c>
      <c r="AQ17" s="47">
        <v>19634</v>
      </c>
      <c r="AR17" s="47">
        <v>19535</v>
      </c>
      <c r="AS17" s="47">
        <v>19511</v>
      </c>
      <c r="AT17" s="7">
        <v>19846</v>
      </c>
      <c r="AU17" s="7">
        <v>20047</v>
      </c>
      <c r="AW17" s="7">
        <v>20730</v>
      </c>
      <c r="AX17" s="7">
        <v>21024</v>
      </c>
      <c r="AY17" s="7">
        <v>21141</v>
      </c>
    </row>
    <row r="18" spans="1:51" s="7" customFormat="1">
      <c r="A18" s="54" t="s">
        <v>22</v>
      </c>
      <c r="B18" s="7">
        <v>4717</v>
      </c>
      <c r="C18" s="7">
        <v>4078</v>
      </c>
      <c r="D18" s="7">
        <v>7835</v>
      </c>
      <c r="E18" s="7">
        <v>8039</v>
      </c>
      <c r="F18" s="7">
        <v>8715</v>
      </c>
      <c r="G18" s="7">
        <v>9525</v>
      </c>
      <c r="H18" s="7">
        <v>10378</v>
      </c>
      <c r="I18" s="7">
        <v>10796</v>
      </c>
      <c r="J18" s="7">
        <v>11136</v>
      </c>
      <c r="K18" s="7">
        <v>11168</v>
      </c>
      <c r="L18" s="7">
        <v>11343</v>
      </c>
      <c r="M18" s="7">
        <v>11406</v>
      </c>
      <c r="N18" s="7">
        <v>11924</v>
      </c>
      <c r="O18" s="7">
        <v>11358</v>
      </c>
      <c r="P18" s="7">
        <v>11590</v>
      </c>
      <c r="Q18" s="7">
        <v>12289</v>
      </c>
      <c r="R18" s="7">
        <v>12387</v>
      </c>
      <c r="S18" s="7">
        <v>12422</v>
      </c>
      <c r="T18" s="7">
        <v>12814</v>
      </c>
      <c r="U18" s="7">
        <v>12547</v>
      </c>
      <c r="V18" s="7">
        <v>12136</v>
      </c>
      <c r="W18" s="7">
        <v>12524</v>
      </c>
      <c r="X18" s="7">
        <v>13215</v>
      </c>
      <c r="Y18" s="7">
        <v>14250</v>
      </c>
      <c r="Z18" s="7">
        <v>14219</v>
      </c>
      <c r="AA18" s="7">
        <v>15254</v>
      </c>
      <c r="AB18" s="7">
        <v>15318</v>
      </c>
      <c r="AC18" s="7">
        <v>15176</v>
      </c>
      <c r="AD18" s="7">
        <v>15088</v>
      </c>
      <c r="AE18" s="7">
        <v>15267</v>
      </c>
      <c r="AF18" s="7">
        <v>15174</v>
      </c>
      <c r="AG18" s="7">
        <v>15764</v>
      </c>
      <c r="AH18" s="7">
        <v>16033</v>
      </c>
      <c r="AI18" s="7">
        <v>16316</v>
      </c>
      <c r="AJ18" s="7">
        <v>16886</v>
      </c>
      <c r="AK18" s="47">
        <v>17817</v>
      </c>
      <c r="AL18" s="47">
        <v>17891</v>
      </c>
      <c r="AM18" s="47">
        <v>18795</v>
      </c>
      <c r="AN18" s="47">
        <v>19313</v>
      </c>
      <c r="AO18" s="47">
        <v>19484</v>
      </c>
      <c r="AP18" s="47">
        <v>20257</v>
      </c>
      <c r="AQ18" s="47">
        <v>21058</v>
      </c>
      <c r="AR18" s="47">
        <v>21720</v>
      </c>
      <c r="AS18" s="47">
        <v>23034</v>
      </c>
      <c r="AT18" s="7">
        <v>22973</v>
      </c>
      <c r="AU18" s="7">
        <v>24004</v>
      </c>
      <c r="AW18" s="7">
        <v>24823</v>
      </c>
      <c r="AX18" s="7">
        <v>25107</v>
      </c>
      <c r="AY18" s="7">
        <v>25831</v>
      </c>
    </row>
    <row r="19" spans="1:51" s="7" customFormat="1">
      <c r="A19" s="54" t="s">
        <v>23</v>
      </c>
      <c r="B19" s="7">
        <v>7157</v>
      </c>
      <c r="C19" s="7">
        <v>7035</v>
      </c>
      <c r="D19" s="7">
        <v>15916</v>
      </c>
      <c r="E19" s="7">
        <v>16575</v>
      </c>
      <c r="F19" s="7">
        <v>17211</v>
      </c>
      <c r="G19" s="7">
        <v>17723</v>
      </c>
      <c r="H19" s="7">
        <v>17985</v>
      </c>
      <c r="I19" s="7">
        <v>17623</v>
      </c>
      <c r="J19" s="7">
        <v>17807</v>
      </c>
      <c r="K19" s="7">
        <v>17806</v>
      </c>
      <c r="L19" s="7">
        <v>17801</v>
      </c>
      <c r="M19" s="7">
        <v>17599</v>
      </c>
      <c r="N19" s="7">
        <v>17894</v>
      </c>
      <c r="O19" s="7">
        <v>17409</v>
      </c>
      <c r="P19" s="7">
        <v>17685</v>
      </c>
      <c r="Q19" s="7">
        <v>16977</v>
      </c>
      <c r="R19" s="7">
        <v>17218</v>
      </c>
      <c r="S19" s="7">
        <v>17029</v>
      </c>
      <c r="T19" s="7">
        <v>17512</v>
      </c>
      <c r="U19" s="7">
        <v>17329</v>
      </c>
      <c r="V19" s="7">
        <v>17159</v>
      </c>
      <c r="W19" s="7">
        <v>17398</v>
      </c>
      <c r="X19" s="7">
        <v>17577</v>
      </c>
      <c r="Y19" s="7">
        <v>18063</v>
      </c>
      <c r="Z19" s="7">
        <v>19139</v>
      </c>
      <c r="AA19" s="7">
        <v>20371</v>
      </c>
      <c r="AB19" s="7">
        <v>19992</v>
      </c>
      <c r="AC19" s="7">
        <v>20463</v>
      </c>
      <c r="AD19" s="7">
        <v>20608</v>
      </c>
      <c r="AE19" s="7">
        <v>21147</v>
      </c>
      <c r="AF19" s="7">
        <v>21538</v>
      </c>
      <c r="AG19" s="7">
        <v>21988</v>
      </c>
      <c r="AH19" s="7">
        <v>22958</v>
      </c>
      <c r="AI19" s="7">
        <v>22823</v>
      </c>
      <c r="AJ19" s="7">
        <v>23480</v>
      </c>
      <c r="AK19" s="47">
        <v>24369</v>
      </c>
      <c r="AL19" s="47">
        <v>24983</v>
      </c>
      <c r="AM19" s="47">
        <v>26032</v>
      </c>
      <c r="AN19" s="47">
        <v>26330</v>
      </c>
      <c r="AO19" s="47">
        <v>27272</v>
      </c>
      <c r="AP19" s="47">
        <v>27649</v>
      </c>
      <c r="AQ19" s="47">
        <v>29388</v>
      </c>
      <c r="AR19" s="47">
        <v>29709</v>
      </c>
      <c r="AS19" s="47">
        <v>31026</v>
      </c>
      <c r="AT19" s="7">
        <v>32309</v>
      </c>
      <c r="AU19" s="7">
        <v>33766</v>
      </c>
      <c r="AW19" s="7">
        <v>34197</v>
      </c>
      <c r="AX19" s="7">
        <v>35254</v>
      </c>
      <c r="AY19" s="7">
        <v>35799</v>
      </c>
    </row>
    <row r="20" spans="1:51" s="7" customFormat="1">
      <c r="A20" s="54" t="s">
        <v>24</v>
      </c>
      <c r="B20" s="7">
        <v>19988</v>
      </c>
      <c r="C20" s="7">
        <v>18757</v>
      </c>
      <c r="D20" s="7">
        <v>40178</v>
      </c>
      <c r="E20" s="7">
        <v>43329</v>
      </c>
      <c r="F20" s="7">
        <v>45856</v>
      </c>
      <c r="G20" s="7">
        <v>47889</v>
      </c>
      <c r="H20" s="7">
        <v>49399</v>
      </c>
      <c r="I20" s="7">
        <v>50231</v>
      </c>
      <c r="J20" s="7">
        <v>51439</v>
      </c>
      <c r="K20" s="7">
        <v>51699</v>
      </c>
      <c r="L20" s="7">
        <v>52306</v>
      </c>
      <c r="M20" s="7">
        <v>53656</v>
      </c>
      <c r="N20" s="7">
        <v>53604</v>
      </c>
      <c r="O20" s="7">
        <v>53589</v>
      </c>
      <c r="P20" s="7">
        <v>53562</v>
      </c>
      <c r="Q20" s="7">
        <v>54895</v>
      </c>
      <c r="R20" s="7">
        <v>55277</v>
      </c>
      <c r="S20" s="7">
        <v>56505</v>
      </c>
      <c r="T20" s="7">
        <v>57963</v>
      </c>
      <c r="U20" s="7">
        <v>57438</v>
      </c>
      <c r="V20" s="7">
        <v>55575</v>
      </c>
      <c r="W20" s="7">
        <v>56987</v>
      </c>
      <c r="X20" s="7">
        <v>61030</v>
      </c>
      <c r="Y20" s="7">
        <v>65112</v>
      </c>
      <c r="Z20" s="7">
        <v>64313</v>
      </c>
      <c r="AA20" s="7">
        <v>67598</v>
      </c>
      <c r="AB20" s="7">
        <v>69298</v>
      </c>
      <c r="AC20" s="7">
        <v>70048</v>
      </c>
      <c r="AD20" s="7">
        <v>70704</v>
      </c>
      <c r="AE20" s="7">
        <v>71172</v>
      </c>
      <c r="AF20" s="7">
        <v>71771</v>
      </c>
      <c r="AG20" s="7">
        <v>73576</v>
      </c>
      <c r="AH20" s="7">
        <v>75834</v>
      </c>
      <c r="AI20" s="7">
        <v>76074</v>
      </c>
      <c r="AJ20" s="7">
        <v>79595</v>
      </c>
      <c r="AK20" s="47">
        <v>82514</v>
      </c>
      <c r="AL20" s="47">
        <v>85410</v>
      </c>
      <c r="AM20" s="47">
        <v>88757</v>
      </c>
      <c r="AN20" s="47">
        <v>92027</v>
      </c>
      <c r="AO20" s="47">
        <v>95747</v>
      </c>
      <c r="AP20" s="47">
        <v>98205</v>
      </c>
      <c r="AQ20" s="47">
        <v>102157</v>
      </c>
      <c r="AR20" s="47">
        <v>104657</v>
      </c>
      <c r="AS20" s="47">
        <v>107438</v>
      </c>
      <c r="AT20" s="7">
        <v>111324</v>
      </c>
      <c r="AU20" s="7">
        <v>115114</v>
      </c>
      <c r="AW20" s="7">
        <v>122157</v>
      </c>
      <c r="AX20" s="7">
        <v>126075</v>
      </c>
      <c r="AY20" s="7">
        <v>130806</v>
      </c>
    </row>
    <row r="21" spans="1:51" s="7" customFormat="1">
      <c r="A21" s="54" t="s">
        <v>25</v>
      </c>
      <c r="B21" s="7">
        <v>6670</v>
      </c>
      <c r="C21" s="7">
        <v>5873</v>
      </c>
      <c r="D21" s="7">
        <v>13744</v>
      </c>
      <c r="E21" s="7">
        <v>14762</v>
      </c>
      <c r="F21" s="7">
        <v>15733</v>
      </c>
      <c r="G21" s="7">
        <v>16725</v>
      </c>
      <c r="H21" s="7">
        <v>18372</v>
      </c>
      <c r="I21" s="7">
        <v>19056</v>
      </c>
      <c r="J21" s="7">
        <v>20069</v>
      </c>
      <c r="K21" s="7">
        <v>20017</v>
      </c>
      <c r="L21" s="7">
        <v>20709</v>
      </c>
      <c r="M21" s="7">
        <v>21251</v>
      </c>
      <c r="N21" s="7">
        <v>21736</v>
      </c>
      <c r="O21" s="7">
        <v>22078</v>
      </c>
      <c r="P21" s="7">
        <v>22778</v>
      </c>
      <c r="Q21" s="7">
        <v>23090</v>
      </c>
      <c r="R21" s="7">
        <v>23696</v>
      </c>
      <c r="S21" s="7">
        <v>23958</v>
      </c>
      <c r="T21" s="7">
        <v>24391</v>
      </c>
      <c r="U21" s="7">
        <v>24010</v>
      </c>
      <c r="V21" s="7">
        <v>25149</v>
      </c>
      <c r="W21" s="7">
        <v>26028</v>
      </c>
      <c r="X21" s="7">
        <v>27119</v>
      </c>
      <c r="Y21" s="7">
        <v>28960</v>
      </c>
      <c r="Z21" s="7">
        <v>30320</v>
      </c>
      <c r="AA21" s="7">
        <v>30858</v>
      </c>
      <c r="AB21" s="7">
        <v>31226</v>
      </c>
      <c r="AC21" s="7">
        <v>31106</v>
      </c>
      <c r="AD21" s="7">
        <v>31564</v>
      </c>
      <c r="AE21" s="7">
        <v>30847</v>
      </c>
      <c r="AF21" s="7">
        <v>31000</v>
      </c>
      <c r="AG21" s="7">
        <v>30967</v>
      </c>
      <c r="AH21" s="7">
        <v>33599</v>
      </c>
      <c r="AI21" s="7">
        <v>32822</v>
      </c>
      <c r="AJ21" s="7">
        <v>32948</v>
      </c>
      <c r="AK21" s="47">
        <v>34657</v>
      </c>
      <c r="AL21" s="47">
        <v>35660</v>
      </c>
      <c r="AM21" s="47">
        <v>36970</v>
      </c>
      <c r="AN21" s="47">
        <v>38775</v>
      </c>
      <c r="AO21" s="47">
        <v>39744</v>
      </c>
      <c r="AP21" s="47">
        <v>41236</v>
      </c>
      <c r="AQ21" s="47">
        <v>42483</v>
      </c>
      <c r="AR21" s="47">
        <v>44133</v>
      </c>
      <c r="AS21" s="47">
        <v>49077</v>
      </c>
      <c r="AT21" s="7">
        <v>52998</v>
      </c>
      <c r="AU21" s="7">
        <v>54749</v>
      </c>
      <c r="AW21" s="7">
        <v>56878</v>
      </c>
      <c r="AX21" s="7">
        <v>58642</v>
      </c>
      <c r="AY21" s="7">
        <v>58563</v>
      </c>
    </row>
    <row r="22" spans="1:51" s="7" customFormat="1">
      <c r="A22" s="58" t="s">
        <v>26</v>
      </c>
      <c r="B22" s="48">
        <v>4074</v>
      </c>
      <c r="C22" s="7">
        <v>3607</v>
      </c>
      <c r="D22" s="8">
        <v>7996</v>
      </c>
      <c r="E22" s="8">
        <v>7901</v>
      </c>
      <c r="F22" s="8">
        <v>8077</v>
      </c>
      <c r="G22" s="8">
        <v>8555</v>
      </c>
      <c r="H22" s="8">
        <v>8959</v>
      </c>
      <c r="I22" s="8">
        <v>8413</v>
      </c>
      <c r="J22" s="8">
        <v>7834</v>
      </c>
      <c r="K22" s="8">
        <v>7708</v>
      </c>
      <c r="L22" s="8">
        <v>7638</v>
      </c>
      <c r="M22" s="8">
        <v>7382</v>
      </c>
      <c r="N22" s="8">
        <v>7423</v>
      </c>
      <c r="O22" s="8">
        <v>7720</v>
      </c>
      <c r="P22" s="8">
        <v>7465</v>
      </c>
      <c r="Q22" s="8">
        <v>7490</v>
      </c>
      <c r="R22" s="8">
        <v>7676</v>
      </c>
      <c r="S22" s="8">
        <v>7897</v>
      </c>
      <c r="T22" s="8">
        <v>7862</v>
      </c>
      <c r="U22" s="8">
        <v>7518</v>
      </c>
      <c r="V22" s="8">
        <v>7260</v>
      </c>
      <c r="W22" s="8">
        <v>7033</v>
      </c>
      <c r="X22" s="8">
        <v>7414</v>
      </c>
      <c r="Y22" s="8">
        <v>7533</v>
      </c>
      <c r="Z22" s="8">
        <v>8191</v>
      </c>
      <c r="AA22" s="8">
        <v>8606</v>
      </c>
      <c r="AB22" s="8">
        <v>9045</v>
      </c>
      <c r="AC22" s="8">
        <v>8656</v>
      </c>
      <c r="AD22" s="8">
        <v>8582</v>
      </c>
      <c r="AE22" s="8">
        <v>8172</v>
      </c>
      <c r="AF22" s="8">
        <v>8290</v>
      </c>
      <c r="AG22" s="8">
        <v>8486</v>
      </c>
      <c r="AH22" s="8">
        <v>8545</v>
      </c>
      <c r="AI22" s="8">
        <v>8704</v>
      </c>
      <c r="AJ22" s="8">
        <v>9022</v>
      </c>
      <c r="AK22" s="49">
        <v>9335</v>
      </c>
      <c r="AL22" s="49">
        <v>9101</v>
      </c>
      <c r="AM22" s="49">
        <v>9574</v>
      </c>
      <c r="AN22" s="49">
        <v>10033</v>
      </c>
      <c r="AO22" s="49">
        <v>11105</v>
      </c>
      <c r="AP22" s="49">
        <v>11488</v>
      </c>
      <c r="AQ22" s="49">
        <v>11366</v>
      </c>
      <c r="AR22" s="49">
        <v>12031</v>
      </c>
      <c r="AS22" s="49">
        <v>10487</v>
      </c>
      <c r="AT22" s="7">
        <v>10237</v>
      </c>
      <c r="AU22" s="7">
        <v>10337</v>
      </c>
      <c r="AW22" s="7">
        <v>10739</v>
      </c>
      <c r="AX22" s="7">
        <v>10985</v>
      </c>
      <c r="AY22" s="7">
        <v>10791</v>
      </c>
    </row>
    <row r="23" spans="1:51" s="7" customFormat="1">
      <c r="A23" s="54" t="s">
        <v>245</v>
      </c>
      <c r="C23" s="113"/>
      <c r="D23" s="55">
        <f t="shared" ref="D23:AQ23" si="16">SUM(D25:D37)</f>
        <v>136889</v>
      </c>
      <c r="E23" s="55">
        <f t="shared" si="16"/>
        <v>147605</v>
      </c>
      <c r="F23" s="55">
        <f t="shared" si="16"/>
        <v>155847</v>
      </c>
      <c r="G23" s="55">
        <f t="shared" si="16"/>
        <v>160319</v>
      </c>
      <c r="H23" s="55">
        <f t="shared" si="16"/>
        <v>165865</v>
      </c>
      <c r="I23" s="55">
        <f t="shared" si="16"/>
        <v>160693</v>
      </c>
      <c r="J23" s="55">
        <f t="shared" si="16"/>
        <v>161585</v>
      </c>
      <c r="K23" s="55">
        <f t="shared" si="16"/>
        <v>160612</v>
      </c>
      <c r="L23" s="55">
        <f t="shared" si="16"/>
        <v>161362</v>
      </c>
      <c r="M23" s="55">
        <f t="shared" si="16"/>
        <v>159268</v>
      </c>
      <c r="N23" s="55">
        <f t="shared" si="16"/>
        <v>161321</v>
      </c>
      <c r="O23" s="55">
        <f t="shared" si="16"/>
        <v>160751</v>
      </c>
      <c r="P23" s="55">
        <f t="shared" si="16"/>
        <v>167791</v>
      </c>
      <c r="Q23" s="55">
        <f t="shared" si="16"/>
        <v>170712</v>
      </c>
      <c r="R23" s="55">
        <f t="shared" si="16"/>
        <v>172682</v>
      </c>
      <c r="S23" s="55">
        <f t="shared" si="16"/>
        <v>172925</v>
      </c>
      <c r="T23" s="55">
        <f t="shared" si="16"/>
        <v>174574</v>
      </c>
      <c r="U23" s="55">
        <f t="shared" si="16"/>
        <v>177158</v>
      </c>
      <c r="V23" s="55">
        <f t="shared" si="16"/>
        <v>175849</v>
      </c>
      <c r="W23" s="55">
        <f t="shared" si="16"/>
        <v>181631</v>
      </c>
      <c r="X23" s="55">
        <f t="shared" si="16"/>
        <v>191406</v>
      </c>
      <c r="Y23" s="55">
        <f t="shared" si="16"/>
        <v>199907</v>
      </c>
      <c r="Z23" s="55">
        <f t="shared" si="16"/>
        <v>207517</v>
      </c>
      <c r="AA23" s="55">
        <f t="shared" si="16"/>
        <v>216726</v>
      </c>
      <c r="AB23" s="55">
        <f t="shared" si="16"/>
        <v>221137</v>
      </c>
      <c r="AC23" s="55">
        <f t="shared" si="16"/>
        <v>221230</v>
      </c>
      <c r="AD23" s="55">
        <f t="shared" si="16"/>
        <v>224762</v>
      </c>
      <c r="AE23" s="55">
        <f t="shared" si="16"/>
        <v>227543</v>
      </c>
      <c r="AF23" s="55">
        <f t="shared" si="16"/>
        <v>232555</v>
      </c>
      <c r="AG23" s="55">
        <f t="shared" si="16"/>
        <v>238682</v>
      </c>
      <c r="AH23" s="55">
        <f t="shared" si="16"/>
        <v>248547</v>
      </c>
      <c r="AI23" s="55">
        <f t="shared" si="16"/>
        <v>248716</v>
      </c>
      <c r="AJ23" s="55">
        <f t="shared" si="16"/>
        <v>261585</v>
      </c>
      <c r="AK23" s="55">
        <f t="shared" si="16"/>
        <v>274262</v>
      </c>
      <c r="AL23" s="55">
        <f t="shared" si="16"/>
        <v>288611</v>
      </c>
      <c r="AM23" s="55">
        <f t="shared" si="16"/>
        <v>301097</v>
      </c>
      <c r="AN23" s="55">
        <f t="shared" si="16"/>
        <v>302392</v>
      </c>
      <c r="AO23" s="55">
        <f t="shared" si="16"/>
        <v>323110</v>
      </c>
      <c r="AP23" s="55">
        <f t="shared" si="16"/>
        <v>332170</v>
      </c>
      <c r="AQ23" s="55">
        <f t="shared" si="16"/>
        <v>337674</v>
      </c>
      <c r="AR23" s="55">
        <f t="shared" ref="AR23:AS23" si="17">SUM(AR25:AR37)</f>
        <v>346919</v>
      </c>
      <c r="AS23" s="55">
        <f t="shared" si="17"/>
        <v>337552</v>
      </c>
      <c r="AT23" s="55">
        <f t="shared" ref="AT23:AU23" si="18">SUM(AT25:AT37)</f>
        <v>380676</v>
      </c>
      <c r="AU23" s="55">
        <f t="shared" si="18"/>
        <v>395047</v>
      </c>
      <c r="AV23" s="55">
        <f t="shared" ref="AV23:AW23" si="19">SUM(AV25:AV37)</f>
        <v>0</v>
      </c>
      <c r="AW23" s="55">
        <f t="shared" si="19"/>
        <v>412608</v>
      </c>
      <c r="AX23" s="55">
        <f t="shared" ref="AX23:AY23" si="20">SUM(AX25:AX37)</f>
        <v>416454</v>
      </c>
      <c r="AY23" s="55">
        <f t="shared" si="20"/>
        <v>426525</v>
      </c>
    </row>
    <row r="24" spans="1:51" s="7" customFormat="1">
      <c r="A24" s="56" t="s">
        <v>244</v>
      </c>
      <c r="D24" s="57">
        <f t="shared" ref="D24:AQ24" si="21">(D23/D4)*100</f>
        <v>17.338936957956349</v>
      </c>
      <c r="E24" s="57">
        <f t="shared" si="21"/>
        <v>17.638314474758111</v>
      </c>
      <c r="F24" s="57">
        <f t="shared" si="21"/>
        <v>17.62779691844117</v>
      </c>
      <c r="G24" s="57">
        <f t="shared" si="21"/>
        <v>17.442985171411692</v>
      </c>
      <c r="H24" s="57">
        <f t="shared" si="21"/>
        <v>17.596242796642535</v>
      </c>
      <c r="I24" s="57">
        <f t="shared" si="21"/>
        <v>17.468301315778032</v>
      </c>
      <c r="J24" s="57">
        <f t="shared" si="21"/>
        <v>17.513995696966742</v>
      </c>
      <c r="K24" s="57">
        <f t="shared" si="21"/>
        <v>17.519143087763695</v>
      </c>
      <c r="L24" s="57">
        <f t="shared" si="21"/>
        <v>17.581486061702233</v>
      </c>
      <c r="M24" s="57">
        <f t="shared" si="21"/>
        <v>17.346450887046796</v>
      </c>
      <c r="N24" s="57">
        <f t="shared" si="21"/>
        <v>17.416496986787642</v>
      </c>
      <c r="O24" s="57">
        <f t="shared" si="21"/>
        <v>17.250349028996503</v>
      </c>
      <c r="P24" s="57">
        <f t="shared" si="21"/>
        <v>17.666896903178529</v>
      </c>
      <c r="Q24" s="57">
        <f t="shared" si="21"/>
        <v>17.671171618801552</v>
      </c>
      <c r="R24" s="57">
        <f t="shared" si="21"/>
        <v>17.793408024664007</v>
      </c>
      <c r="S24" s="57">
        <f t="shared" si="21"/>
        <v>17.723463744409052</v>
      </c>
      <c r="T24" s="57">
        <f t="shared" si="21"/>
        <v>17.738880556673291</v>
      </c>
      <c r="U24" s="57">
        <f t="shared" si="21"/>
        <v>17.93322238823496</v>
      </c>
      <c r="V24" s="57">
        <f t="shared" si="21"/>
        <v>17.764283737178026</v>
      </c>
      <c r="W24" s="57">
        <f t="shared" si="21"/>
        <v>17.925302931313201</v>
      </c>
      <c r="X24" s="57">
        <f t="shared" si="21"/>
        <v>18.262903138086692</v>
      </c>
      <c r="Y24" s="57">
        <f t="shared" si="21"/>
        <v>18.318898961843225</v>
      </c>
      <c r="Z24" s="57">
        <f t="shared" si="21"/>
        <v>18.313172843657146</v>
      </c>
      <c r="AA24" s="57">
        <f t="shared" si="21"/>
        <v>18.655405329796089</v>
      </c>
      <c r="AB24" s="57">
        <f t="shared" si="21"/>
        <v>18.968023941515181</v>
      </c>
      <c r="AC24" s="57">
        <f t="shared" si="21"/>
        <v>19.123481868868048</v>
      </c>
      <c r="AD24" s="57">
        <f t="shared" si="21"/>
        <v>19.349478990902142</v>
      </c>
      <c r="AE24" s="57">
        <f t="shared" si="21"/>
        <v>19.451261785023394</v>
      </c>
      <c r="AF24" s="57">
        <f t="shared" si="21"/>
        <v>19.686445807355486</v>
      </c>
      <c r="AG24" s="57">
        <f t="shared" si="21"/>
        <v>19.934537624996974</v>
      </c>
      <c r="AH24" s="57">
        <f t="shared" si="21"/>
        <v>20.127903417290366</v>
      </c>
      <c r="AI24" s="57">
        <f t="shared" si="21"/>
        <v>20.039964547578762</v>
      </c>
      <c r="AJ24" s="57">
        <f t="shared" si="21"/>
        <v>20.299071512546028</v>
      </c>
      <c r="AK24" s="57">
        <f t="shared" si="21"/>
        <v>20.385133959961411</v>
      </c>
      <c r="AL24" s="57">
        <f t="shared" si="21"/>
        <v>20.684008273287972</v>
      </c>
      <c r="AM24" s="57">
        <f t="shared" si="21"/>
        <v>20.970459286189378</v>
      </c>
      <c r="AN24" s="57">
        <f t="shared" si="21"/>
        <v>20.671867127785461</v>
      </c>
      <c r="AO24" s="57">
        <f t="shared" si="21"/>
        <v>21.248164435053717</v>
      </c>
      <c r="AP24" s="57">
        <f t="shared" si="21"/>
        <v>21.301401004629401</v>
      </c>
      <c r="AQ24" s="57">
        <f t="shared" si="21"/>
        <v>21.132996047193355</v>
      </c>
      <c r="AR24" s="57">
        <f t="shared" ref="AR24:AS24" si="22">(AR23/AR4)*100</f>
        <v>21.114394310563618</v>
      </c>
      <c r="AS24" s="57">
        <f t="shared" si="22"/>
        <v>20.192912811162238</v>
      </c>
      <c r="AT24" s="57">
        <f t="shared" ref="AT24:AU24" si="23">(AT23/AT4)*100</f>
        <v>21.547352542459226</v>
      </c>
      <c r="AU24" s="57">
        <f t="shared" si="23"/>
        <v>21.813616814033708</v>
      </c>
      <c r="AV24" s="57" t="e">
        <f t="shared" ref="AV24:AW24" si="24">(AV23/AV4)*100</f>
        <v>#DIV/0!</v>
      </c>
      <c r="AW24" s="57">
        <f t="shared" si="24"/>
        <v>22.219637341191373</v>
      </c>
      <c r="AX24" s="57">
        <f t="shared" ref="AX24:AY24" si="25">(AX23/AX4)*100</f>
        <v>22.13033737480232</v>
      </c>
      <c r="AY24" s="57">
        <f t="shared" si="25"/>
        <v>22.296772777053185</v>
      </c>
    </row>
    <row r="25" spans="1:51" s="7" customFormat="1">
      <c r="A25" s="54" t="s">
        <v>167</v>
      </c>
      <c r="D25" s="7">
        <v>315</v>
      </c>
      <c r="E25" s="7">
        <v>369</v>
      </c>
      <c r="F25" s="7">
        <v>520</v>
      </c>
      <c r="G25" s="7">
        <v>508</v>
      </c>
      <c r="H25" s="7">
        <v>638</v>
      </c>
      <c r="I25" s="7">
        <v>610</v>
      </c>
      <c r="J25" s="7">
        <v>475</v>
      </c>
      <c r="K25" s="7">
        <v>423</v>
      </c>
      <c r="L25" s="7">
        <v>357</v>
      </c>
      <c r="M25" s="7">
        <v>370</v>
      </c>
      <c r="N25" s="7">
        <v>419</v>
      </c>
      <c r="O25" s="7">
        <v>465</v>
      </c>
      <c r="P25" s="7">
        <v>535</v>
      </c>
      <c r="Q25" s="7">
        <v>671</v>
      </c>
      <c r="R25" s="7">
        <v>685</v>
      </c>
      <c r="S25" s="7">
        <v>820</v>
      </c>
      <c r="T25" s="7">
        <v>786</v>
      </c>
      <c r="U25" s="7">
        <v>898</v>
      </c>
      <c r="V25" s="7">
        <v>927</v>
      </c>
      <c r="W25" s="7">
        <v>1011</v>
      </c>
      <c r="X25" s="7">
        <v>1043</v>
      </c>
      <c r="Y25" s="7">
        <v>1148</v>
      </c>
      <c r="Z25" s="7">
        <v>1114</v>
      </c>
      <c r="AA25" s="7">
        <v>1260</v>
      </c>
      <c r="AB25" s="7">
        <v>1396</v>
      </c>
      <c r="AC25" s="7">
        <v>1526</v>
      </c>
      <c r="AD25" s="7">
        <v>1493</v>
      </c>
      <c r="AE25" s="7">
        <v>1473</v>
      </c>
      <c r="AF25" s="7">
        <v>1479</v>
      </c>
      <c r="AG25" s="7">
        <v>1369</v>
      </c>
      <c r="AH25" s="7">
        <v>1364</v>
      </c>
      <c r="AI25" s="7">
        <v>1338</v>
      </c>
      <c r="AJ25" s="7">
        <v>1377</v>
      </c>
      <c r="AK25" s="47">
        <v>1363</v>
      </c>
      <c r="AL25" s="47">
        <v>1405</v>
      </c>
      <c r="AM25" s="47">
        <v>1427</v>
      </c>
      <c r="AN25" s="47">
        <v>1573</v>
      </c>
      <c r="AO25" s="47">
        <v>1512</v>
      </c>
      <c r="AP25" s="47">
        <v>1498</v>
      </c>
      <c r="AQ25" s="47">
        <v>1626</v>
      </c>
      <c r="AR25" s="47">
        <v>1619</v>
      </c>
      <c r="AS25" s="47">
        <v>1770</v>
      </c>
      <c r="AT25" s="7">
        <v>1750</v>
      </c>
      <c r="AU25" s="7">
        <v>1895</v>
      </c>
      <c r="AW25" s="7">
        <v>1932</v>
      </c>
      <c r="AX25" s="7">
        <v>1957</v>
      </c>
      <c r="AY25" s="7">
        <v>2006</v>
      </c>
    </row>
    <row r="26" spans="1:51" s="7" customFormat="1">
      <c r="A26" s="54" t="s">
        <v>168</v>
      </c>
      <c r="D26" s="7">
        <v>7896</v>
      </c>
      <c r="E26" s="7">
        <v>8291</v>
      </c>
      <c r="F26" s="7">
        <v>7907</v>
      </c>
      <c r="G26" s="7">
        <v>8351</v>
      </c>
      <c r="H26" s="7">
        <v>8672</v>
      </c>
      <c r="I26" s="7">
        <v>8994</v>
      </c>
      <c r="J26" s="7">
        <v>9230</v>
      </c>
      <c r="K26" s="7">
        <v>9354</v>
      </c>
      <c r="L26" s="7">
        <v>9486</v>
      </c>
      <c r="M26" s="7">
        <v>9905</v>
      </c>
      <c r="N26" s="7">
        <v>10187</v>
      </c>
      <c r="O26" s="7">
        <v>10826</v>
      </c>
      <c r="P26" s="7">
        <v>11279</v>
      </c>
      <c r="Q26" s="7">
        <v>11797</v>
      </c>
      <c r="R26" s="7">
        <v>11370</v>
      </c>
      <c r="S26" s="7">
        <v>12236</v>
      </c>
      <c r="T26" s="7">
        <v>11987</v>
      </c>
      <c r="U26" s="7">
        <v>12287</v>
      </c>
      <c r="V26" s="7">
        <v>12348</v>
      </c>
      <c r="W26" s="7">
        <v>13767</v>
      </c>
      <c r="X26" s="7">
        <v>14265</v>
      </c>
      <c r="Y26" s="7">
        <v>18068</v>
      </c>
      <c r="Z26" s="7">
        <v>14680</v>
      </c>
      <c r="AA26" s="7">
        <v>15807</v>
      </c>
      <c r="AB26" s="7">
        <v>16093</v>
      </c>
      <c r="AC26" s="7">
        <v>16175</v>
      </c>
      <c r="AD26" s="7">
        <v>16963</v>
      </c>
      <c r="AE26" s="7">
        <v>17831</v>
      </c>
      <c r="AF26" s="7">
        <v>18381</v>
      </c>
      <c r="AG26" s="7">
        <v>18982</v>
      </c>
      <c r="AH26" s="7">
        <v>20865</v>
      </c>
      <c r="AI26" s="7">
        <v>20856</v>
      </c>
      <c r="AJ26" s="7">
        <v>22014</v>
      </c>
      <c r="AK26" s="47">
        <v>23375</v>
      </c>
      <c r="AL26" s="47">
        <v>26217</v>
      </c>
      <c r="AM26" s="47">
        <v>29133</v>
      </c>
      <c r="AN26" s="47">
        <v>22671</v>
      </c>
      <c r="AO26" s="47">
        <v>36605</v>
      </c>
      <c r="AP26" s="47">
        <v>39016</v>
      </c>
      <c r="AQ26" s="47">
        <v>39898</v>
      </c>
      <c r="AR26" s="47">
        <v>44339</v>
      </c>
      <c r="AS26" s="47">
        <v>28885</v>
      </c>
      <c r="AT26" s="7">
        <v>64293</v>
      </c>
      <c r="AU26" s="7">
        <v>65727</v>
      </c>
      <c r="AW26" s="7">
        <v>57722</v>
      </c>
      <c r="AX26" s="7">
        <v>55841</v>
      </c>
      <c r="AY26" s="7">
        <v>55670</v>
      </c>
    </row>
    <row r="27" spans="1:51" s="7" customFormat="1">
      <c r="A27" s="54" t="s">
        <v>169</v>
      </c>
      <c r="D27" s="7">
        <v>67836</v>
      </c>
      <c r="E27" s="7">
        <v>73814</v>
      </c>
      <c r="F27" s="7">
        <v>78669</v>
      </c>
      <c r="G27" s="7">
        <v>82741</v>
      </c>
      <c r="H27" s="7">
        <v>86185</v>
      </c>
      <c r="I27" s="7">
        <v>82879</v>
      </c>
      <c r="J27" s="7">
        <v>83562</v>
      </c>
      <c r="K27" s="7">
        <v>82811</v>
      </c>
      <c r="L27" s="7">
        <v>84275</v>
      </c>
      <c r="M27" s="7">
        <v>82608</v>
      </c>
      <c r="N27" s="7">
        <v>83095</v>
      </c>
      <c r="O27" s="7">
        <v>81848</v>
      </c>
      <c r="P27" s="7">
        <v>84376</v>
      </c>
      <c r="Q27" s="7">
        <v>85358</v>
      </c>
      <c r="R27" s="7">
        <v>87683</v>
      </c>
      <c r="S27" s="7">
        <v>87397</v>
      </c>
      <c r="T27" s="7">
        <v>88615</v>
      </c>
      <c r="U27" s="7">
        <v>90003</v>
      </c>
      <c r="V27" s="7">
        <v>88518</v>
      </c>
      <c r="W27" s="7">
        <v>91508</v>
      </c>
      <c r="X27" s="7">
        <v>98157</v>
      </c>
      <c r="Y27" s="7">
        <v>100484</v>
      </c>
      <c r="Z27" s="7">
        <v>107462</v>
      </c>
      <c r="AA27" s="7">
        <v>111010</v>
      </c>
      <c r="AB27" s="7">
        <v>111848</v>
      </c>
      <c r="AC27" s="7">
        <v>109714</v>
      </c>
      <c r="AD27" s="7">
        <v>110245</v>
      </c>
      <c r="AE27" s="7">
        <v>110659</v>
      </c>
      <c r="AF27" s="7">
        <v>112145</v>
      </c>
      <c r="AG27" s="7">
        <v>116341</v>
      </c>
      <c r="AH27" s="7">
        <v>121546</v>
      </c>
      <c r="AI27" s="7">
        <v>123382</v>
      </c>
      <c r="AJ27" s="7">
        <v>131152</v>
      </c>
      <c r="AK27" s="47">
        <v>135848</v>
      </c>
      <c r="AL27" s="47">
        <v>142190</v>
      </c>
      <c r="AM27" s="47">
        <v>146959</v>
      </c>
      <c r="AN27" s="47">
        <v>151021</v>
      </c>
      <c r="AO27" s="47">
        <v>153312</v>
      </c>
      <c r="AP27" s="47">
        <v>158652</v>
      </c>
      <c r="AQ27" s="47">
        <v>160930</v>
      </c>
      <c r="AR27" s="47">
        <v>164146</v>
      </c>
      <c r="AS27" s="47">
        <v>168363</v>
      </c>
      <c r="AT27" s="7">
        <v>170910</v>
      </c>
      <c r="AU27" s="7">
        <v>179310</v>
      </c>
      <c r="AW27" s="7">
        <v>200269</v>
      </c>
      <c r="AX27" s="7">
        <v>202986</v>
      </c>
      <c r="AY27" s="7">
        <v>210373</v>
      </c>
    </row>
    <row r="28" spans="1:51" s="7" customFormat="1">
      <c r="A28" s="54" t="s">
        <v>170</v>
      </c>
      <c r="D28" s="7">
        <v>11923</v>
      </c>
      <c r="E28" s="7">
        <v>12401</v>
      </c>
      <c r="F28" s="7">
        <v>13432</v>
      </c>
      <c r="G28" s="7">
        <v>13536</v>
      </c>
      <c r="H28" s="7">
        <v>14041</v>
      </c>
      <c r="I28" s="7">
        <v>14073</v>
      </c>
      <c r="J28" s="7">
        <v>14176</v>
      </c>
      <c r="K28" s="7">
        <v>14208</v>
      </c>
      <c r="L28" s="7">
        <v>14480</v>
      </c>
      <c r="M28" s="7">
        <v>13864</v>
      </c>
      <c r="N28" s="7">
        <v>14128</v>
      </c>
      <c r="O28" s="7">
        <v>14677</v>
      </c>
      <c r="P28" s="7">
        <v>15226</v>
      </c>
      <c r="Q28" s="7">
        <v>15175</v>
      </c>
      <c r="R28" s="7">
        <v>14886</v>
      </c>
      <c r="S28" s="7">
        <v>14921</v>
      </c>
      <c r="T28" s="7">
        <v>15095</v>
      </c>
      <c r="U28" s="7">
        <v>15218</v>
      </c>
      <c r="V28" s="7">
        <v>15144</v>
      </c>
      <c r="W28" s="7">
        <v>15561</v>
      </c>
      <c r="X28" s="7">
        <v>16435</v>
      </c>
      <c r="Y28" s="7">
        <v>16728</v>
      </c>
      <c r="Z28" s="7">
        <v>17646</v>
      </c>
      <c r="AA28" s="7">
        <v>18925</v>
      </c>
      <c r="AB28" s="7">
        <v>18954</v>
      </c>
      <c r="AC28" s="7">
        <v>19929</v>
      </c>
      <c r="AD28" s="7">
        <v>19439</v>
      </c>
      <c r="AE28" s="7">
        <v>19892</v>
      </c>
      <c r="AF28" s="7">
        <v>20374</v>
      </c>
      <c r="AG28" s="7">
        <v>20724</v>
      </c>
      <c r="AH28" s="7">
        <v>21542</v>
      </c>
      <c r="AI28" s="7">
        <v>21410</v>
      </c>
      <c r="AJ28" s="7">
        <v>22275</v>
      </c>
      <c r="AK28" s="47">
        <v>23085</v>
      </c>
      <c r="AL28" s="47">
        <v>24097</v>
      </c>
      <c r="AM28" s="47">
        <v>25230</v>
      </c>
      <c r="AN28" s="47">
        <v>26033</v>
      </c>
      <c r="AO28" s="47">
        <v>28865</v>
      </c>
      <c r="AP28" s="47">
        <v>29185</v>
      </c>
      <c r="AQ28" s="47">
        <v>28833</v>
      </c>
      <c r="AR28" s="47">
        <v>28546</v>
      </c>
      <c r="AS28" s="47">
        <v>27331</v>
      </c>
      <c r="AT28" s="7">
        <v>28144</v>
      </c>
      <c r="AU28" s="7">
        <v>28981</v>
      </c>
      <c r="AW28" s="7">
        <v>29430</v>
      </c>
      <c r="AX28" s="7">
        <v>31318</v>
      </c>
      <c r="AY28" s="7">
        <v>32166</v>
      </c>
    </row>
    <row r="29" spans="1:51" s="7" customFormat="1">
      <c r="A29" s="54" t="s">
        <v>173</v>
      </c>
      <c r="D29" s="7">
        <v>2612</v>
      </c>
      <c r="E29" s="7">
        <v>3051</v>
      </c>
      <c r="F29" s="7">
        <v>3472</v>
      </c>
      <c r="G29" s="7">
        <v>3546</v>
      </c>
      <c r="H29" s="7">
        <v>3860</v>
      </c>
      <c r="I29" s="7">
        <v>3924</v>
      </c>
      <c r="J29" s="7">
        <v>3628</v>
      </c>
      <c r="K29" s="7">
        <v>3783</v>
      </c>
      <c r="L29" s="7">
        <v>3765</v>
      </c>
      <c r="M29" s="7">
        <v>3362</v>
      </c>
      <c r="N29" s="7">
        <v>3311</v>
      </c>
      <c r="O29" s="7">
        <v>3312</v>
      </c>
      <c r="P29" s="7">
        <v>3349</v>
      </c>
      <c r="Q29" s="7">
        <v>3392</v>
      </c>
      <c r="R29" s="7">
        <v>3527</v>
      </c>
      <c r="S29" s="7">
        <v>3447</v>
      </c>
      <c r="T29" s="7">
        <v>3539</v>
      </c>
      <c r="U29" s="7">
        <v>3701</v>
      </c>
      <c r="V29" s="7">
        <v>3724</v>
      </c>
      <c r="W29" s="7">
        <v>3628</v>
      </c>
      <c r="X29" s="7">
        <v>3720</v>
      </c>
      <c r="Y29" s="7">
        <v>3711</v>
      </c>
      <c r="Z29" s="7">
        <v>3821</v>
      </c>
      <c r="AA29" s="7">
        <v>4186</v>
      </c>
      <c r="AB29" s="7">
        <v>4314</v>
      </c>
      <c r="AC29" s="7">
        <v>4500</v>
      </c>
      <c r="AD29" s="7">
        <v>4739</v>
      </c>
      <c r="AE29" s="7">
        <v>4755</v>
      </c>
      <c r="AF29" s="7">
        <v>4653</v>
      </c>
      <c r="AG29" s="7">
        <v>4802</v>
      </c>
      <c r="AH29" s="7">
        <v>5091</v>
      </c>
      <c r="AI29" s="7">
        <v>4896</v>
      </c>
      <c r="AJ29" s="7">
        <v>4901</v>
      </c>
      <c r="AK29" s="47">
        <v>5047</v>
      </c>
      <c r="AL29" s="47">
        <v>5499</v>
      </c>
      <c r="AM29" s="47">
        <v>5300</v>
      </c>
      <c r="AN29" s="47">
        <v>5813</v>
      </c>
      <c r="AO29" s="47">
        <v>5695</v>
      </c>
      <c r="AP29" s="47">
        <v>5853</v>
      </c>
      <c r="AQ29" s="47">
        <v>5797</v>
      </c>
      <c r="AR29" s="47">
        <v>5388</v>
      </c>
      <c r="AS29" s="47">
        <v>5751</v>
      </c>
      <c r="AT29" s="7">
        <v>6016</v>
      </c>
      <c r="AU29" s="7">
        <v>6363</v>
      </c>
      <c r="AW29" s="7">
        <v>6966</v>
      </c>
      <c r="AX29" s="7">
        <v>6922</v>
      </c>
      <c r="AY29" s="7">
        <v>6812</v>
      </c>
    </row>
    <row r="30" spans="1:51" s="7" customFormat="1">
      <c r="A30" s="54" t="s">
        <v>175</v>
      </c>
      <c r="D30" s="7">
        <v>2743</v>
      </c>
      <c r="E30" s="7">
        <v>2744</v>
      </c>
      <c r="F30" s="7">
        <v>2950</v>
      </c>
      <c r="G30" s="7">
        <v>2945</v>
      </c>
      <c r="H30" s="7">
        <v>3038</v>
      </c>
      <c r="I30" s="7">
        <v>2805</v>
      </c>
      <c r="J30" s="7">
        <v>2847</v>
      </c>
      <c r="K30" s="7">
        <v>2754</v>
      </c>
      <c r="L30" s="7">
        <v>2877</v>
      </c>
      <c r="M30" s="7">
        <v>2694</v>
      </c>
      <c r="N30" s="7">
        <v>2907</v>
      </c>
      <c r="O30" s="7">
        <v>2759</v>
      </c>
      <c r="P30" s="7">
        <v>2883</v>
      </c>
      <c r="Q30" s="7">
        <v>3133</v>
      </c>
      <c r="R30" s="7">
        <v>3086</v>
      </c>
      <c r="S30" s="7">
        <v>2986</v>
      </c>
      <c r="T30" s="7">
        <v>3086</v>
      </c>
      <c r="U30" s="7">
        <v>3035</v>
      </c>
      <c r="V30" s="7">
        <v>3043</v>
      </c>
      <c r="W30" s="7">
        <v>3017</v>
      </c>
      <c r="X30" s="7">
        <v>3169</v>
      </c>
      <c r="Y30" s="7">
        <v>3136</v>
      </c>
      <c r="Z30" s="7">
        <v>3529</v>
      </c>
      <c r="AA30" s="7">
        <v>3923</v>
      </c>
      <c r="AB30" s="7">
        <v>4203</v>
      </c>
      <c r="AC30" s="7">
        <v>4235</v>
      </c>
      <c r="AD30" s="7">
        <v>4489</v>
      </c>
      <c r="AE30" s="7">
        <v>4509</v>
      </c>
      <c r="AF30" s="7">
        <v>4602</v>
      </c>
      <c r="AG30" s="7">
        <v>4662</v>
      </c>
      <c r="AH30" s="7">
        <v>4711</v>
      </c>
      <c r="AI30" s="7">
        <v>4646</v>
      </c>
      <c r="AJ30" s="7">
        <v>4913</v>
      </c>
      <c r="AK30" s="47">
        <v>5975</v>
      </c>
      <c r="AL30" s="47">
        <v>6042</v>
      </c>
      <c r="AM30" s="47">
        <v>7295</v>
      </c>
      <c r="AN30" s="47">
        <v>7781</v>
      </c>
      <c r="AO30" s="47">
        <v>7996</v>
      </c>
      <c r="AP30" s="47">
        <v>7912</v>
      </c>
      <c r="AQ30" s="47">
        <v>9066</v>
      </c>
      <c r="AR30" s="47">
        <v>9466</v>
      </c>
      <c r="AS30" s="47">
        <v>9171</v>
      </c>
      <c r="AT30" s="7">
        <v>9781</v>
      </c>
      <c r="AU30" s="7">
        <v>10336</v>
      </c>
      <c r="AW30" s="7">
        <v>10886</v>
      </c>
      <c r="AX30" s="7">
        <v>11424</v>
      </c>
      <c r="AY30" s="7">
        <v>11759</v>
      </c>
    </row>
    <row r="31" spans="1:51" s="7" customFormat="1">
      <c r="A31" s="54" t="s">
        <v>184</v>
      </c>
      <c r="D31" s="7">
        <v>3746</v>
      </c>
      <c r="E31" s="7">
        <v>3991</v>
      </c>
      <c r="F31" s="7">
        <v>4120</v>
      </c>
      <c r="G31" s="7">
        <v>4260</v>
      </c>
      <c r="H31" s="7">
        <v>3873</v>
      </c>
      <c r="I31" s="7">
        <v>3722</v>
      </c>
      <c r="J31" s="7">
        <v>3842</v>
      </c>
      <c r="K31" s="7">
        <v>3660</v>
      </c>
      <c r="L31" s="7">
        <v>3577</v>
      </c>
      <c r="M31" s="7">
        <v>3812</v>
      </c>
      <c r="N31" s="7">
        <v>3880</v>
      </c>
      <c r="O31" s="7">
        <v>3815</v>
      </c>
      <c r="P31" s="7">
        <v>3963</v>
      </c>
      <c r="Q31" s="7">
        <v>4065</v>
      </c>
      <c r="R31" s="7">
        <v>4194</v>
      </c>
      <c r="S31" s="7">
        <v>4324</v>
      </c>
      <c r="T31" s="7">
        <v>4356</v>
      </c>
      <c r="U31" s="7">
        <v>4140</v>
      </c>
      <c r="V31" s="7">
        <v>4170</v>
      </c>
      <c r="W31" s="7">
        <v>3887</v>
      </c>
      <c r="X31" s="7">
        <v>3862</v>
      </c>
      <c r="Y31" s="7">
        <v>3872</v>
      </c>
      <c r="Z31" s="7">
        <v>4161</v>
      </c>
      <c r="AA31" s="7">
        <v>4194</v>
      </c>
      <c r="AB31" s="7">
        <v>4357</v>
      </c>
      <c r="AC31" s="7">
        <v>4354</v>
      </c>
      <c r="AD31" s="7">
        <v>4785</v>
      </c>
      <c r="AE31" s="7">
        <v>4752</v>
      </c>
      <c r="AF31" s="7">
        <v>4932</v>
      </c>
      <c r="AG31" s="7">
        <v>4955</v>
      </c>
      <c r="AH31" s="7">
        <v>5171</v>
      </c>
      <c r="AI31" s="7">
        <v>5183</v>
      </c>
      <c r="AJ31" s="7">
        <v>5277</v>
      </c>
      <c r="AK31" s="47">
        <v>5238</v>
      </c>
      <c r="AL31" s="47">
        <v>5369</v>
      </c>
      <c r="AM31" s="47">
        <v>5177</v>
      </c>
      <c r="AN31" s="47">
        <v>5118</v>
      </c>
      <c r="AO31" s="47">
        <v>5217</v>
      </c>
      <c r="AP31" s="47">
        <v>5198</v>
      </c>
      <c r="AQ31" s="47">
        <v>5252</v>
      </c>
      <c r="AR31" s="47">
        <v>5232</v>
      </c>
      <c r="AS31" s="47">
        <v>5512</v>
      </c>
      <c r="AT31" s="7">
        <v>5384</v>
      </c>
      <c r="AU31" s="7">
        <v>5644</v>
      </c>
      <c r="AW31" s="7">
        <v>6156</v>
      </c>
      <c r="AX31" s="7">
        <v>6011</v>
      </c>
      <c r="AY31" s="7">
        <v>5994</v>
      </c>
    </row>
    <row r="32" spans="1:51" s="7" customFormat="1">
      <c r="A32" s="54" t="s">
        <v>190</v>
      </c>
      <c r="D32" s="7">
        <v>1006</v>
      </c>
      <c r="E32" s="7">
        <v>1253</v>
      </c>
      <c r="F32" s="7">
        <v>1346</v>
      </c>
      <c r="G32" s="7">
        <v>1382</v>
      </c>
      <c r="H32" s="7">
        <v>1393</v>
      </c>
      <c r="I32" s="7">
        <v>1428</v>
      </c>
      <c r="J32" s="7">
        <v>1490</v>
      </c>
      <c r="K32" s="7">
        <v>1370</v>
      </c>
      <c r="L32" s="7">
        <v>1543</v>
      </c>
      <c r="M32" s="7">
        <v>1391</v>
      </c>
      <c r="N32" s="7">
        <v>1423</v>
      </c>
      <c r="O32" s="7">
        <v>1477</v>
      </c>
      <c r="P32" s="7">
        <v>1532</v>
      </c>
      <c r="Q32" s="7">
        <v>1799</v>
      </c>
      <c r="R32" s="7">
        <v>1949</v>
      </c>
      <c r="S32" s="7">
        <v>1962</v>
      </c>
      <c r="T32" s="7">
        <v>1943</v>
      </c>
      <c r="U32" s="7">
        <v>1929</v>
      </c>
      <c r="V32" s="7">
        <v>1943</v>
      </c>
      <c r="W32" s="7">
        <v>2023</v>
      </c>
      <c r="X32" s="7">
        <v>2235</v>
      </c>
      <c r="Y32" s="7">
        <v>2373</v>
      </c>
      <c r="Z32" s="7">
        <v>2694</v>
      </c>
      <c r="AA32" s="7">
        <v>3029</v>
      </c>
      <c r="AB32" s="7">
        <v>3276</v>
      </c>
      <c r="AC32" s="7">
        <v>3371</v>
      </c>
      <c r="AD32" s="7">
        <v>3421</v>
      </c>
      <c r="AE32" s="7">
        <v>3705</v>
      </c>
      <c r="AF32" s="7">
        <v>3937</v>
      </c>
      <c r="AG32" s="7">
        <v>3977</v>
      </c>
      <c r="AH32" s="7">
        <v>4245</v>
      </c>
      <c r="AI32" s="7">
        <v>4358</v>
      </c>
      <c r="AJ32" s="7">
        <v>4489</v>
      </c>
      <c r="AK32" s="47">
        <v>4877</v>
      </c>
      <c r="AL32" s="47">
        <v>5136</v>
      </c>
      <c r="AM32" s="47">
        <v>5608</v>
      </c>
      <c r="AN32" s="47">
        <v>6595</v>
      </c>
      <c r="AO32" s="47">
        <v>6390</v>
      </c>
      <c r="AP32" s="47">
        <v>6860</v>
      </c>
      <c r="AQ32" s="47">
        <v>7119</v>
      </c>
      <c r="AR32" s="47">
        <v>7269</v>
      </c>
      <c r="AS32" s="47">
        <v>7556</v>
      </c>
      <c r="AT32" s="7">
        <v>7639</v>
      </c>
      <c r="AU32" s="7">
        <v>7965</v>
      </c>
      <c r="AW32" s="7">
        <v>8519</v>
      </c>
      <c r="AX32" s="7">
        <v>8638</v>
      </c>
      <c r="AY32" s="7">
        <v>8944</v>
      </c>
    </row>
    <row r="33" spans="1:51" s="7" customFormat="1">
      <c r="A33" s="54" t="s">
        <v>189</v>
      </c>
      <c r="D33" s="7">
        <v>4081</v>
      </c>
      <c r="E33" s="7">
        <v>4365</v>
      </c>
      <c r="F33" s="7">
        <v>4765</v>
      </c>
      <c r="G33" s="7">
        <v>5031</v>
      </c>
      <c r="H33" s="7">
        <v>5245</v>
      </c>
      <c r="I33" s="7">
        <v>4751</v>
      </c>
      <c r="J33" s="7">
        <v>5078</v>
      </c>
      <c r="K33" s="7">
        <v>4742</v>
      </c>
      <c r="L33" s="7">
        <v>4672</v>
      </c>
      <c r="M33" s="7">
        <v>4652</v>
      </c>
      <c r="N33" s="7">
        <v>4768</v>
      </c>
      <c r="O33" s="7">
        <v>4585</v>
      </c>
      <c r="P33" s="7">
        <v>4562</v>
      </c>
      <c r="Q33" s="7">
        <v>4547</v>
      </c>
      <c r="R33" s="7">
        <v>4467</v>
      </c>
      <c r="S33" s="7">
        <v>4674</v>
      </c>
      <c r="T33" s="7">
        <v>4725</v>
      </c>
      <c r="U33" s="7">
        <v>4548</v>
      </c>
      <c r="V33" s="7">
        <v>4778</v>
      </c>
      <c r="W33" s="7">
        <v>4959</v>
      </c>
      <c r="X33" s="7">
        <v>5022</v>
      </c>
      <c r="Y33" s="7">
        <v>5242</v>
      </c>
      <c r="Z33" s="7">
        <v>5501</v>
      </c>
      <c r="AA33" s="7">
        <v>5667</v>
      </c>
      <c r="AB33" s="7">
        <v>6118</v>
      </c>
      <c r="AC33" s="7">
        <v>6363</v>
      </c>
      <c r="AD33" s="7">
        <v>6217</v>
      </c>
      <c r="AE33" s="7">
        <v>6326</v>
      </c>
      <c r="AF33" s="7">
        <v>6582</v>
      </c>
      <c r="AG33" s="7">
        <v>6562</v>
      </c>
      <c r="AH33" s="7">
        <v>6727</v>
      </c>
      <c r="AI33" s="7">
        <v>6551</v>
      </c>
      <c r="AJ33" s="7">
        <v>6432</v>
      </c>
      <c r="AK33" s="47">
        <v>7027</v>
      </c>
      <c r="AL33" s="47">
        <v>7217</v>
      </c>
      <c r="AM33" s="47">
        <v>7342</v>
      </c>
      <c r="AN33" s="47">
        <v>7491</v>
      </c>
      <c r="AO33" s="47">
        <v>7839</v>
      </c>
      <c r="AP33" s="47">
        <v>7791</v>
      </c>
      <c r="AQ33" s="47">
        <v>7875</v>
      </c>
      <c r="AR33" s="47">
        <v>7774</v>
      </c>
      <c r="AS33" s="47">
        <v>8179</v>
      </c>
      <c r="AT33" s="7">
        <v>8259</v>
      </c>
      <c r="AU33" s="7">
        <v>8586</v>
      </c>
      <c r="AW33" s="7">
        <v>8791</v>
      </c>
      <c r="AX33" s="7">
        <v>9183</v>
      </c>
      <c r="AY33" s="7">
        <v>9207</v>
      </c>
    </row>
    <row r="34" spans="1:51" s="7" customFormat="1">
      <c r="A34" s="54" t="s">
        <v>193</v>
      </c>
      <c r="D34" s="7">
        <v>9923</v>
      </c>
      <c r="E34" s="7">
        <v>10069</v>
      </c>
      <c r="F34" s="7">
        <v>10388</v>
      </c>
      <c r="G34" s="7">
        <v>10416</v>
      </c>
      <c r="H34" s="7">
        <v>10810</v>
      </c>
      <c r="I34" s="7">
        <v>10118</v>
      </c>
      <c r="J34" s="7">
        <v>10455</v>
      </c>
      <c r="K34" s="7">
        <v>10626</v>
      </c>
      <c r="L34" s="7">
        <v>10329</v>
      </c>
      <c r="M34" s="7">
        <v>10014</v>
      </c>
      <c r="N34" s="7">
        <v>10448</v>
      </c>
      <c r="O34" s="7">
        <v>9783</v>
      </c>
      <c r="P34" s="7">
        <v>10946</v>
      </c>
      <c r="Q34" s="7">
        <v>11394</v>
      </c>
      <c r="R34" s="7">
        <v>11104</v>
      </c>
      <c r="S34" s="7">
        <v>10842</v>
      </c>
      <c r="T34" s="7">
        <v>10938</v>
      </c>
      <c r="U34" s="7">
        <v>10922</v>
      </c>
      <c r="V34" s="7">
        <v>11251</v>
      </c>
      <c r="W34" s="7">
        <v>11823</v>
      </c>
      <c r="X34" s="7">
        <v>12586</v>
      </c>
      <c r="Y34" s="7">
        <v>12963</v>
      </c>
      <c r="Z34" s="7">
        <v>13375</v>
      </c>
      <c r="AA34" s="7">
        <v>13139</v>
      </c>
      <c r="AB34" s="7">
        <v>13272</v>
      </c>
      <c r="AC34" s="7">
        <v>12917</v>
      </c>
      <c r="AD34" s="7">
        <v>13236</v>
      </c>
      <c r="AE34" s="7">
        <v>13290</v>
      </c>
      <c r="AF34" s="7">
        <v>13652</v>
      </c>
      <c r="AG34" s="7">
        <v>13868</v>
      </c>
      <c r="AH34" s="7">
        <v>14428</v>
      </c>
      <c r="AI34" s="7">
        <v>13887</v>
      </c>
      <c r="AJ34" s="7">
        <v>14450</v>
      </c>
      <c r="AK34" s="47">
        <v>15694</v>
      </c>
      <c r="AL34" s="47">
        <v>16664</v>
      </c>
      <c r="AM34" s="47">
        <v>16867</v>
      </c>
      <c r="AN34" s="47">
        <v>17631</v>
      </c>
      <c r="AO34" s="47">
        <v>17906</v>
      </c>
      <c r="AP34" s="47">
        <v>17920</v>
      </c>
      <c r="AQ34" s="47">
        <v>17918</v>
      </c>
      <c r="AR34" s="47">
        <v>18873</v>
      </c>
      <c r="AS34" s="47">
        <v>19542</v>
      </c>
      <c r="AT34" s="7">
        <v>21114</v>
      </c>
      <c r="AU34" s="7">
        <v>22085</v>
      </c>
      <c r="AW34" s="7">
        <v>22656</v>
      </c>
      <c r="AX34" s="7">
        <v>22563</v>
      </c>
      <c r="AY34" s="7">
        <v>23400</v>
      </c>
    </row>
    <row r="35" spans="1:51" s="7" customFormat="1">
      <c r="A35" s="54" t="s">
        <v>197</v>
      </c>
      <c r="D35" s="7">
        <v>8837</v>
      </c>
      <c r="E35" s="7">
        <v>9386</v>
      </c>
      <c r="F35" s="7">
        <v>9595</v>
      </c>
      <c r="G35" s="7">
        <v>9279</v>
      </c>
      <c r="H35" s="7">
        <v>9496</v>
      </c>
      <c r="I35" s="7">
        <v>9154</v>
      </c>
      <c r="J35" s="7">
        <v>8629</v>
      </c>
      <c r="K35" s="7">
        <v>9301</v>
      </c>
      <c r="L35" s="7">
        <v>8503</v>
      </c>
      <c r="M35" s="7">
        <v>9254</v>
      </c>
      <c r="N35" s="7">
        <v>9207</v>
      </c>
      <c r="O35" s="7">
        <v>9236</v>
      </c>
      <c r="P35" s="7">
        <v>9653</v>
      </c>
      <c r="Q35" s="7">
        <v>9861</v>
      </c>
      <c r="R35" s="7">
        <v>10259</v>
      </c>
      <c r="S35" s="7">
        <v>10159</v>
      </c>
      <c r="T35" s="7">
        <v>10516</v>
      </c>
      <c r="U35" s="7">
        <v>11085</v>
      </c>
      <c r="V35" s="7">
        <v>10820</v>
      </c>
      <c r="W35" s="7">
        <v>10682</v>
      </c>
      <c r="X35" s="7">
        <v>10907</v>
      </c>
      <c r="Y35" s="7">
        <v>11340</v>
      </c>
      <c r="Z35" s="7">
        <v>12016</v>
      </c>
      <c r="AA35" s="7">
        <v>12901</v>
      </c>
      <c r="AB35" s="7">
        <v>14191</v>
      </c>
      <c r="AC35" s="7">
        <v>14541</v>
      </c>
      <c r="AD35" s="7">
        <v>15550</v>
      </c>
      <c r="AE35" s="7">
        <v>15806</v>
      </c>
      <c r="AF35" s="7">
        <v>16670</v>
      </c>
      <c r="AG35" s="7">
        <v>17600</v>
      </c>
      <c r="AH35" s="7">
        <v>17058</v>
      </c>
      <c r="AI35" s="7">
        <v>17091</v>
      </c>
      <c r="AJ35" s="7">
        <v>18188</v>
      </c>
      <c r="AK35" s="47">
        <v>19086</v>
      </c>
      <c r="AL35" s="47">
        <v>19909</v>
      </c>
      <c r="AM35" s="47">
        <v>20799</v>
      </c>
      <c r="AN35" s="47">
        <v>20303</v>
      </c>
      <c r="AO35" s="47">
        <v>20922</v>
      </c>
      <c r="AP35" s="47">
        <v>20959</v>
      </c>
      <c r="AQ35" s="47">
        <v>21504</v>
      </c>
      <c r="AR35" s="47">
        <v>21930</v>
      </c>
      <c r="AS35" s="47">
        <v>22234</v>
      </c>
      <c r="AT35" s="7">
        <v>22946</v>
      </c>
      <c r="AU35" s="7">
        <v>23409</v>
      </c>
      <c r="AW35" s="7">
        <v>23946</v>
      </c>
      <c r="AX35" s="7">
        <v>23849</v>
      </c>
      <c r="AY35" s="7">
        <v>23769</v>
      </c>
    </row>
    <row r="36" spans="1:51" s="7" customFormat="1">
      <c r="A36" s="54" t="s">
        <v>76</v>
      </c>
      <c r="D36" s="7">
        <v>14614</v>
      </c>
      <c r="E36" s="7">
        <v>16556</v>
      </c>
      <c r="F36" s="7">
        <v>17294</v>
      </c>
      <c r="G36" s="7">
        <v>16880</v>
      </c>
      <c r="H36" s="7">
        <v>17178</v>
      </c>
      <c r="I36" s="7">
        <v>16929</v>
      </c>
      <c r="J36" s="7">
        <v>16892</v>
      </c>
      <c r="K36" s="7">
        <v>16297</v>
      </c>
      <c r="L36" s="7">
        <v>16139</v>
      </c>
      <c r="M36" s="7">
        <v>16053</v>
      </c>
      <c r="N36" s="7">
        <v>16216</v>
      </c>
      <c r="O36" s="7">
        <v>16648</v>
      </c>
      <c r="P36" s="7">
        <v>18159</v>
      </c>
      <c r="Q36" s="7">
        <v>18139</v>
      </c>
      <c r="R36" s="7">
        <v>17985</v>
      </c>
      <c r="S36" s="7">
        <v>17549</v>
      </c>
      <c r="T36" s="7">
        <v>17331</v>
      </c>
      <c r="U36" s="7">
        <v>17767</v>
      </c>
      <c r="V36" s="7">
        <v>17552</v>
      </c>
      <c r="W36" s="7">
        <v>18118</v>
      </c>
      <c r="X36" s="7">
        <v>18359</v>
      </c>
      <c r="Y36" s="7">
        <v>19201</v>
      </c>
      <c r="Z36" s="7">
        <v>19737</v>
      </c>
      <c r="AA36" s="7">
        <v>20829</v>
      </c>
      <c r="AB36" s="7">
        <v>21321</v>
      </c>
      <c r="AC36" s="7">
        <v>21828</v>
      </c>
      <c r="AD36" s="7">
        <v>22544</v>
      </c>
      <c r="AE36" s="7">
        <v>22893</v>
      </c>
      <c r="AF36" s="7">
        <v>23442</v>
      </c>
      <c r="AG36" s="7">
        <v>23056</v>
      </c>
      <c r="AH36" s="7">
        <v>24002</v>
      </c>
      <c r="AI36" s="7">
        <v>23441</v>
      </c>
      <c r="AJ36" s="7">
        <v>24462</v>
      </c>
      <c r="AK36" s="47">
        <v>25908</v>
      </c>
      <c r="AL36" s="47">
        <v>27196</v>
      </c>
      <c r="AM36" s="47">
        <v>28265</v>
      </c>
      <c r="AN36" s="47">
        <v>28570</v>
      </c>
      <c r="AO36" s="47">
        <v>29160</v>
      </c>
      <c r="AP36" s="47">
        <v>29524</v>
      </c>
      <c r="AQ36" s="47">
        <v>30091</v>
      </c>
      <c r="AR36" s="47">
        <v>30551</v>
      </c>
      <c r="AS36" s="47">
        <v>31398</v>
      </c>
      <c r="AT36" s="7">
        <v>32376</v>
      </c>
      <c r="AU36" s="7">
        <v>32689</v>
      </c>
      <c r="AW36" s="7">
        <v>33309</v>
      </c>
      <c r="AX36" s="7">
        <v>33598</v>
      </c>
      <c r="AY36" s="7">
        <v>34218</v>
      </c>
    </row>
    <row r="37" spans="1:51" s="7" customFormat="1">
      <c r="A37" s="58" t="s">
        <v>200</v>
      </c>
      <c r="B37" s="8"/>
      <c r="C37" s="8"/>
      <c r="D37" s="7">
        <v>1357</v>
      </c>
      <c r="E37" s="7">
        <v>1315</v>
      </c>
      <c r="F37" s="7">
        <v>1389</v>
      </c>
      <c r="G37" s="7">
        <v>1444</v>
      </c>
      <c r="H37" s="7">
        <v>1436</v>
      </c>
      <c r="I37" s="7">
        <v>1306</v>
      </c>
      <c r="J37" s="7">
        <v>1281</v>
      </c>
      <c r="K37" s="7">
        <v>1283</v>
      </c>
      <c r="L37" s="7">
        <v>1359</v>
      </c>
      <c r="M37" s="7">
        <v>1289</v>
      </c>
      <c r="N37" s="7">
        <v>1332</v>
      </c>
      <c r="O37" s="7">
        <v>1320</v>
      </c>
      <c r="P37" s="7">
        <v>1328</v>
      </c>
      <c r="Q37" s="7">
        <v>1381</v>
      </c>
      <c r="R37" s="7">
        <v>1487</v>
      </c>
      <c r="S37" s="7">
        <v>1608</v>
      </c>
      <c r="T37" s="7">
        <v>1657</v>
      </c>
      <c r="U37" s="7">
        <v>1625</v>
      </c>
      <c r="V37" s="7">
        <v>1631</v>
      </c>
      <c r="W37" s="7">
        <v>1647</v>
      </c>
      <c r="X37" s="7">
        <v>1646</v>
      </c>
      <c r="Y37" s="7">
        <v>1641</v>
      </c>
      <c r="Z37" s="7">
        <v>1781</v>
      </c>
      <c r="AA37" s="7">
        <v>1856</v>
      </c>
      <c r="AB37" s="7">
        <v>1794</v>
      </c>
      <c r="AC37" s="7">
        <v>1777</v>
      </c>
      <c r="AD37" s="7">
        <v>1641</v>
      </c>
      <c r="AE37" s="7">
        <v>1652</v>
      </c>
      <c r="AF37" s="7">
        <v>1706</v>
      </c>
      <c r="AG37" s="7">
        <v>1784</v>
      </c>
      <c r="AH37" s="7">
        <v>1797</v>
      </c>
      <c r="AI37" s="7">
        <v>1677</v>
      </c>
      <c r="AJ37" s="7">
        <v>1655</v>
      </c>
      <c r="AK37" s="47">
        <v>1739</v>
      </c>
      <c r="AL37" s="47">
        <v>1670</v>
      </c>
      <c r="AM37" s="47">
        <v>1695</v>
      </c>
      <c r="AN37" s="47">
        <v>1792</v>
      </c>
      <c r="AO37" s="47">
        <v>1691</v>
      </c>
      <c r="AP37" s="47">
        <v>1802</v>
      </c>
      <c r="AQ37" s="47">
        <v>1765</v>
      </c>
      <c r="AR37" s="47">
        <v>1786</v>
      </c>
      <c r="AS37" s="47">
        <v>1860</v>
      </c>
      <c r="AT37" s="7">
        <v>2064</v>
      </c>
      <c r="AU37" s="7">
        <v>2057</v>
      </c>
      <c r="AW37" s="7">
        <v>2026</v>
      </c>
      <c r="AX37" s="7">
        <v>2164</v>
      </c>
      <c r="AY37" s="7">
        <v>2207</v>
      </c>
    </row>
    <row r="38" spans="1:51" s="7" customFormat="1">
      <c r="A38" s="54" t="s">
        <v>246</v>
      </c>
      <c r="D38" s="55">
        <f t="shared" ref="D38:AQ38" si="26">SUM(D40:D51)</f>
        <v>239459</v>
      </c>
      <c r="E38" s="55">
        <f t="shared" si="26"/>
        <v>253348</v>
      </c>
      <c r="F38" s="55">
        <f t="shared" si="26"/>
        <v>263879</v>
      </c>
      <c r="G38" s="55">
        <f t="shared" si="26"/>
        <v>270626</v>
      </c>
      <c r="H38" s="55">
        <f t="shared" si="26"/>
        <v>269157</v>
      </c>
      <c r="I38" s="55">
        <f t="shared" si="26"/>
        <v>254434</v>
      </c>
      <c r="J38" s="55">
        <f t="shared" si="26"/>
        <v>249559</v>
      </c>
      <c r="K38" s="55">
        <f t="shared" si="26"/>
        <v>246073</v>
      </c>
      <c r="L38" s="55">
        <f t="shared" si="26"/>
        <v>244744</v>
      </c>
      <c r="M38" s="55">
        <f t="shared" si="26"/>
        <v>246786</v>
      </c>
      <c r="N38" s="55">
        <f t="shared" si="26"/>
        <v>249372</v>
      </c>
      <c r="O38" s="55">
        <f t="shared" si="26"/>
        <v>253890</v>
      </c>
      <c r="P38" s="55">
        <f t="shared" si="26"/>
        <v>258778</v>
      </c>
      <c r="Q38" s="55">
        <f t="shared" si="26"/>
        <v>264558</v>
      </c>
      <c r="R38" s="55">
        <f t="shared" si="26"/>
        <v>266126</v>
      </c>
      <c r="S38" s="55">
        <f t="shared" si="26"/>
        <v>266014</v>
      </c>
      <c r="T38" s="55">
        <f t="shared" si="26"/>
        <v>267130</v>
      </c>
      <c r="U38" s="55">
        <f t="shared" si="26"/>
        <v>270177</v>
      </c>
      <c r="V38" s="55">
        <f t="shared" si="26"/>
        <v>270741</v>
      </c>
      <c r="W38" s="55">
        <f t="shared" si="26"/>
        <v>278246</v>
      </c>
      <c r="X38" s="55">
        <f t="shared" si="26"/>
        <v>285758</v>
      </c>
      <c r="Y38" s="55">
        <f t="shared" si="26"/>
        <v>294428</v>
      </c>
      <c r="Z38" s="55">
        <f t="shared" si="26"/>
        <v>307025</v>
      </c>
      <c r="AA38" s="55">
        <f t="shared" si="26"/>
        <v>309767</v>
      </c>
      <c r="AB38" s="55">
        <f t="shared" si="26"/>
        <v>309984</v>
      </c>
      <c r="AC38" s="55">
        <f t="shared" si="26"/>
        <v>306223</v>
      </c>
      <c r="AD38" s="55">
        <f t="shared" si="26"/>
        <v>303789</v>
      </c>
      <c r="AE38" s="55">
        <f t="shared" si="26"/>
        <v>304754</v>
      </c>
      <c r="AF38" s="55">
        <f t="shared" si="26"/>
        <v>306107</v>
      </c>
      <c r="AG38" s="55">
        <f t="shared" si="26"/>
        <v>308769</v>
      </c>
      <c r="AH38" s="55">
        <f t="shared" si="26"/>
        <v>316464</v>
      </c>
      <c r="AI38" s="55">
        <f t="shared" si="26"/>
        <v>319514</v>
      </c>
      <c r="AJ38" s="55">
        <f t="shared" si="26"/>
        <v>331614</v>
      </c>
      <c r="AK38" s="55">
        <f t="shared" si="26"/>
        <v>344454</v>
      </c>
      <c r="AL38" s="55">
        <f t="shared" si="26"/>
        <v>353655</v>
      </c>
      <c r="AM38" s="55">
        <f t="shared" si="26"/>
        <v>361453</v>
      </c>
      <c r="AN38" s="55">
        <f t="shared" si="26"/>
        <v>366245</v>
      </c>
      <c r="AO38" s="55">
        <f t="shared" si="26"/>
        <v>381096</v>
      </c>
      <c r="AP38" s="55">
        <f t="shared" si="26"/>
        <v>385504</v>
      </c>
      <c r="AQ38" s="55">
        <f t="shared" si="26"/>
        <v>393877</v>
      </c>
      <c r="AR38" s="55">
        <f t="shared" ref="AR38:AS38" si="27">SUM(AR40:AR51)</f>
        <v>406707</v>
      </c>
      <c r="AS38" s="55">
        <f t="shared" si="27"/>
        <v>419876</v>
      </c>
      <c r="AT38" s="55">
        <f t="shared" ref="AT38:AU38" si="28">SUM(AT40:AT51)</f>
        <v>437489</v>
      </c>
      <c r="AU38" s="55">
        <f t="shared" si="28"/>
        <v>442398</v>
      </c>
      <c r="AV38" s="55">
        <f t="shared" ref="AV38:AW38" si="29">SUM(AV40:AV51)</f>
        <v>0</v>
      </c>
      <c r="AW38" s="55">
        <f t="shared" si="29"/>
        <v>436001</v>
      </c>
      <c r="AX38" s="55">
        <f t="shared" ref="AX38:AY38" si="30">SUM(AX40:AX51)</f>
        <v>437954</v>
      </c>
      <c r="AY38" s="55">
        <f t="shared" si="30"/>
        <v>440559</v>
      </c>
    </row>
    <row r="39" spans="1:51" s="7" customFormat="1">
      <c r="A39" s="56" t="s">
        <v>244</v>
      </c>
      <c r="D39" s="57">
        <f t="shared" ref="D39:AQ39" si="31">(D38/D4)*100</f>
        <v>30.330884914165999</v>
      </c>
      <c r="E39" s="57">
        <f t="shared" si="31"/>
        <v>30.274256939473716</v>
      </c>
      <c r="F39" s="57">
        <f t="shared" si="31"/>
        <v>29.84725675207952</v>
      </c>
      <c r="G39" s="57">
        <f t="shared" si="31"/>
        <v>29.444578028795465</v>
      </c>
      <c r="H39" s="57">
        <f t="shared" si="31"/>
        <v>28.554257513133663</v>
      </c>
      <c r="I39" s="57">
        <f t="shared" si="31"/>
        <v>27.658515162319873</v>
      </c>
      <c r="J39" s="57">
        <f t="shared" si="31"/>
        <v>27.049387332607129</v>
      </c>
      <c r="K39" s="57">
        <f t="shared" si="31"/>
        <v>26.841008748009337</v>
      </c>
      <c r="L39" s="57">
        <f t="shared" si="31"/>
        <v>26.666521390942421</v>
      </c>
      <c r="M39" s="57">
        <f t="shared" si="31"/>
        <v>26.878351135260885</v>
      </c>
      <c r="N39" s="57">
        <f t="shared" si="31"/>
        <v>26.922636771339182</v>
      </c>
      <c r="O39" s="57">
        <f t="shared" si="31"/>
        <v>27.245187370354913</v>
      </c>
      <c r="P39" s="57">
        <f t="shared" si="31"/>
        <v>27.247017103484296</v>
      </c>
      <c r="Q39" s="57">
        <f t="shared" si="31"/>
        <v>27.38559574679519</v>
      </c>
      <c r="R39" s="57">
        <f t="shared" si="31"/>
        <v>27.422015635513453</v>
      </c>
      <c r="S39" s="57">
        <f t="shared" si="31"/>
        <v>27.264360182190135</v>
      </c>
      <c r="T39" s="57">
        <f t="shared" si="31"/>
        <v>27.143716493315939</v>
      </c>
      <c r="U39" s="57">
        <f t="shared" si="31"/>
        <v>27.349282703497202</v>
      </c>
      <c r="V39" s="57">
        <f t="shared" si="31"/>
        <v>27.350283159343046</v>
      </c>
      <c r="W39" s="57">
        <f t="shared" si="31"/>
        <v>27.460311507540965</v>
      </c>
      <c r="X39" s="57">
        <f t="shared" si="31"/>
        <v>27.265449750443437</v>
      </c>
      <c r="Y39" s="57">
        <f t="shared" si="31"/>
        <v>26.980529864074683</v>
      </c>
      <c r="Z39" s="57">
        <f t="shared" si="31"/>
        <v>27.094656786305869</v>
      </c>
      <c r="AA39" s="57">
        <f t="shared" si="31"/>
        <v>26.664216304434841</v>
      </c>
      <c r="AB39" s="57">
        <f t="shared" si="31"/>
        <v>26.588874469160029</v>
      </c>
      <c r="AC39" s="57">
        <f t="shared" si="31"/>
        <v>26.470415352033537</v>
      </c>
      <c r="AD39" s="57">
        <f t="shared" si="31"/>
        <v>26.152814413322407</v>
      </c>
      <c r="AE39" s="57">
        <f t="shared" si="31"/>
        <v>26.051558756072563</v>
      </c>
      <c r="AF39" s="57">
        <f t="shared" si="31"/>
        <v>25.912832950279142</v>
      </c>
      <c r="AG39" s="57">
        <f t="shared" si="31"/>
        <v>25.788150124151336</v>
      </c>
      <c r="AH39" s="57">
        <f t="shared" si="31"/>
        <v>25.62797711116762</v>
      </c>
      <c r="AI39" s="57">
        <f t="shared" si="31"/>
        <v>25.744420272339053</v>
      </c>
      <c r="AJ39" s="57">
        <f t="shared" si="31"/>
        <v>25.733342128032717</v>
      </c>
      <c r="AK39" s="57">
        <f t="shared" si="31"/>
        <v>25.602310684836205</v>
      </c>
      <c r="AL39" s="57">
        <f t="shared" si="31"/>
        <v>25.345544507623263</v>
      </c>
      <c r="AM39" s="57">
        <f t="shared" si="31"/>
        <v>25.174064903904753</v>
      </c>
      <c r="AN39" s="57">
        <f t="shared" si="31"/>
        <v>25.036932115319804</v>
      </c>
      <c r="AO39" s="57">
        <f t="shared" si="31"/>
        <v>25.061404702860422</v>
      </c>
      <c r="AP39" s="57">
        <f t="shared" si="31"/>
        <v>24.721604277594764</v>
      </c>
      <c r="AQ39" s="57">
        <f t="shared" si="31"/>
        <v>24.650405669611452</v>
      </c>
      <c r="AR39" s="57">
        <f t="shared" ref="AR39:AS39" si="32">(AR38/AR4)*100</f>
        <v>24.753247780797238</v>
      </c>
      <c r="AS39" s="57">
        <f t="shared" si="32"/>
        <v>25.117669157639583</v>
      </c>
      <c r="AT39" s="57">
        <f t="shared" ref="AT39:AU39" si="33">(AT38/AT4)*100</f>
        <v>24.763131157330495</v>
      </c>
      <c r="AU39" s="57">
        <f t="shared" si="33"/>
        <v>24.428233732429014</v>
      </c>
      <c r="AV39" s="57" t="e">
        <f t="shared" ref="AV39:AW39" si="34">(AV38/AV4)*100</f>
        <v>#DIV/0!</v>
      </c>
      <c r="AW39" s="57">
        <f t="shared" si="34"/>
        <v>23.479389881914017</v>
      </c>
      <c r="AX39" s="57">
        <f t="shared" ref="AX39:AY39" si="35">(AX38/AX4)*100</f>
        <v>23.272845919703435</v>
      </c>
      <c r="AY39" s="57">
        <f t="shared" si="35"/>
        <v>23.030405997035981</v>
      </c>
    </row>
    <row r="40" spans="1:51" s="7" customFormat="1">
      <c r="A40" s="54" t="s">
        <v>176</v>
      </c>
      <c r="D40" s="7">
        <v>38449</v>
      </c>
      <c r="E40" s="7">
        <v>42016</v>
      </c>
      <c r="F40" s="7">
        <v>45245</v>
      </c>
      <c r="G40" s="7">
        <v>46949</v>
      </c>
      <c r="H40" s="7">
        <v>47602</v>
      </c>
      <c r="I40" s="7">
        <v>44577</v>
      </c>
      <c r="J40" s="7">
        <v>44795</v>
      </c>
      <c r="K40" s="7">
        <v>45204</v>
      </c>
      <c r="L40" s="7">
        <v>43610</v>
      </c>
      <c r="M40" s="7">
        <v>43619</v>
      </c>
      <c r="N40" s="7">
        <v>44336</v>
      </c>
      <c r="O40" s="7">
        <v>44653</v>
      </c>
      <c r="P40" s="7">
        <v>45361</v>
      </c>
      <c r="Q40" s="7">
        <v>46421</v>
      </c>
      <c r="R40" s="7">
        <v>47606</v>
      </c>
      <c r="S40" s="7">
        <v>46553</v>
      </c>
      <c r="T40" s="7">
        <v>47418</v>
      </c>
      <c r="U40" s="7">
        <v>47636</v>
      </c>
      <c r="V40" s="7">
        <v>47958</v>
      </c>
      <c r="W40" s="7">
        <v>48820</v>
      </c>
      <c r="X40" s="7">
        <v>49757</v>
      </c>
      <c r="Y40" s="7">
        <v>50508</v>
      </c>
      <c r="Z40" s="7">
        <v>53263</v>
      </c>
      <c r="AA40" s="7">
        <v>51482</v>
      </c>
      <c r="AB40" s="7">
        <v>52330</v>
      </c>
      <c r="AC40" s="7">
        <v>52270</v>
      </c>
      <c r="AD40" s="7">
        <v>51543</v>
      </c>
      <c r="AE40" s="7">
        <v>51868</v>
      </c>
      <c r="AF40" s="7">
        <v>52196</v>
      </c>
      <c r="AG40" s="7">
        <v>53180</v>
      </c>
      <c r="AH40" s="7">
        <v>55036</v>
      </c>
      <c r="AI40" s="7">
        <v>55633</v>
      </c>
      <c r="AJ40" s="7">
        <v>57430</v>
      </c>
      <c r="AK40" s="47">
        <v>59569</v>
      </c>
      <c r="AL40" s="47">
        <v>59512</v>
      </c>
      <c r="AM40" s="47">
        <v>63913</v>
      </c>
      <c r="AN40" s="47">
        <v>61777</v>
      </c>
      <c r="AO40" s="47">
        <v>69946</v>
      </c>
      <c r="AP40" s="47">
        <v>69621</v>
      </c>
      <c r="AQ40" s="47">
        <v>69339</v>
      </c>
      <c r="AR40" s="47">
        <v>70847</v>
      </c>
      <c r="AS40" s="47">
        <v>68403</v>
      </c>
      <c r="AT40" s="7">
        <v>69975</v>
      </c>
      <c r="AU40" s="7">
        <v>73417</v>
      </c>
      <c r="AW40" s="7">
        <v>72710</v>
      </c>
      <c r="AX40" s="7">
        <v>74285</v>
      </c>
      <c r="AY40" s="7">
        <v>74764</v>
      </c>
    </row>
    <row r="41" spans="1:51" s="7" customFormat="1">
      <c r="A41" s="54" t="s">
        <v>177</v>
      </c>
      <c r="D41" s="7">
        <v>22188</v>
      </c>
      <c r="E41" s="7">
        <v>23660</v>
      </c>
      <c r="F41" s="7">
        <v>24215</v>
      </c>
      <c r="G41" s="7">
        <v>26164</v>
      </c>
      <c r="H41" s="7">
        <v>25621</v>
      </c>
      <c r="I41" s="7">
        <v>24480</v>
      </c>
      <c r="J41" s="7">
        <v>24080</v>
      </c>
      <c r="K41" s="7">
        <v>23794</v>
      </c>
      <c r="L41" s="7">
        <v>23607</v>
      </c>
      <c r="M41" s="7">
        <v>23677</v>
      </c>
      <c r="N41" s="7">
        <v>24224</v>
      </c>
      <c r="O41" s="7">
        <v>24834</v>
      </c>
      <c r="P41" s="7">
        <v>25682</v>
      </c>
      <c r="Q41" s="7">
        <v>26470</v>
      </c>
      <c r="R41" s="7">
        <v>26001</v>
      </c>
      <c r="S41" s="7">
        <v>26390</v>
      </c>
      <c r="T41" s="7">
        <v>26627</v>
      </c>
      <c r="U41" s="7">
        <v>26623</v>
      </c>
      <c r="V41" s="7">
        <v>26408</v>
      </c>
      <c r="W41" s="7">
        <v>26874</v>
      </c>
      <c r="X41" s="7">
        <v>27668</v>
      </c>
      <c r="Y41" s="7">
        <v>28886</v>
      </c>
      <c r="Z41" s="7">
        <v>30770</v>
      </c>
      <c r="AA41" s="7">
        <v>31453</v>
      </c>
      <c r="AB41" s="7">
        <v>30769</v>
      </c>
      <c r="AC41" s="7">
        <v>30253</v>
      </c>
      <c r="AD41" s="7">
        <v>30571</v>
      </c>
      <c r="AE41" s="7">
        <v>30477</v>
      </c>
      <c r="AF41" s="7">
        <v>30833</v>
      </c>
      <c r="AG41" s="7">
        <v>30738</v>
      </c>
      <c r="AH41" s="7">
        <v>31970</v>
      </c>
      <c r="AI41" s="7">
        <v>31881</v>
      </c>
      <c r="AJ41" s="7">
        <v>33947</v>
      </c>
      <c r="AK41" s="47">
        <v>35491</v>
      </c>
      <c r="AL41" s="47">
        <v>36388</v>
      </c>
      <c r="AM41" s="47">
        <v>36655</v>
      </c>
      <c r="AN41" s="47">
        <v>38093</v>
      </c>
      <c r="AO41" s="47">
        <v>38533</v>
      </c>
      <c r="AP41" s="47">
        <v>38991</v>
      </c>
      <c r="AQ41" s="47">
        <v>39583</v>
      </c>
      <c r="AR41" s="47">
        <v>41687</v>
      </c>
      <c r="AS41" s="47">
        <v>43519</v>
      </c>
      <c r="AT41" s="7">
        <v>45532</v>
      </c>
      <c r="AU41" s="7">
        <v>46551</v>
      </c>
      <c r="AW41" s="7">
        <v>48082</v>
      </c>
      <c r="AX41" s="7">
        <v>47614</v>
      </c>
      <c r="AY41" s="7">
        <v>47964</v>
      </c>
    </row>
    <row r="42" spans="1:51" s="7" customFormat="1">
      <c r="A42" s="54" t="s">
        <v>174</v>
      </c>
      <c r="D42" s="7">
        <v>14312</v>
      </c>
      <c r="E42" s="7">
        <v>14784</v>
      </c>
      <c r="F42" s="7">
        <v>15054</v>
      </c>
      <c r="G42" s="7">
        <v>14453</v>
      </c>
      <c r="H42" s="7">
        <v>14502</v>
      </c>
      <c r="I42" s="7">
        <v>13480</v>
      </c>
      <c r="J42" s="7">
        <v>13423</v>
      </c>
      <c r="K42" s="7">
        <v>13047</v>
      </c>
      <c r="L42" s="7">
        <v>13199</v>
      </c>
      <c r="M42" s="7">
        <v>13378</v>
      </c>
      <c r="N42" s="7">
        <v>13511</v>
      </c>
      <c r="O42" s="7">
        <v>14441</v>
      </c>
      <c r="P42" s="7">
        <v>14463</v>
      </c>
      <c r="Q42" s="7">
        <v>14494</v>
      </c>
      <c r="R42" s="7">
        <v>14854</v>
      </c>
      <c r="S42" s="7">
        <v>15268</v>
      </c>
      <c r="T42" s="7">
        <v>15844</v>
      </c>
      <c r="U42" s="7">
        <v>16450</v>
      </c>
      <c r="V42" s="7">
        <v>16747</v>
      </c>
      <c r="W42" s="7">
        <v>16859</v>
      </c>
      <c r="X42" s="7">
        <v>16129</v>
      </c>
      <c r="Y42" s="7">
        <v>16996</v>
      </c>
      <c r="Z42" s="7">
        <v>17162</v>
      </c>
      <c r="AA42" s="7">
        <v>17598</v>
      </c>
      <c r="AB42" s="7">
        <v>17846</v>
      </c>
      <c r="AC42" s="7">
        <v>17421</v>
      </c>
      <c r="AD42" s="7">
        <v>17680</v>
      </c>
      <c r="AE42" s="7">
        <v>17923</v>
      </c>
      <c r="AF42" s="7">
        <v>17543</v>
      </c>
      <c r="AG42" s="7">
        <v>18253</v>
      </c>
      <c r="AH42" s="7">
        <v>18750</v>
      </c>
      <c r="AI42" s="7">
        <v>18652</v>
      </c>
      <c r="AJ42" s="7">
        <v>19388</v>
      </c>
      <c r="AK42" s="47">
        <v>20034</v>
      </c>
      <c r="AL42" s="47">
        <v>20174</v>
      </c>
      <c r="AM42" s="47">
        <v>20786</v>
      </c>
      <c r="AN42" s="47">
        <v>21435</v>
      </c>
      <c r="AO42" s="47">
        <v>22388</v>
      </c>
      <c r="AP42" s="47">
        <v>24265</v>
      </c>
      <c r="AQ42" s="47">
        <v>26239</v>
      </c>
      <c r="AR42" s="47">
        <v>30323</v>
      </c>
      <c r="AS42" s="47">
        <v>36266</v>
      </c>
      <c r="AT42" s="7">
        <v>40676</v>
      </c>
      <c r="AU42" s="7">
        <v>41447</v>
      </c>
      <c r="AW42" s="7">
        <v>28201</v>
      </c>
      <c r="AX42" s="7">
        <v>27761</v>
      </c>
      <c r="AY42" s="7">
        <v>27702</v>
      </c>
    </row>
    <row r="43" spans="1:51" s="7" customFormat="1">
      <c r="A43" s="54" t="s">
        <v>178</v>
      </c>
      <c r="D43" s="7">
        <v>12161</v>
      </c>
      <c r="E43" s="7">
        <v>12360</v>
      </c>
      <c r="F43" s="7">
        <v>12811</v>
      </c>
      <c r="G43" s="7">
        <v>12896</v>
      </c>
      <c r="H43" s="7">
        <v>12638</v>
      </c>
      <c r="I43" s="7">
        <v>12198</v>
      </c>
      <c r="J43" s="7">
        <v>11598</v>
      </c>
      <c r="K43" s="7">
        <v>11834</v>
      </c>
      <c r="L43" s="7">
        <v>11621</v>
      </c>
      <c r="M43" s="7">
        <v>11786</v>
      </c>
      <c r="N43" s="7">
        <v>11706</v>
      </c>
      <c r="O43" s="7">
        <v>11672</v>
      </c>
      <c r="P43" s="7">
        <v>11961</v>
      </c>
      <c r="Q43" s="7">
        <v>12483</v>
      </c>
      <c r="R43" s="7">
        <v>12335</v>
      </c>
      <c r="S43" s="7">
        <v>12179</v>
      </c>
      <c r="T43" s="7">
        <v>12016</v>
      </c>
      <c r="U43" s="7">
        <v>11714</v>
      </c>
      <c r="V43" s="7">
        <v>11890</v>
      </c>
      <c r="W43" s="7">
        <v>12189</v>
      </c>
      <c r="X43" s="7">
        <v>12428</v>
      </c>
      <c r="Y43" s="7">
        <v>13035</v>
      </c>
      <c r="Z43" s="7">
        <v>13690</v>
      </c>
      <c r="AA43" s="7">
        <v>14282</v>
      </c>
      <c r="AB43" s="7">
        <v>14599</v>
      </c>
      <c r="AC43" s="7">
        <v>14594</v>
      </c>
      <c r="AD43" s="7">
        <v>14609</v>
      </c>
      <c r="AE43" s="7">
        <v>14428</v>
      </c>
      <c r="AF43" s="7">
        <v>14026</v>
      </c>
      <c r="AG43" s="7">
        <v>14062</v>
      </c>
      <c r="AH43" s="7">
        <v>14234</v>
      </c>
      <c r="AI43" s="7">
        <v>14662</v>
      </c>
      <c r="AJ43" s="7">
        <v>14787</v>
      </c>
      <c r="AK43" s="47">
        <v>15744</v>
      </c>
      <c r="AL43" s="47">
        <v>16022</v>
      </c>
      <c r="AM43" s="47">
        <v>16221</v>
      </c>
      <c r="AN43" s="47">
        <v>16677</v>
      </c>
      <c r="AO43" s="47">
        <v>17065</v>
      </c>
      <c r="AP43" s="47">
        <v>17048</v>
      </c>
      <c r="AQ43" s="47">
        <v>17521</v>
      </c>
      <c r="AR43" s="47">
        <v>17835</v>
      </c>
      <c r="AS43" s="47">
        <v>18191</v>
      </c>
      <c r="AT43" s="7">
        <v>18999</v>
      </c>
      <c r="AU43" s="7">
        <v>19455</v>
      </c>
      <c r="AW43" s="7">
        <v>18881</v>
      </c>
      <c r="AX43" s="7">
        <v>19218</v>
      </c>
      <c r="AY43" s="7">
        <v>19257</v>
      </c>
    </row>
    <row r="44" spans="1:51" s="7" customFormat="1">
      <c r="A44" s="54" t="s">
        <v>181</v>
      </c>
      <c r="D44" s="7">
        <v>35295</v>
      </c>
      <c r="E44" s="7">
        <v>36774</v>
      </c>
      <c r="F44" s="7">
        <v>37791</v>
      </c>
      <c r="G44" s="7">
        <v>39276</v>
      </c>
      <c r="H44" s="7">
        <v>38413</v>
      </c>
      <c r="I44" s="7">
        <v>36813</v>
      </c>
      <c r="J44" s="7">
        <v>37026</v>
      </c>
      <c r="K44" s="7">
        <v>35941</v>
      </c>
      <c r="L44" s="7">
        <v>36279</v>
      </c>
      <c r="M44" s="7">
        <v>36875</v>
      </c>
      <c r="N44" s="7">
        <v>37589</v>
      </c>
      <c r="O44" s="7">
        <v>38647</v>
      </c>
      <c r="P44" s="7">
        <v>38919</v>
      </c>
      <c r="Q44" s="7">
        <v>39083</v>
      </c>
      <c r="R44" s="7">
        <v>39244</v>
      </c>
      <c r="S44" s="7">
        <v>38132</v>
      </c>
      <c r="T44" s="7">
        <v>37468</v>
      </c>
      <c r="U44" s="7">
        <v>38181</v>
      </c>
      <c r="V44" s="7">
        <v>38939</v>
      </c>
      <c r="W44" s="7">
        <v>40767</v>
      </c>
      <c r="X44" s="7">
        <v>42428</v>
      </c>
      <c r="Y44" s="7">
        <v>44213</v>
      </c>
      <c r="Z44" s="7">
        <v>44789</v>
      </c>
      <c r="AA44" s="7">
        <v>45711</v>
      </c>
      <c r="AB44" s="7">
        <v>44925</v>
      </c>
      <c r="AC44" s="7">
        <v>44317</v>
      </c>
      <c r="AD44" s="7">
        <v>44372</v>
      </c>
      <c r="AE44" s="7">
        <v>44225</v>
      </c>
      <c r="AF44" s="7">
        <v>44186</v>
      </c>
      <c r="AG44" s="7">
        <v>44289</v>
      </c>
      <c r="AH44" s="7">
        <v>45754</v>
      </c>
      <c r="AI44" s="7">
        <v>46115</v>
      </c>
      <c r="AJ44" s="7">
        <v>47929</v>
      </c>
      <c r="AK44" s="47">
        <v>49794</v>
      </c>
      <c r="AL44" s="47">
        <v>51166</v>
      </c>
      <c r="AM44" s="47">
        <v>51207</v>
      </c>
      <c r="AN44" s="47">
        <v>51756</v>
      </c>
      <c r="AO44" s="47">
        <v>53280</v>
      </c>
      <c r="AP44" s="47">
        <v>54010</v>
      </c>
      <c r="AQ44" s="47">
        <v>54641</v>
      </c>
      <c r="AR44" s="47">
        <v>56021</v>
      </c>
      <c r="AS44" s="47">
        <v>56217</v>
      </c>
      <c r="AT44" s="7">
        <v>57815</v>
      </c>
      <c r="AU44" s="7">
        <v>58564</v>
      </c>
      <c r="AW44" s="7">
        <v>59970</v>
      </c>
      <c r="AX44" s="7">
        <v>60305</v>
      </c>
      <c r="AY44" s="7">
        <v>61341</v>
      </c>
    </row>
    <row r="45" spans="1:51" s="7" customFormat="1">
      <c r="A45" s="54" t="s">
        <v>182</v>
      </c>
      <c r="D45" s="7">
        <v>18040</v>
      </c>
      <c r="E45" s="7">
        <v>18674</v>
      </c>
      <c r="F45" s="7">
        <v>19447</v>
      </c>
      <c r="G45" s="7">
        <v>20066</v>
      </c>
      <c r="H45" s="7">
        <v>19395</v>
      </c>
      <c r="I45" s="7">
        <v>18429</v>
      </c>
      <c r="J45" s="7">
        <v>18263</v>
      </c>
      <c r="K45" s="7">
        <v>18163</v>
      </c>
      <c r="L45" s="7">
        <v>18185</v>
      </c>
      <c r="M45" s="7">
        <v>18467</v>
      </c>
      <c r="N45" s="7">
        <v>18634</v>
      </c>
      <c r="O45" s="7">
        <v>19392</v>
      </c>
      <c r="P45" s="7">
        <v>19748</v>
      </c>
      <c r="Q45" s="7">
        <v>20664</v>
      </c>
      <c r="R45" s="7">
        <v>20555</v>
      </c>
      <c r="S45" s="7">
        <v>20673</v>
      </c>
      <c r="T45" s="7">
        <v>20229</v>
      </c>
      <c r="U45" s="7">
        <v>20669</v>
      </c>
      <c r="V45" s="7">
        <v>21167</v>
      </c>
      <c r="W45" s="7">
        <v>21901</v>
      </c>
      <c r="X45" s="7">
        <v>22881</v>
      </c>
      <c r="Y45" s="7">
        <v>23619</v>
      </c>
      <c r="Z45" s="7">
        <v>24453</v>
      </c>
      <c r="AA45" s="7">
        <v>24762</v>
      </c>
      <c r="AB45" s="7">
        <v>24746</v>
      </c>
      <c r="AC45" s="7">
        <v>24068</v>
      </c>
      <c r="AD45" s="7">
        <v>23279</v>
      </c>
      <c r="AE45" s="7">
        <v>22618</v>
      </c>
      <c r="AF45" s="7">
        <v>23044</v>
      </c>
      <c r="AG45" s="7">
        <v>23165</v>
      </c>
      <c r="AH45" s="7">
        <v>23175</v>
      </c>
      <c r="AI45" s="7">
        <v>23355</v>
      </c>
      <c r="AJ45" s="7">
        <v>24706</v>
      </c>
      <c r="AK45" s="47">
        <v>25783</v>
      </c>
      <c r="AL45" s="47">
        <v>27324</v>
      </c>
      <c r="AM45" s="47">
        <v>28275</v>
      </c>
      <c r="AN45" s="47">
        <v>28833</v>
      </c>
      <c r="AO45" s="47">
        <v>29618</v>
      </c>
      <c r="AP45" s="47">
        <v>30378</v>
      </c>
      <c r="AQ45" s="47">
        <v>31275</v>
      </c>
      <c r="AR45" s="47">
        <v>31952</v>
      </c>
      <c r="AS45" s="47">
        <v>32729</v>
      </c>
      <c r="AT45" s="7">
        <v>33513</v>
      </c>
      <c r="AU45" s="7">
        <v>34015</v>
      </c>
      <c r="AW45" s="7">
        <v>33812</v>
      </c>
      <c r="AX45" s="7">
        <v>33153</v>
      </c>
      <c r="AY45" s="7">
        <v>32840</v>
      </c>
    </row>
    <row r="46" spans="1:51" s="7" customFormat="1">
      <c r="A46" s="54" t="s">
        <v>183</v>
      </c>
      <c r="D46" s="7">
        <v>18347</v>
      </c>
      <c r="E46" s="7">
        <v>19378</v>
      </c>
      <c r="F46" s="7">
        <v>20279</v>
      </c>
      <c r="G46" s="7">
        <v>21457</v>
      </c>
      <c r="H46" s="7">
        <v>21751</v>
      </c>
      <c r="I46" s="7">
        <v>21222</v>
      </c>
      <c r="J46" s="7">
        <v>21265</v>
      </c>
      <c r="K46" s="7">
        <v>21501</v>
      </c>
      <c r="L46" s="7">
        <v>21659</v>
      </c>
      <c r="M46" s="7">
        <v>21900</v>
      </c>
      <c r="N46" s="7">
        <v>21655</v>
      </c>
      <c r="O46" s="7">
        <v>21858</v>
      </c>
      <c r="P46" s="7">
        <v>22645</v>
      </c>
      <c r="Q46" s="7">
        <v>22677</v>
      </c>
      <c r="R46" s="7">
        <v>22865</v>
      </c>
      <c r="S46" s="7">
        <v>22951</v>
      </c>
      <c r="T46" s="7">
        <v>23309</v>
      </c>
      <c r="U46" s="7">
        <v>23250</v>
      </c>
      <c r="V46" s="7">
        <v>23029</v>
      </c>
      <c r="W46" s="7">
        <v>23700</v>
      </c>
      <c r="X46" s="7">
        <v>24651</v>
      </c>
      <c r="Y46" s="7">
        <v>24917</v>
      </c>
      <c r="Z46" s="7">
        <v>26552</v>
      </c>
      <c r="AA46" s="7">
        <v>26954</v>
      </c>
      <c r="AB46" s="7">
        <v>27494</v>
      </c>
      <c r="AC46" s="7">
        <v>27931</v>
      </c>
      <c r="AD46" s="7">
        <v>27306</v>
      </c>
      <c r="AE46" s="7">
        <v>28066</v>
      </c>
      <c r="AF46" s="7">
        <v>28888</v>
      </c>
      <c r="AG46" s="7">
        <v>29001</v>
      </c>
      <c r="AH46" s="7">
        <v>30035</v>
      </c>
      <c r="AI46" s="7">
        <v>30174</v>
      </c>
      <c r="AJ46" s="7">
        <v>32082</v>
      </c>
      <c r="AK46" s="47">
        <v>33291</v>
      </c>
      <c r="AL46" s="47">
        <v>33836</v>
      </c>
      <c r="AM46" s="47">
        <v>34352</v>
      </c>
      <c r="AN46" s="47">
        <v>35231</v>
      </c>
      <c r="AO46" s="47">
        <v>35755</v>
      </c>
      <c r="AP46" s="47">
        <v>35736</v>
      </c>
      <c r="AQ46" s="47">
        <v>38370</v>
      </c>
      <c r="AR46" s="47">
        <v>39648</v>
      </c>
      <c r="AS46" s="47">
        <v>40995</v>
      </c>
      <c r="AT46" s="7">
        <v>42922</v>
      </c>
      <c r="AU46" s="7">
        <v>40086</v>
      </c>
      <c r="AW46" s="7">
        <v>41146</v>
      </c>
      <c r="AX46" s="7">
        <v>41434</v>
      </c>
      <c r="AY46" s="7">
        <v>41172</v>
      </c>
    </row>
    <row r="47" spans="1:51" s="7" customFormat="1">
      <c r="A47" s="54" t="s">
        <v>186</v>
      </c>
      <c r="D47" s="7">
        <v>9417</v>
      </c>
      <c r="E47" s="7">
        <v>9876</v>
      </c>
      <c r="F47" s="7">
        <v>9564</v>
      </c>
      <c r="G47" s="7">
        <v>9496</v>
      </c>
      <c r="H47" s="7">
        <v>9146</v>
      </c>
      <c r="I47" s="7">
        <v>8381</v>
      </c>
      <c r="J47" s="7">
        <v>7744</v>
      </c>
      <c r="K47" s="7">
        <v>7478</v>
      </c>
      <c r="L47" s="7">
        <v>7657</v>
      </c>
      <c r="M47" s="7">
        <v>7398</v>
      </c>
      <c r="N47" s="7">
        <v>7553</v>
      </c>
      <c r="O47" s="7">
        <v>7404</v>
      </c>
      <c r="P47" s="7">
        <v>7767</v>
      </c>
      <c r="Q47" s="7">
        <v>8054</v>
      </c>
      <c r="R47" s="7">
        <v>8151</v>
      </c>
      <c r="S47" s="7">
        <v>8330</v>
      </c>
      <c r="T47" s="7">
        <v>8331</v>
      </c>
      <c r="U47" s="7">
        <v>8410</v>
      </c>
      <c r="V47" s="7">
        <v>8288</v>
      </c>
      <c r="W47" s="7">
        <v>8406</v>
      </c>
      <c r="X47" s="7">
        <v>8677</v>
      </c>
      <c r="Y47" s="7">
        <v>8945</v>
      </c>
      <c r="Z47" s="7">
        <v>9417</v>
      </c>
      <c r="AA47" s="7">
        <v>9522</v>
      </c>
      <c r="AB47" s="7">
        <v>10087</v>
      </c>
      <c r="AC47" s="7">
        <v>10105</v>
      </c>
      <c r="AD47" s="7">
        <v>9889</v>
      </c>
      <c r="AE47" s="7">
        <v>9871</v>
      </c>
      <c r="AF47" s="7">
        <v>10071</v>
      </c>
      <c r="AG47" s="7">
        <v>10024</v>
      </c>
      <c r="AH47" s="7">
        <v>10747</v>
      </c>
      <c r="AI47" s="7">
        <v>10782</v>
      </c>
      <c r="AJ47" s="7">
        <v>10639</v>
      </c>
      <c r="AK47" s="47">
        <v>11025</v>
      </c>
      <c r="AL47" s="47">
        <v>11439</v>
      </c>
      <c r="AM47" s="47">
        <v>11999</v>
      </c>
      <c r="AN47" s="47">
        <v>12150</v>
      </c>
      <c r="AO47" s="47">
        <v>12332</v>
      </c>
      <c r="AP47" s="47">
        <v>12360</v>
      </c>
      <c r="AQ47" s="47">
        <v>12575</v>
      </c>
      <c r="AR47" s="47">
        <v>12596</v>
      </c>
      <c r="AS47" s="47">
        <v>13510</v>
      </c>
      <c r="AT47" s="7">
        <v>14248</v>
      </c>
      <c r="AU47" s="7">
        <v>14119</v>
      </c>
      <c r="AW47" s="7">
        <v>14080</v>
      </c>
      <c r="AX47" s="7">
        <v>14301</v>
      </c>
      <c r="AY47" s="7">
        <v>14370</v>
      </c>
    </row>
    <row r="48" spans="1:51" s="7" customFormat="1">
      <c r="A48" s="54" t="s">
        <v>185</v>
      </c>
      <c r="D48" s="7">
        <v>3867</v>
      </c>
      <c r="E48" s="7">
        <v>4017</v>
      </c>
      <c r="F48" s="7">
        <v>3963</v>
      </c>
      <c r="G48" s="7">
        <v>4028</v>
      </c>
      <c r="H48" s="7">
        <v>4007</v>
      </c>
      <c r="I48" s="7">
        <v>3627</v>
      </c>
      <c r="J48" s="7">
        <v>3541</v>
      </c>
      <c r="K48" s="7">
        <v>3367</v>
      </c>
      <c r="L48" s="7">
        <v>3436</v>
      </c>
      <c r="M48" s="7">
        <v>3613</v>
      </c>
      <c r="N48" s="7">
        <v>3702</v>
      </c>
      <c r="O48" s="7">
        <v>3795</v>
      </c>
      <c r="P48" s="7">
        <v>3755</v>
      </c>
      <c r="Q48" s="7">
        <v>3936</v>
      </c>
      <c r="R48" s="7">
        <v>4072</v>
      </c>
      <c r="S48" s="7">
        <v>4189</v>
      </c>
      <c r="T48" s="7">
        <v>4263</v>
      </c>
      <c r="U48" s="7">
        <v>4209</v>
      </c>
      <c r="V48" s="7">
        <v>4110</v>
      </c>
      <c r="W48" s="7">
        <v>4287</v>
      </c>
      <c r="X48" s="7">
        <v>4202</v>
      </c>
      <c r="Y48" s="7">
        <v>4487</v>
      </c>
      <c r="Z48" s="7">
        <v>4755</v>
      </c>
      <c r="AA48" s="7">
        <v>4555</v>
      </c>
      <c r="AB48" s="7">
        <v>4558</v>
      </c>
      <c r="AC48" s="7">
        <v>4440</v>
      </c>
      <c r="AD48" s="7">
        <v>4484</v>
      </c>
      <c r="AE48" s="7">
        <v>4627</v>
      </c>
      <c r="AF48" s="7">
        <v>4588</v>
      </c>
      <c r="AG48" s="7">
        <v>4730</v>
      </c>
      <c r="AH48" s="7">
        <v>4877</v>
      </c>
      <c r="AI48" s="7">
        <v>4688</v>
      </c>
      <c r="AJ48" s="7">
        <v>4810</v>
      </c>
      <c r="AK48" s="47">
        <v>4882</v>
      </c>
      <c r="AL48" s="47">
        <v>5033</v>
      </c>
      <c r="AM48" s="47">
        <v>5161</v>
      </c>
      <c r="AN48" s="47">
        <v>5487</v>
      </c>
      <c r="AO48" s="47">
        <v>5543</v>
      </c>
      <c r="AP48" s="47">
        <v>5531</v>
      </c>
      <c r="AQ48" s="47">
        <v>5604</v>
      </c>
      <c r="AR48" s="47">
        <v>5727</v>
      </c>
      <c r="AS48" s="47">
        <v>5674</v>
      </c>
      <c r="AT48" s="7">
        <v>5679</v>
      </c>
      <c r="AU48" s="7">
        <v>5983</v>
      </c>
      <c r="AW48" s="7">
        <v>6291</v>
      </c>
      <c r="AX48" s="7">
        <v>6298</v>
      </c>
      <c r="AY48" s="7">
        <v>6427</v>
      </c>
    </row>
    <row r="49" spans="1:51" s="7" customFormat="1">
      <c r="A49" s="54" t="s">
        <v>192</v>
      </c>
      <c r="D49" s="7">
        <v>41811</v>
      </c>
      <c r="E49" s="7">
        <v>44313</v>
      </c>
      <c r="F49" s="7">
        <v>46786</v>
      </c>
      <c r="G49" s="7">
        <v>47475</v>
      </c>
      <c r="H49" s="7">
        <v>47710</v>
      </c>
      <c r="I49" s="7">
        <v>45327</v>
      </c>
      <c r="J49" s="7">
        <v>42968</v>
      </c>
      <c r="K49" s="7">
        <v>41147</v>
      </c>
      <c r="L49" s="7">
        <v>40394</v>
      </c>
      <c r="M49" s="7">
        <v>40650</v>
      </c>
      <c r="N49" s="7">
        <v>40707</v>
      </c>
      <c r="O49" s="7">
        <v>41300</v>
      </c>
      <c r="P49" s="7">
        <v>42197</v>
      </c>
      <c r="Q49" s="7">
        <v>42930</v>
      </c>
      <c r="R49" s="7">
        <v>42527</v>
      </c>
      <c r="S49" s="7">
        <v>43073</v>
      </c>
      <c r="T49" s="7">
        <v>43115</v>
      </c>
      <c r="U49" s="7">
        <v>43975</v>
      </c>
      <c r="V49" s="7">
        <v>43521</v>
      </c>
      <c r="W49" s="7">
        <v>45141</v>
      </c>
      <c r="X49" s="7">
        <v>47044</v>
      </c>
      <c r="Y49" s="7">
        <v>48799</v>
      </c>
      <c r="Z49" s="7">
        <v>50557</v>
      </c>
      <c r="AA49" s="7">
        <v>51487</v>
      </c>
      <c r="AB49" s="7">
        <v>50982</v>
      </c>
      <c r="AC49" s="7">
        <v>49588</v>
      </c>
      <c r="AD49" s="7">
        <v>48681</v>
      </c>
      <c r="AE49" s="7">
        <v>49016</v>
      </c>
      <c r="AF49" s="7">
        <v>49080</v>
      </c>
      <c r="AG49" s="7">
        <v>49736</v>
      </c>
      <c r="AH49" s="7">
        <v>49849</v>
      </c>
      <c r="AI49" s="7">
        <v>50856</v>
      </c>
      <c r="AJ49" s="7">
        <v>52748</v>
      </c>
      <c r="AK49" s="47">
        <v>54852</v>
      </c>
      <c r="AL49" s="47">
        <v>56250</v>
      </c>
      <c r="AM49" s="47">
        <v>56969</v>
      </c>
      <c r="AN49" s="47">
        <v>58522</v>
      </c>
      <c r="AO49" s="47">
        <v>59025</v>
      </c>
      <c r="AP49" s="47">
        <v>59385</v>
      </c>
      <c r="AQ49" s="47">
        <v>60048</v>
      </c>
      <c r="AR49" s="47">
        <v>60986</v>
      </c>
      <c r="AS49" s="47">
        <v>63882</v>
      </c>
      <c r="AT49" s="7">
        <v>66736</v>
      </c>
      <c r="AU49" s="7">
        <v>66193</v>
      </c>
      <c r="AW49" s="7">
        <v>69635</v>
      </c>
      <c r="AX49" s="7">
        <v>70052</v>
      </c>
      <c r="AY49" s="7">
        <v>71631</v>
      </c>
    </row>
    <row r="50" spans="1:51" s="7" customFormat="1">
      <c r="A50" s="54" t="s">
        <v>196</v>
      </c>
      <c r="D50" s="7">
        <v>4636</v>
      </c>
      <c r="E50" s="7">
        <v>4796</v>
      </c>
      <c r="F50" s="7">
        <v>4816</v>
      </c>
      <c r="G50" s="7">
        <v>4976</v>
      </c>
      <c r="H50" s="7">
        <v>4852</v>
      </c>
      <c r="I50" s="7">
        <v>4165</v>
      </c>
      <c r="J50" s="7">
        <v>3695</v>
      </c>
      <c r="K50" s="7">
        <v>3794</v>
      </c>
      <c r="L50" s="7">
        <v>3750</v>
      </c>
      <c r="M50" s="7">
        <v>3689</v>
      </c>
      <c r="N50" s="7">
        <v>3948</v>
      </c>
      <c r="O50" s="7">
        <v>3868</v>
      </c>
      <c r="P50" s="7">
        <v>3909</v>
      </c>
      <c r="Q50" s="7">
        <v>4160</v>
      </c>
      <c r="R50" s="7">
        <v>4089</v>
      </c>
      <c r="S50" s="7">
        <v>4125</v>
      </c>
      <c r="T50" s="7">
        <v>3979</v>
      </c>
      <c r="U50" s="7">
        <v>3738</v>
      </c>
      <c r="V50" s="7">
        <v>3627</v>
      </c>
      <c r="W50" s="7">
        <v>3698</v>
      </c>
      <c r="X50" s="7">
        <v>3617</v>
      </c>
      <c r="Y50" s="7">
        <v>3680</v>
      </c>
      <c r="Z50" s="7">
        <v>4075</v>
      </c>
      <c r="AA50" s="7">
        <v>4252</v>
      </c>
      <c r="AB50" s="7">
        <v>4164</v>
      </c>
      <c r="AC50" s="7">
        <v>4293</v>
      </c>
      <c r="AD50" s="7">
        <v>4439</v>
      </c>
      <c r="AE50" s="7">
        <v>4230</v>
      </c>
      <c r="AF50" s="7">
        <v>4273</v>
      </c>
      <c r="AG50" s="7">
        <v>4246</v>
      </c>
      <c r="AH50" s="7">
        <v>4494</v>
      </c>
      <c r="AI50" s="7">
        <v>4223</v>
      </c>
      <c r="AJ50" s="7">
        <v>4365</v>
      </c>
      <c r="AK50" s="47">
        <v>4344</v>
      </c>
      <c r="AL50" s="47">
        <v>4752</v>
      </c>
      <c r="AM50" s="47">
        <v>4771</v>
      </c>
      <c r="AN50" s="47">
        <v>4850</v>
      </c>
      <c r="AO50" s="47">
        <v>4965</v>
      </c>
      <c r="AP50" s="47">
        <v>4992</v>
      </c>
      <c r="AQ50" s="47">
        <v>5031</v>
      </c>
      <c r="AR50" s="47">
        <v>4976</v>
      </c>
      <c r="AS50" s="47">
        <v>5211</v>
      </c>
      <c r="AT50" s="7">
        <v>5392</v>
      </c>
      <c r="AU50" s="7">
        <v>5641</v>
      </c>
      <c r="AW50" s="7">
        <v>5638</v>
      </c>
      <c r="AX50" s="7">
        <v>6040</v>
      </c>
      <c r="AY50" s="7">
        <v>6068</v>
      </c>
    </row>
    <row r="51" spans="1:51" s="7" customFormat="1">
      <c r="A51" s="58" t="s">
        <v>199</v>
      </c>
      <c r="B51" s="8"/>
      <c r="C51" s="8"/>
      <c r="D51" s="7">
        <v>20936</v>
      </c>
      <c r="E51" s="7">
        <v>22700</v>
      </c>
      <c r="F51" s="7">
        <v>23908</v>
      </c>
      <c r="G51" s="7">
        <v>23390</v>
      </c>
      <c r="H51" s="7">
        <v>23520</v>
      </c>
      <c r="I51" s="7">
        <v>21735</v>
      </c>
      <c r="J51" s="7">
        <v>21161</v>
      </c>
      <c r="K51" s="7">
        <v>20803</v>
      </c>
      <c r="L51" s="7">
        <v>21347</v>
      </c>
      <c r="M51" s="7">
        <v>21734</v>
      </c>
      <c r="N51" s="7">
        <v>21807</v>
      </c>
      <c r="O51" s="7">
        <v>22026</v>
      </c>
      <c r="P51" s="7">
        <v>22371</v>
      </c>
      <c r="Q51" s="7">
        <v>23186</v>
      </c>
      <c r="R51" s="7">
        <v>23827</v>
      </c>
      <c r="S51" s="7">
        <v>24151</v>
      </c>
      <c r="T51" s="7">
        <v>24531</v>
      </c>
      <c r="U51" s="7">
        <v>25322</v>
      </c>
      <c r="V51" s="7">
        <v>25057</v>
      </c>
      <c r="W51" s="7">
        <v>25604</v>
      </c>
      <c r="X51" s="7">
        <v>26276</v>
      </c>
      <c r="Y51" s="7">
        <v>26343</v>
      </c>
      <c r="Z51" s="7">
        <v>27542</v>
      </c>
      <c r="AA51" s="7">
        <v>27709</v>
      </c>
      <c r="AB51" s="7">
        <v>27484</v>
      </c>
      <c r="AC51" s="7">
        <v>26943</v>
      </c>
      <c r="AD51" s="7">
        <v>26936</v>
      </c>
      <c r="AE51" s="7">
        <v>27405</v>
      </c>
      <c r="AF51" s="7">
        <v>27379</v>
      </c>
      <c r="AG51" s="7">
        <v>27345</v>
      </c>
      <c r="AH51" s="7">
        <v>27543</v>
      </c>
      <c r="AI51" s="7">
        <v>28493</v>
      </c>
      <c r="AJ51" s="7">
        <v>28783</v>
      </c>
      <c r="AK51" s="47">
        <v>29645</v>
      </c>
      <c r="AL51" s="47">
        <v>31759</v>
      </c>
      <c r="AM51" s="47">
        <v>31144</v>
      </c>
      <c r="AN51" s="47">
        <v>31434</v>
      </c>
      <c r="AO51" s="47">
        <v>32646</v>
      </c>
      <c r="AP51" s="47">
        <v>33187</v>
      </c>
      <c r="AQ51" s="47">
        <v>33651</v>
      </c>
      <c r="AR51" s="47">
        <v>34109</v>
      </c>
      <c r="AS51" s="47">
        <v>35279</v>
      </c>
      <c r="AT51" s="7">
        <v>36002</v>
      </c>
      <c r="AU51" s="7">
        <v>36927</v>
      </c>
      <c r="AW51" s="7">
        <v>37555</v>
      </c>
      <c r="AX51" s="7">
        <v>37493</v>
      </c>
      <c r="AY51" s="7">
        <v>37023</v>
      </c>
    </row>
    <row r="52" spans="1:51" s="7" customFormat="1">
      <c r="A52" s="54" t="s">
        <v>247</v>
      </c>
      <c r="D52" s="55">
        <f t="shared" ref="D52:AQ52" si="36">SUM(D54:D62)</f>
        <v>189152</v>
      </c>
      <c r="E52" s="55">
        <f t="shared" si="36"/>
        <v>201092</v>
      </c>
      <c r="F52" s="55">
        <f t="shared" si="36"/>
        <v>217290</v>
      </c>
      <c r="G52" s="55">
        <f t="shared" si="36"/>
        <v>230089</v>
      </c>
      <c r="H52" s="55">
        <f t="shared" si="36"/>
        <v>236574</v>
      </c>
      <c r="I52" s="55">
        <f t="shared" si="36"/>
        <v>233854</v>
      </c>
      <c r="J52" s="55">
        <f t="shared" si="36"/>
        <v>237612</v>
      </c>
      <c r="K52" s="55">
        <f t="shared" si="36"/>
        <v>237411</v>
      </c>
      <c r="L52" s="55">
        <f t="shared" si="36"/>
        <v>237171</v>
      </c>
      <c r="M52" s="55">
        <f t="shared" si="36"/>
        <v>236497</v>
      </c>
      <c r="N52" s="55">
        <f t="shared" si="36"/>
        <v>237495</v>
      </c>
      <c r="O52" s="55">
        <f t="shared" si="36"/>
        <v>236883</v>
      </c>
      <c r="P52" s="55">
        <f t="shared" si="36"/>
        <v>242224</v>
      </c>
      <c r="Q52" s="55">
        <f t="shared" si="36"/>
        <v>244187</v>
      </c>
      <c r="R52" s="55">
        <f t="shared" si="36"/>
        <v>243753</v>
      </c>
      <c r="S52" s="55">
        <f t="shared" si="36"/>
        <v>245256</v>
      </c>
      <c r="T52" s="55">
        <f t="shared" si="36"/>
        <v>245248</v>
      </c>
      <c r="U52" s="55">
        <f t="shared" si="36"/>
        <v>245873</v>
      </c>
      <c r="V52" s="55">
        <f t="shared" si="36"/>
        <v>247380</v>
      </c>
      <c r="W52" s="55">
        <f t="shared" si="36"/>
        <v>249493</v>
      </c>
      <c r="X52" s="55">
        <f t="shared" si="36"/>
        <v>255586</v>
      </c>
      <c r="Y52" s="55">
        <f t="shared" si="36"/>
        <v>263615</v>
      </c>
      <c r="Z52" s="55">
        <f t="shared" si="36"/>
        <v>271170</v>
      </c>
      <c r="AA52" s="55">
        <f t="shared" si="36"/>
        <v>272588</v>
      </c>
      <c r="AB52" s="55">
        <f t="shared" si="36"/>
        <v>266289</v>
      </c>
      <c r="AC52" s="55">
        <f t="shared" si="36"/>
        <v>262311</v>
      </c>
      <c r="AD52" s="55">
        <f t="shared" si="36"/>
        <v>262261</v>
      </c>
      <c r="AE52" s="55">
        <f t="shared" si="36"/>
        <v>262294</v>
      </c>
      <c r="AF52" s="55">
        <f t="shared" si="36"/>
        <v>261000</v>
      </c>
      <c r="AG52" s="55">
        <f t="shared" si="36"/>
        <v>263011</v>
      </c>
      <c r="AH52" s="55">
        <f t="shared" si="36"/>
        <v>271691</v>
      </c>
      <c r="AI52" s="55">
        <f t="shared" si="36"/>
        <v>272223</v>
      </c>
      <c r="AJ52" s="55">
        <f t="shared" si="36"/>
        <v>280011</v>
      </c>
      <c r="AK52" s="55">
        <f t="shared" si="36"/>
        <v>295010</v>
      </c>
      <c r="AL52" s="55">
        <f t="shared" si="36"/>
        <v>302988</v>
      </c>
      <c r="AM52" s="55">
        <f t="shared" si="36"/>
        <v>310906</v>
      </c>
      <c r="AN52" s="55">
        <f t="shared" si="36"/>
        <v>317216</v>
      </c>
      <c r="AO52" s="55">
        <f t="shared" si="36"/>
        <v>324314</v>
      </c>
      <c r="AP52" s="55">
        <f t="shared" si="36"/>
        <v>333554</v>
      </c>
      <c r="AQ52" s="55">
        <f t="shared" si="36"/>
        <v>341239</v>
      </c>
      <c r="AR52" s="55">
        <f t="shared" ref="AR52:AS52" si="37">SUM(AR54:AR62)</f>
        <v>351378</v>
      </c>
      <c r="AS52" s="55">
        <f t="shared" si="37"/>
        <v>356314</v>
      </c>
      <c r="AT52" s="55">
        <f t="shared" ref="AT52:AU52" si="38">SUM(AT54:AT62)</f>
        <v>367080</v>
      </c>
      <c r="AU52" s="55">
        <f t="shared" si="38"/>
        <v>373020</v>
      </c>
      <c r="AV52" s="55">
        <f t="shared" ref="AV52:AW52" si="39">SUM(AV54:AV62)</f>
        <v>0</v>
      </c>
      <c r="AW52" s="55">
        <f t="shared" si="39"/>
        <v>385953</v>
      </c>
      <c r="AX52" s="55">
        <f t="shared" ref="AX52:AY52" si="40">SUM(AX54:AX62)</f>
        <v>391312</v>
      </c>
      <c r="AY52" s="55">
        <f t="shared" si="40"/>
        <v>397256</v>
      </c>
    </row>
    <row r="53" spans="1:51" s="7" customFormat="1">
      <c r="A53" s="56" t="s">
        <v>244</v>
      </c>
      <c r="D53" s="57">
        <f t="shared" ref="D53:AQ53" si="41">(D52/D4)*100</f>
        <v>23.958788532835797</v>
      </c>
      <c r="E53" s="57">
        <f t="shared" si="41"/>
        <v>24.029835942942704</v>
      </c>
      <c r="F53" s="57">
        <f t="shared" si="41"/>
        <v>24.577592076896455</v>
      </c>
      <c r="G53" s="57">
        <f t="shared" si="41"/>
        <v>25.034082143133034</v>
      </c>
      <c r="H53" s="57">
        <f t="shared" si="41"/>
        <v>25.097600719699219</v>
      </c>
      <c r="I53" s="57">
        <f t="shared" si="41"/>
        <v>25.42134465035786</v>
      </c>
      <c r="J53" s="57">
        <f t="shared" si="41"/>
        <v>25.754466971239047</v>
      </c>
      <c r="K53" s="57">
        <f t="shared" si="41"/>
        <v>25.896180108641115</v>
      </c>
      <c r="L53" s="57">
        <f t="shared" si="41"/>
        <v>25.841391596162545</v>
      </c>
      <c r="M53" s="57">
        <f t="shared" si="41"/>
        <v>25.757739127972389</v>
      </c>
      <c r="N53" s="57">
        <f t="shared" si="41"/>
        <v>25.640375102293756</v>
      </c>
      <c r="O53" s="57">
        <f t="shared" si="41"/>
        <v>25.420149355436532</v>
      </c>
      <c r="P53" s="57">
        <f t="shared" si="41"/>
        <v>25.504028437016977</v>
      </c>
      <c r="Q53" s="57">
        <f t="shared" si="41"/>
        <v>25.276901354798103</v>
      </c>
      <c r="R53" s="57">
        <f t="shared" si="41"/>
        <v>25.116668710322593</v>
      </c>
      <c r="S53" s="57">
        <f t="shared" si="41"/>
        <v>25.136827087458645</v>
      </c>
      <c r="T53" s="57">
        <f t="shared" si="41"/>
        <v>24.920234277515618</v>
      </c>
      <c r="U53" s="57">
        <f t="shared" si="41"/>
        <v>24.889054901627329</v>
      </c>
      <c r="V53" s="57">
        <f t="shared" si="41"/>
        <v>24.99035258035644</v>
      </c>
      <c r="W53" s="57">
        <f t="shared" si="41"/>
        <v>24.622655847526712</v>
      </c>
      <c r="X53" s="57">
        <f t="shared" si="41"/>
        <v>24.38660418926797</v>
      </c>
      <c r="Y53" s="57">
        <f t="shared" si="41"/>
        <v>24.156915714938958</v>
      </c>
      <c r="Z53" s="57">
        <f t="shared" si="41"/>
        <v>23.930488008281291</v>
      </c>
      <c r="AA53" s="57">
        <f t="shared" si="41"/>
        <v>23.463911242944807</v>
      </c>
      <c r="AB53" s="57">
        <f t="shared" si="41"/>
        <v>22.840936285479753</v>
      </c>
      <c r="AC53" s="57">
        <f t="shared" si="41"/>
        <v>22.674590482776505</v>
      </c>
      <c r="AD53" s="57">
        <f t="shared" si="41"/>
        <v>22.57772092094298</v>
      </c>
      <c r="AE53" s="57">
        <f t="shared" si="41"/>
        <v>22.421912599556681</v>
      </c>
      <c r="AF53" s="57">
        <f t="shared" si="41"/>
        <v>22.094396403946519</v>
      </c>
      <c r="AG53" s="57">
        <f t="shared" si="41"/>
        <v>21.966477050167498</v>
      </c>
      <c r="AH53" s="57">
        <f t="shared" si="41"/>
        <v>22.002157368011027</v>
      </c>
      <c r="AI53" s="57">
        <f t="shared" si="41"/>
        <v>21.934010152284262</v>
      </c>
      <c r="AJ53" s="57">
        <f t="shared" si="41"/>
        <v>21.728934431636084</v>
      </c>
      <c r="AK53" s="57">
        <f t="shared" si="41"/>
        <v>21.927275267912492</v>
      </c>
      <c r="AL53" s="57">
        <f t="shared" si="41"/>
        <v>21.714370896143862</v>
      </c>
      <c r="AM53" s="57">
        <f t="shared" si="41"/>
        <v>21.653625292952086</v>
      </c>
      <c r="AN53" s="57">
        <f t="shared" si="41"/>
        <v>21.685252926028443</v>
      </c>
      <c r="AO53" s="57">
        <f t="shared" si="41"/>
        <v>21.32734115499369</v>
      </c>
      <c r="AP53" s="57">
        <f t="shared" si="41"/>
        <v>21.390154170148286</v>
      </c>
      <c r="AQ53" s="57">
        <f t="shared" si="41"/>
        <v>21.356108075090809</v>
      </c>
      <c r="AR53" s="57">
        <f t="shared" ref="AR53:AS53" si="42">(AR52/AR4)*100</f>
        <v>21.385780669427803</v>
      </c>
      <c r="AS53" s="57">
        <f t="shared" si="42"/>
        <v>21.315286342241972</v>
      </c>
      <c r="AT53" s="57">
        <f t="shared" ref="AT53:AU53" si="43">(AT52/AT4)*100</f>
        <v>20.777779979000339</v>
      </c>
      <c r="AU53" s="57">
        <f t="shared" si="43"/>
        <v>20.597334858816431</v>
      </c>
      <c r="AV53" s="57" t="e">
        <f t="shared" ref="AV53:AW53" si="44">(AV52/AV4)*100</f>
        <v>#DIV/0!</v>
      </c>
      <c r="AW53" s="57">
        <f t="shared" si="44"/>
        <v>20.784220593747175</v>
      </c>
      <c r="AX53" s="57">
        <f t="shared" ref="AX53:AY53" si="45">(AX52/AX4)*100</f>
        <v>20.794293196388185</v>
      </c>
      <c r="AY53" s="57">
        <f t="shared" si="45"/>
        <v>20.766723559746882</v>
      </c>
    </row>
    <row r="54" spans="1:51" s="7" customFormat="1">
      <c r="A54" s="54" t="s">
        <v>171</v>
      </c>
      <c r="D54" s="7">
        <v>10918</v>
      </c>
      <c r="E54" s="7">
        <v>11499</v>
      </c>
      <c r="F54" s="7">
        <v>12565</v>
      </c>
      <c r="G54" s="7">
        <v>13617</v>
      </c>
      <c r="H54" s="7">
        <v>14257</v>
      </c>
      <c r="I54" s="7">
        <v>13647</v>
      </c>
      <c r="J54" s="7">
        <v>13628</v>
      </c>
      <c r="K54" s="7">
        <v>13396</v>
      </c>
      <c r="L54" s="7">
        <v>13433</v>
      </c>
      <c r="M54" s="7">
        <v>12701</v>
      </c>
      <c r="N54" s="7">
        <v>13011</v>
      </c>
      <c r="O54" s="7">
        <v>13312</v>
      </c>
      <c r="P54" s="7">
        <v>13215</v>
      </c>
      <c r="Q54" s="7">
        <v>13120</v>
      </c>
      <c r="R54" s="7">
        <v>13308</v>
      </c>
      <c r="S54" s="7">
        <v>13516</v>
      </c>
      <c r="T54" s="7">
        <v>14017</v>
      </c>
      <c r="U54" s="7">
        <v>13499</v>
      </c>
      <c r="V54" s="7">
        <v>13680</v>
      </c>
      <c r="W54" s="7">
        <v>13525</v>
      </c>
      <c r="X54" s="7">
        <v>14179</v>
      </c>
      <c r="Y54" s="7">
        <v>14630</v>
      </c>
      <c r="Z54" s="7">
        <v>15019</v>
      </c>
      <c r="AA54" s="7">
        <v>14931</v>
      </c>
      <c r="AB54" s="7">
        <v>13929</v>
      </c>
      <c r="AC54" s="7">
        <v>13972</v>
      </c>
      <c r="AD54" s="7">
        <v>13401</v>
      </c>
      <c r="AE54" s="7">
        <v>13513</v>
      </c>
      <c r="AF54" s="7">
        <v>13578</v>
      </c>
      <c r="AG54" s="7">
        <v>13975</v>
      </c>
      <c r="AH54" s="7">
        <v>15072</v>
      </c>
      <c r="AI54" s="7">
        <v>14080</v>
      </c>
      <c r="AJ54" s="7">
        <v>14647</v>
      </c>
      <c r="AK54" s="47">
        <v>15850</v>
      </c>
      <c r="AL54" s="47">
        <v>16643</v>
      </c>
      <c r="AM54" s="47">
        <v>16617</v>
      </c>
      <c r="AN54" s="47">
        <v>17143</v>
      </c>
      <c r="AO54" s="47">
        <v>18290</v>
      </c>
      <c r="AP54" s="47">
        <v>18715</v>
      </c>
      <c r="AQ54" s="47">
        <v>18950</v>
      </c>
      <c r="AR54" s="47">
        <v>19483</v>
      </c>
      <c r="AS54" s="47">
        <v>19263</v>
      </c>
      <c r="AT54" s="7">
        <v>20710</v>
      </c>
      <c r="AU54" s="7">
        <v>21041</v>
      </c>
      <c r="AW54" s="7">
        <v>21890</v>
      </c>
      <c r="AX54" s="7">
        <v>22213</v>
      </c>
      <c r="AY54" s="7">
        <v>22914</v>
      </c>
    </row>
    <row r="55" spans="1:51" s="7" customFormat="1">
      <c r="A55" s="54" t="s">
        <v>180</v>
      </c>
      <c r="D55" s="7">
        <v>4118</v>
      </c>
      <c r="E55" s="7">
        <v>4482</v>
      </c>
      <c r="F55" s="7">
        <v>4390</v>
      </c>
      <c r="G55" s="7">
        <v>4602</v>
      </c>
      <c r="H55" s="7">
        <v>4757</v>
      </c>
      <c r="I55" s="7">
        <v>4690</v>
      </c>
      <c r="J55" s="7">
        <v>4716</v>
      </c>
      <c r="K55" s="7">
        <v>4600</v>
      </c>
      <c r="L55" s="7">
        <v>4679</v>
      </c>
      <c r="M55" s="7">
        <v>4559</v>
      </c>
      <c r="N55" s="7">
        <v>4848</v>
      </c>
      <c r="O55" s="7">
        <v>4817</v>
      </c>
      <c r="P55" s="7">
        <v>4678</v>
      </c>
      <c r="Q55" s="7">
        <v>4879</v>
      </c>
      <c r="R55" s="7">
        <v>4882</v>
      </c>
      <c r="S55" s="7">
        <v>5019</v>
      </c>
      <c r="T55" s="7">
        <v>5178</v>
      </c>
      <c r="U55" s="7">
        <v>5122</v>
      </c>
      <c r="V55" s="7">
        <v>5168</v>
      </c>
      <c r="W55" s="7">
        <v>5173</v>
      </c>
      <c r="X55" s="7">
        <v>4944</v>
      </c>
      <c r="Y55" s="7">
        <v>5227</v>
      </c>
      <c r="Z55" s="7">
        <v>5778</v>
      </c>
      <c r="AA55" s="7">
        <v>5976</v>
      </c>
      <c r="AB55" s="7">
        <v>5953</v>
      </c>
      <c r="AC55" s="7">
        <v>5893</v>
      </c>
      <c r="AD55" s="7">
        <v>5619</v>
      </c>
      <c r="AE55" s="7">
        <v>5565</v>
      </c>
      <c r="AF55" s="7">
        <v>5442</v>
      </c>
      <c r="AG55" s="7">
        <v>5581</v>
      </c>
      <c r="AH55" s="7">
        <v>5672</v>
      </c>
      <c r="AI55" s="7">
        <v>5429</v>
      </c>
      <c r="AJ55" s="7">
        <v>5793</v>
      </c>
      <c r="AK55" s="47">
        <v>6158</v>
      </c>
      <c r="AL55" s="47">
        <v>6059</v>
      </c>
      <c r="AM55" s="47">
        <v>6500</v>
      </c>
      <c r="AN55" s="47">
        <v>6544</v>
      </c>
      <c r="AO55" s="47">
        <v>6900</v>
      </c>
      <c r="AP55" s="47">
        <v>7109</v>
      </c>
      <c r="AQ55" s="47">
        <v>6909</v>
      </c>
      <c r="AR55" s="47">
        <v>7088</v>
      </c>
      <c r="AS55" s="47">
        <v>7347</v>
      </c>
      <c r="AT55" s="7">
        <v>7684</v>
      </c>
      <c r="AU55" s="7">
        <v>7335</v>
      </c>
      <c r="AW55" s="7">
        <v>7418</v>
      </c>
      <c r="AX55" s="7">
        <v>7652</v>
      </c>
      <c r="AY55" s="7">
        <v>7688</v>
      </c>
    </row>
    <row r="56" spans="1:51" s="7" customFormat="1">
      <c r="A56" s="54" t="s">
        <v>179</v>
      </c>
      <c r="D56" s="7">
        <v>29455</v>
      </c>
      <c r="E56" s="7">
        <v>30632</v>
      </c>
      <c r="F56" s="7">
        <v>33067</v>
      </c>
      <c r="G56" s="7">
        <v>34942</v>
      </c>
      <c r="H56" s="7">
        <v>36465</v>
      </c>
      <c r="I56" s="7">
        <v>36569</v>
      </c>
      <c r="J56" s="7">
        <v>37459</v>
      </c>
      <c r="K56" s="7">
        <v>37405</v>
      </c>
      <c r="L56" s="7">
        <v>38434</v>
      </c>
      <c r="M56" s="7">
        <v>37803</v>
      </c>
      <c r="N56" s="7">
        <v>38285</v>
      </c>
      <c r="O56" s="7">
        <v>38792</v>
      </c>
      <c r="P56" s="7">
        <v>39916</v>
      </c>
      <c r="Q56" s="7">
        <v>39171</v>
      </c>
      <c r="R56" s="7">
        <v>40145</v>
      </c>
      <c r="S56" s="7">
        <v>40458</v>
      </c>
      <c r="T56" s="7">
        <v>40383</v>
      </c>
      <c r="U56" s="7">
        <v>41570</v>
      </c>
      <c r="V56" s="7">
        <v>41801</v>
      </c>
      <c r="W56" s="7">
        <v>41805</v>
      </c>
      <c r="X56" s="7">
        <v>43491</v>
      </c>
      <c r="Y56" s="7">
        <v>44487</v>
      </c>
      <c r="Z56" s="7">
        <v>45051</v>
      </c>
      <c r="AA56" s="7">
        <v>42747</v>
      </c>
      <c r="AB56" s="7">
        <v>42351</v>
      </c>
      <c r="AC56" s="7">
        <v>40279</v>
      </c>
      <c r="AD56" s="7">
        <v>40725</v>
      </c>
      <c r="AE56" s="7">
        <v>40429</v>
      </c>
      <c r="AF56" s="7">
        <v>40727</v>
      </c>
      <c r="AG56" s="7">
        <v>41241</v>
      </c>
      <c r="AH56" s="7">
        <v>42308</v>
      </c>
      <c r="AI56" s="7">
        <v>42731</v>
      </c>
      <c r="AJ56" s="7">
        <v>43097</v>
      </c>
      <c r="AK56" s="47">
        <v>44726</v>
      </c>
      <c r="AL56" s="47">
        <v>45583</v>
      </c>
      <c r="AM56" s="47">
        <v>45714</v>
      </c>
      <c r="AN56" s="47">
        <v>47024</v>
      </c>
      <c r="AO56" s="47">
        <v>47885</v>
      </c>
      <c r="AP56" s="47">
        <v>49526</v>
      </c>
      <c r="AQ56" s="47">
        <v>50106</v>
      </c>
      <c r="AR56" s="47">
        <v>52203</v>
      </c>
      <c r="AS56" s="47">
        <v>53714</v>
      </c>
      <c r="AT56" s="7">
        <v>55759</v>
      </c>
      <c r="AU56" s="7">
        <v>56984</v>
      </c>
      <c r="AW56" s="7">
        <v>59515</v>
      </c>
      <c r="AX56" s="7">
        <v>60994</v>
      </c>
      <c r="AY56" s="7">
        <v>61607</v>
      </c>
    </row>
    <row r="57" spans="1:51" s="7" customFormat="1">
      <c r="A57" s="54" t="s">
        <v>187</v>
      </c>
      <c r="D57" s="7">
        <v>4180</v>
      </c>
      <c r="E57" s="7">
        <v>4328</v>
      </c>
      <c r="F57" s="7">
        <v>4701</v>
      </c>
      <c r="G57" s="7">
        <v>4925</v>
      </c>
      <c r="H57" s="7">
        <v>5259</v>
      </c>
      <c r="I57" s="7">
        <v>5023</v>
      </c>
      <c r="J57" s="7">
        <v>5254</v>
      </c>
      <c r="K57" s="7">
        <v>5300</v>
      </c>
      <c r="L57" s="7">
        <v>6177</v>
      </c>
      <c r="M57" s="7">
        <v>5418</v>
      </c>
      <c r="N57" s="7">
        <v>5751</v>
      </c>
      <c r="O57" s="7">
        <v>6025</v>
      </c>
      <c r="P57" s="7">
        <v>6111</v>
      </c>
      <c r="Q57" s="7">
        <v>6701</v>
      </c>
      <c r="R57" s="7">
        <v>6316</v>
      </c>
      <c r="S57" s="7">
        <v>6313</v>
      </c>
      <c r="T57" s="7">
        <v>6558</v>
      </c>
      <c r="U57" s="7">
        <v>6770</v>
      </c>
      <c r="V57" s="7">
        <v>6778</v>
      </c>
      <c r="W57" s="7">
        <v>6797</v>
      </c>
      <c r="X57" s="7">
        <v>6745</v>
      </c>
      <c r="Y57" s="7">
        <v>7128</v>
      </c>
      <c r="Z57" s="7">
        <v>7430</v>
      </c>
      <c r="AA57" s="7">
        <v>7524</v>
      </c>
      <c r="AB57" s="7">
        <v>7546</v>
      </c>
      <c r="AC57" s="7">
        <v>7395</v>
      </c>
      <c r="AD57" s="7">
        <v>7657</v>
      </c>
      <c r="AE57" s="7">
        <v>7581</v>
      </c>
      <c r="AF57" s="7">
        <v>7600</v>
      </c>
      <c r="AG57" s="7">
        <v>7453</v>
      </c>
      <c r="AH57" s="7">
        <v>7776</v>
      </c>
      <c r="AI57" s="7">
        <v>7254</v>
      </c>
      <c r="AJ57" s="7">
        <v>7249</v>
      </c>
      <c r="AK57" s="47">
        <v>7563</v>
      </c>
      <c r="AL57" s="47">
        <v>7908</v>
      </c>
      <c r="AM57" s="47">
        <v>8107</v>
      </c>
      <c r="AN57" s="47">
        <v>8030</v>
      </c>
      <c r="AO57" s="47">
        <v>8306</v>
      </c>
      <c r="AP57" s="47">
        <v>8460</v>
      </c>
      <c r="AQ57" s="47">
        <v>8879</v>
      </c>
      <c r="AR57" s="47">
        <v>9396</v>
      </c>
      <c r="AS57" s="47">
        <v>9479</v>
      </c>
      <c r="AT57" s="7">
        <v>9270</v>
      </c>
      <c r="AU57" s="7">
        <v>9769</v>
      </c>
      <c r="AW57" s="7">
        <v>11832</v>
      </c>
      <c r="AX57" s="7">
        <v>12527</v>
      </c>
      <c r="AY57" s="7">
        <v>14869</v>
      </c>
    </row>
    <row r="58" spans="1:51" s="7" customFormat="1">
      <c r="A58" s="54" t="s">
        <v>188</v>
      </c>
      <c r="D58" s="7">
        <v>18007</v>
      </c>
      <c r="E58" s="7">
        <v>19690</v>
      </c>
      <c r="F58" s="7">
        <v>22194</v>
      </c>
      <c r="G58" s="7">
        <v>23760</v>
      </c>
      <c r="H58" s="7">
        <v>24812</v>
      </c>
      <c r="I58" s="7">
        <v>25188</v>
      </c>
      <c r="J58" s="7">
        <v>25812</v>
      </c>
      <c r="K58" s="7">
        <v>25534</v>
      </c>
      <c r="L58" s="7">
        <v>25086</v>
      </c>
      <c r="M58" s="7">
        <v>25233</v>
      </c>
      <c r="N58" s="7">
        <v>24431</v>
      </c>
      <c r="O58" s="7">
        <v>24474</v>
      </c>
      <c r="P58" s="7">
        <v>24892</v>
      </c>
      <c r="Q58" s="7">
        <v>25507</v>
      </c>
      <c r="R58" s="7">
        <v>24068</v>
      </c>
      <c r="S58" s="7">
        <v>23764</v>
      </c>
      <c r="T58" s="7">
        <v>23450</v>
      </c>
      <c r="U58" s="7">
        <v>23328</v>
      </c>
      <c r="V58" s="7">
        <v>22327</v>
      </c>
      <c r="W58" s="7">
        <v>22898</v>
      </c>
      <c r="X58" s="7">
        <v>22859</v>
      </c>
      <c r="Y58" s="7">
        <v>23624</v>
      </c>
      <c r="Z58" s="7">
        <v>24207</v>
      </c>
      <c r="AA58" s="7">
        <v>25185</v>
      </c>
      <c r="AB58" s="7">
        <v>25234</v>
      </c>
      <c r="AC58" s="7">
        <v>24627</v>
      </c>
      <c r="AD58" s="7">
        <v>24572</v>
      </c>
      <c r="AE58" s="7">
        <v>24845</v>
      </c>
      <c r="AF58" s="7">
        <v>25056</v>
      </c>
      <c r="AG58" s="7">
        <v>25574</v>
      </c>
      <c r="AH58" s="7">
        <v>26939</v>
      </c>
      <c r="AI58" s="7">
        <v>26948</v>
      </c>
      <c r="AJ58" s="7">
        <v>28376</v>
      </c>
      <c r="AK58" s="47">
        <v>29604</v>
      </c>
      <c r="AL58" s="47">
        <v>30564</v>
      </c>
      <c r="AM58" s="47">
        <v>31987</v>
      </c>
      <c r="AN58" s="47">
        <v>32251</v>
      </c>
      <c r="AO58" s="47">
        <v>32727</v>
      </c>
      <c r="AP58" s="47">
        <v>33645</v>
      </c>
      <c r="AQ58" s="47">
        <v>34625</v>
      </c>
      <c r="AR58" s="47">
        <v>36001</v>
      </c>
      <c r="AS58" s="47">
        <v>37087</v>
      </c>
      <c r="AT58" s="7">
        <v>39804</v>
      </c>
      <c r="AU58" s="7">
        <v>40295</v>
      </c>
      <c r="AW58" s="7">
        <v>42016</v>
      </c>
      <c r="AX58" s="7">
        <v>42479</v>
      </c>
      <c r="AY58" s="7">
        <v>43720</v>
      </c>
    </row>
    <row r="59" spans="1:51" s="7" customFormat="1">
      <c r="A59" s="54" t="s">
        <v>191</v>
      </c>
      <c r="D59" s="7">
        <v>67481</v>
      </c>
      <c r="E59" s="7">
        <v>72235</v>
      </c>
      <c r="F59" s="7">
        <v>78805</v>
      </c>
      <c r="G59" s="7">
        <v>82167</v>
      </c>
      <c r="H59" s="7">
        <v>83907</v>
      </c>
      <c r="I59" s="7">
        <v>82932</v>
      </c>
      <c r="J59" s="7">
        <v>85547</v>
      </c>
      <c r="K59" s="7">
        <v>86844</v>
      </c>
      <c r="L59" s="7">
        <v>85221</v>
      </c>
      <c r="M59" s="7">
        <v>85601</v>
      </c>
      <c r="N59" s="7">
        <v>85140</v>
      </c>
      <c r="O59" s="7">
        <v>83783</v>
      </c>
      <c r="P59" s="7">
        <v>86140</v>
      </c>
      <c r="Q59" s="7">
        <v>86364</v>
      </c>
      <c r="R59" s="7">
        <v>87094</v>
      </c>
      <c r="S59" s="7">
        <v>87603</v>
      </c>
      <c r="T59" s="7">
        <v>87185</v>
      </c>
      <c r="U59" s="7">
        <v>86632</v>
      </c>
      <c r="V59" s="7">
        <v>87071</v>
      </c>
      <c r="W59" s="7">
        <v>87719</v>
      </c>
      <c r="X59" s="7">
        <v>89567</v>
      </c>
      <c r="Y59" s="7">
        <v>92629</v>
      </c>
      <c r="Z59" s="7">
        <v>95611</v>
      </c>
      <c r="AA59" s="7">
        <v>97104</v>
      </c>
      <c r="AB59" s="7">
        <v>93134</v>
      </c>
      <c r="AC59" s="7">
        <v>93549</v>
      </c>
      <c r="AD59" s="7">
        <v>95295</v>
      </c>
      <c r="AE59" s="7">
        <v>95290</v>
      </c>
      <c r="AF59" s="7">
        <v>92489</v>
      </c>
      <c r="AG59" s="7">
        <v>92042</v>
      </c>
      <c r="AH59" s="7">
        <v>94417</v>
      </c>
      <c r="AI59" s="7">
        <v>96287</v>
      </c>
      <c r="AJ59" s="7">
        <v>98332</v>
      </c>
      <c r="AK59" s="47">
        <v>105103</v>
      </c>
      <c r="AL59" s="47">
        <v>106989</v>
      </c>
      <c r="AM59" s="47">
        <v>109852</v>
      </c>
      <c r="AN59" s="47">
        <v>111766</v>
      </c>
      <c r="AO59" s="47">
        <v>114081</v>
      </c>
      <c r="AP59" s="47">
        <v>118387</v>
      </c>
      <c r="AQ59" s="47">
        <v>120999</v>
      </c>
      <c r="AR59" s="47">
        <v>123703</v>
      </c>
      <c r="AS59" s="47">
        <v>124528</v>
      </c>
      <c r="AT59" s="7">
        <v>126585</v>
      </c>
      <c r="AU59" s="7">
        <v>129861</v>
      </c>
      <c r="AW59" s="7">
        <v>133581</v>
      </c>
      <c r="AX59" s="7">
        <v>136290</v>
      </c>
      <c r="AY59" s="7">
        <v>136680</v>
      </c>
    </row>
    <row r="60" spans="1:51" s="7" customFormat="1">
      <c r="A60" s="54" t="s">
        <v>194</v>
      </c>
      <c r="D60" s="7">
        <v>47315</v>
      </c>
      <c r="E60" s="7">
        <v>50074</v>
      </c>
      <c r="F60" s="7">
        <v>52618</v>
      </c>
      <c r="G60" s="7">
        <v>56262</v>
      </c>
      <c r="H60" s="7">
        <v>56989</v>
      </c>
      <c r="I60" s="7">
        <v>55545</v>
      </c>
      <c r="J60" s="7">
        <v>54571</v>
      </c>
      <c r="K60" s="7">
        <v>53786</v>
      </c>
      <c r="L60" s="7">
        <v>53514</v>
      </c>
      <c r="M60" s="7">
        <v>54213</v>
      </c>
      <c r="N60" s="7">
        <v>55003</v>
      </c>
      <c r="O60" s="7">
        <v>54446</v>
      </c>
      <c r="P60" s="7">
        <v>55487</v>
      </c>
      <c r="Q60" s="7">
        <v>56972</v>
      </c>
      <c r="R60" s="7">
        <v>56337</v>
      </c>
      <c r="S60" s="7">
        <v>56871</v>
      </c>
      <c r="T60" s="7">
        <v>56669</v>
      </c>
      <c r="U60" s="7">
        <v>57147</v>
      </c>
      <c r="V60" s="7">
        <v>58348</v>
      </c>
      <c r="W60" s="7">
        <v>58890</v>
      </c>
      <c r="X60" s="7">
        <v>60495</v>
      </c>
      <c r="Y60" s="7">
        <v>62184</v>
      </c>
      <c r="Z60" s="7">
        <v>64304</v>
      </c>
      <c r="AA60" s="7">
        <v>65073</v>
      </c>
      <c r="AB60" s="7">
        <v>64326</v>
      </c>
      <c r="AC60" s="7">
        <v>63027</v>
      </c>
      <c r="AD60" s="7">
        <v>61753</v>
      </c>
      <c r="AE60" s="7">
        <v>62443</v>
      </c>
      <c r="AF60" s="7">
        <v>63484</v>
      </c>
      <c r="AG60" s="7">
        <v>63986</v>
      </c>
      <c r="AH60" s="7">
        <v>66273</v>
      </c>
      <c r="AI60" s="7">
        <v>66514</v>
      </c>
      <c r="AJ60" s="7">
        <v>68999</v>
      </c>
      <c r="AK60" s="47">
        <v>72351</v>
      </c>
      <c r="AL60" s="47">
        <v>75343</v>
      </c>
      <c r="AM60" s="47">
        <v>77765</v>
      </c>
      <c r="AN60" s="47">
        <v>79791</v>
      </c>
      <c r="AO60" s="47">
        <v>81042</v>
      </c>
      <c r="AP60" s="47">
        <v>82132</v>
      </c>
      <c r="AQ60" s="47">
        <v>84692</v>
      </c>
      <c r="AR60" s="47">
        <v>86969</v>
      </c>
      <c r="AS60" s="47">
        <v>87933</v>
      </c>
      <c r="AT60" s="7">
        <v>89972</v>
      </c>
      <c r="AU60" s="7">
        <v>90469</v>
      </c>
      <c r="AW60" s="7">
        <v>91856</v>
      </c>
      <c r="AX60" s="7">
        <v>91011</v>
      </c>
      <c r="AY60" s="7">
        <v>91273</v>
      </c>
    </row>
    <row r="61" spans="1:51" s="7" customFormat="1">
      <c r="A61" s="54" t="s">
        <v>195</v>
      </c>
      <c r="D61" s="7">
        <v>4793</v>
      </c>
      <c r="E61" s="7">
        <v>5107</v>
      </c>
      <c r="F61" s="7">
        <v>5605</v>
      </c>
      <c r="G61" s="7">
        <v>6261</v>
      </c>
      <c r="H61" s="7">
        <v>6307</v>
      </c>
      <c r="I61" s="7">
        <v>6479</v>
      </c>
      <c r="J61" s="7">
        <v>6495</v>
      </c>
      <c r="K61" s="7">
        <v>6545</v>
      </c>
      <c r="L61" s="7">
        <v>6859</v>
      </c>
      <c r="M61" s="7">
        <v>7187</v>
      </c>
      <c r="N61" s="7">
        <v>7058</v>
      </c>
      <c r="O61" s="7">
        <v>7263</v>
      </c>
      <c r="P61" s="7">
        <v>7500</v>
      </c>
      <c r="Q61" s="7">
        <v>7588</v>
      </c>
      <c r="R61" s="7">
        <v>7701</v>
      </c>
      <c r="S61" s="7">
        <v>7636</v>
      </c>
      <c r="T61" s="7">
        <v>7809</v>
      </c>
      <c r="U61" s="7">
        <v>7737</v>
      </c>
      <c r="V61" s="7">
        <v>7934</v>
      </c>
      <c r="W61" s="7">
        <v>8493</v>
      </c>
      <c r="X61" s="7">
        <v>8789</v>
      </c>
      <c r="Y61" s="7">
        <v>9153</v>
      </c>
      <c r="Z61" s="7">
        <v>9249</v>
      </c>
      <c r="AA61" s="7">
        <v>9341</v>
      </c>
      <c r="AB61" s="7">
        <v>9145</v>
      </c>
      <c r="AC61" s="7">
        <v>8978</v>
      </c>
      <c r="AD61" s="7">
        <v>8744</v>
      </c>
      <c r="AE61" s="7">
        <v>8319</v>
      </c>
      <c r="AF61" s="7">
        <v>8169</v>
      </c>
      <c r="AG61" s="7">
        <v>8396</v>
      </c>
      <c r="AH61" s="7">
        <v>8402</v>
      </c>
      <c r="AI61" s="7">
        <v>8283</v>
      </c>
      <c r="AJ61" s="7">
        <v>8845</v>
      </c>
      <c r="AK61" s="47">
        <v>9110</v>
      </c>
      <c r="AL61" s="47">
        <v>9251</v>
      </c>
      <c r="AM61" s="47">
        <v>9472</v>
      </c>
      <c r="AN61" s="47">
        <v>9686</v>
      </c>
      <c r="AO61" s="47">
        <v>9982</v>
      </c>
      <c r="AP61" s="47">
        <v>10265</v>
      </c>
      <c r="AQ61" s="47">
        <v>10291</v>
      </c>
      <c r="AR61" s="47">
        <v>10647</v>
      </c>
      <c r="AS61" s="47">
        <v>10863</v>
      </c>
      <c r="AT61" s="7">
        <v>11013</v>
      </c>
      <c r="AU61" s="7">
        <v>11060</v>
      </c>
      <c r="AW61" s="7">
        <v>11685</v>
      </c>
      <c r="AX61" s="7">
        <v>11924</v>
      </c>
      <c r="AY61" s="7">
        <v>12077</v>
      </c>
    </row>
    <row r="62" spans="1:51" s="7" customFormat="1">
      <c r="A62" s="58" t="s">
        <v>198</v>
      </c>
      <c r="D62" s="7">
        <v>2885</v>
      </c>
      <c r="E62" s="7">
        <v>3045</v>
      </c>
      <c r="F62" s="7">
        <v>3345</v>
      </c>
      <c r="G62" s="7">
        <v>3553</v>
      </c>
      <c r="H62" s="7">
        <v>3821</v>
      </c>
      <c r="I62" s="7">
        <v>3781</v>
      </c>
      <c r="J62" s="7">
        <v>4130</v>
      </c>
      <c r="K62" s="7">
        <v>4001</v>
      </c>
      <c r="L62" s="7">
        <v>3768</v>
      </c>
      <c r="M62" s="7">
        <v>3782</v>
      </c>
      <c r="N62" s="7">
        <v>3968</v>
      </c>
      <c r="O62" s="7">
        <v>3971</v>
      </c>
      <c r="P62" s="7">
        <v>4285</v>
      </c>
      <c r="Q62" s="7">
        <v>3885</v>
      </c>
      <c r="R62" s="7">
        <v>3902</v>
      </c>
      <c r="S62" s="7">
        <v>4076</v>
      </c>
      <c r="T62" s="7">
        <v>3999</v>
      </c>
      <c r="U62" s="7">
        <v>4068</v>
      </c>
      <c r="V62" s="7">
        <v>4273</v>
      </c>
      <c r="W62" s="7">
        <v>4193</v>
      </c>
      <c r="X62" s="7">
        <v>4517</v>
      </c>
      <c r="Y62" s="7">
        <v>4553</v>
      </c>
      <c r="Z62" s="7">
        <v>4521</v>
      </c>
      <c r="AA62" s="7">
        <v>4707</v>
      </c>
      <c r="AB62" s="7">
        <v>4671</v>
      </c>
      <c r="AC62" s="7">
        <v>4591</v>
      </c>
      <c r="AD62" s="7">
        <v>4495</v>
      </c>
      <c r="AE62" s="7">
        <v>4309</v>
      </c>
      <c r="AF62" s="7">
        <v>4455</v>
      </c>
      <c r="AG62" s="7">
        <v>4763</v>
      </c>
      <c r="AH62" s="7">
        <v>4832</v>
      </c>
      <c r="AI62" s="7">
        <v>4697</v>
      </c>
      <c r="AJ62" s="7">
        <v>4673</v>
      </c>
      <c r="AK62" s="47">
        <v>4545</v>
      </c>
      <c r="AL62" s="47">
        <v>4648</v>
      </c>
      <c r="AM62" s="47">
        <v>4892</v>
      </c>
      <c r="AN62" s="47">
        <v>4981</v>
      </c>
      <c r="AO62" s="47">
        <v>5101</v>
      </c>
      <c r="AP62" s="47">
        <v>5315</v>
      </c>
      <c r="AQ62" s="47">
        <v>5788</v>
      </c>
      <c r="AR62" s="47">
        <v>5888</v>
      </c>
      <c r="AS62" s="47">
        <v>6100</v>
      </c>
      <c r="AT62" s="8">
        <v>6283</v>
      </c>
      <c r="AU62" s="7">
        <v>6206</v>
      </c>
      <c r="AW62" s="7">
        <v>6160</v>
      </c>
      <c r="AX62" s="7">
        <v>6222</v>
      </c>
      <c r="AY62" s="7">
        <v>6428</v>
      </c>
    </row>
    <row r="63" spans="1:51" s="7" customFormat="1">
      <c r="A63" s="65" t="s">
        <v>172</v>
      </c>
      <c r="B63" s="65"/>
      <c r="C63" s="65"/>
      <c r="D63" s="65">
        <v>5854</v>
      </c>
      <c r="E63" s="65">
        <v>5997</v>
      </c>
      <c r="F63" s="65">
        <v>6377</v>
      </c>
      <c r="G63" s="65">
        <v>6535</v>
      </c>
      <c r="H63" s="65">
        <v>6864</v>
      </c>
      <c r="I63" s="65">
        <v>6641</v>
      </c>
      <c r="J63" s="65">
        <v>6989</v>
      </c>
      <c r="K63" s="65">
        <v>6611</v>
      </c>
      <c r="L63" s="65">
        <v>6727</v>
      </c>
      <c r="M63" s="65">
        <v>6833</v>
      </c>
      <c r="N63" s="65">
        <v>6532</v>
      </c>
      <c r="O63" s="65">
        <v>6807</v>
      </c>
      <c r="P63" s="65">
        <v>6785</v>
      </c>
      <c r="Q63" s="65">
        <v>6914</v>
      </c>
      <c r="R63" s="65">
        <v>6774</v>
      </c>
      <c r="S63" s="65">
        <v>7093</v>
      </c>
      <c r="T63" s="65">
        <v>6875</v>
      </c>
      <c r="U63" s="65">
        <v>6711</v>
      </c>
      <c r="V63" s="65">
        <v>6933</v>
      </c>
      <c r="W63" s="65">
        <v>7482</v>
      </c>
      <c r="X63" s="65">
        <v>7483</v>
      </c>
      <c r="Y63" s="65">
        <v>7614</v>
      </c>
      <c r="Z63" s="65">
        <v>8206</v>
      </c>
      <c r="AA63" s="65">
        <v>8095</v>
      </c>
      <c r="AB63" s="65">
        <v>7184</v>
      </c>
      <c r="AC63" s="65">
        <v>7027</v>
      </c>
      <c r="AD63" s="65">
        <v>7113</v>
      </c>
      <c r="AE63" s="65">
        <v>7229</v>
      </c>
      <c r="AF63" s="65">
        <v>7369</v>
      </c>
      <c r="AG63" s="65">
        <v>7025</v>
      </c>
      <c r="AH63" s="65">
        <v>6806</v>
      </c>
      <c r="AI63" s="65">
        <v>8166</v>
      </c>
      <c r="AJ63" s="65">
        <v>8591</v>
      </c>
      <c r="AK63" s="65">
        <v>8900</v>
      </c>
      <c r="AL63" s="65">
        <v>9435</v>
      </c>
      <c r="AM63" s="65">
        <v>9199</v>
      </c>
      <c r="AN63" s="65">
        <v>10556</v>
      </c>
      <c r="AO63" s="65">
        <v>10261</v>
      </c>
      <c r="AP63" s="65">
        <v>10736</v>
      </c>
      <c r="AQ63" s="65">
        <v>10957</v>
      </c>
      <c r="AR63" s="65">
        <v>8654</v>
      </c>
      <c r="AS63" s="65">
        <v>8144</v>
      </c>
      <c r="AT63" s="8">
        <v>9212</v>
      </c>
      <c r="AU63" s="91">
        <v>9299</v>
      </c>
      <c r="AV63" s="91"/>
      <c r="AW63" s="91">
        <v>9272</v>
      </c>
      <c r="AX63" s="91">
        <v>9337</v>
      </c>
      <c r="AY63" s="91">
        <v>9519</v>
      </c>
    </row>
    <row r="64" spans="1:51" s="7" customFormat="1">
      <c r="AK64" s="47"/>
      <c r="AL64" s="50"/>
      <c r="AM64" s="47"/>
      <c r="AN64" s="47"/>
      <c r="AO64" s="47"/>
      <c r="AP64" s="47"/>
      <c r="AQ64" s="47"/>
      <c r="AR64" s="47"/>
      <c r="AS64" s="47"/>
    </row>
    <row r="65" spans="2:45">
      <c r="B65" s="1" t="s">
        <v>81</v>
      </c>
      <c r="C65" s="1" t="s">
        <v>81</v>
      </c>
      <c r="D65" s="1" t="s">
        <v>81</v>
      </c>
      <c r="E65" s="1" t="s">
        <v>80</v>
      </c>
      <c r="V65" s="1" t="s">
        <v>81</v>
      </c>
      <c r="X65" s="1" t="s">
        <v>80</v>
      </c>
      <c r="AD65" s="1" t="s">
        <v>81</v>
      </c>
      <c r="AE65" s="1" t="s">
        <v>81</v>
      </c>
      <c r="AF65" s="1" t="s">
        <v>81</v>
      </c>
      <c r="AG65" s="1" t="s">
        <v>81</v>
      </c>
      <c r="AH65" s="1" t="s">
        <v>81</v>
      </c>
      <c r="AI65" s="1" t="s">
        <v>81</v>
      </c>
      <c r="AK65" s="3"/>
      <c r="AL65" s="1" t="s">
        <v>211</v>
      </c>
      <c r="AM65" s="3"/>
      <c r="AO65" s="3"/>
      <c r="AP65" s="3"/>
      <c r="AQ65" s="3"/>
      <c r="AR65" s="3"/>
      <c r="AS65" s="3"/>
    </row>
    <row r="66" spans="2:45">
      <c r="B66" s="1" t="s">
        <v>27</v>
      </c>
      <c r="C66" s="1" t="s">
        <v>28</v>
      </c>
      <c r="D66" s="1" t="s">
        <v>228</v>
      </c>
      <c r="E66" s="1" t="s">
        <v>77</v>
      </c>
      <c r="V66" s="1" t="s">
        <v>228</v>
      </c>
      <c r="X66" s="1" t="s">
        <v>77</v>
      </c>
      <c r="AD66" s="1" t="s">
        <v>85</v>
      </c>
      <c r="AE66" s="1" t="s">
        <v>85</v>
      </c>
      <c r="AF66" s="1" t="s">
        <v>85</v>
      </c>
      <c r="AG66" s="1" t="s">
        <v>85</v>
      </c>
      <c r="AH66" s="1" t="s">
        <v>85</v>
      </c>
      <c r="AI66" s="1" t="s">
        <v>228</v>
      </c>
      <c r="AL66" s="1" t="s">
        <v>212</v>
      </c>
    </row>
    <row r="67" spans="2:45">
      <c r="B67" s="1" t="s">
        <v>30</v>
      </c>
      <c r="C67" s="1" t="s">
        <v>31</v>
      </c>
      <c r="D67" s="1" t="s">
        <v>229</v>
      </c>
      <c r="E67" s="16" t="s">
        <v>79</v>
      </c>
      <c r="V67" s="1" t="s">
        <v>229</v>
      </c>
      <c r="X67" s="16" t="s">
        <v>79</v>
      </c>
      <c r="AD67" s="1" t="s">
        <v>86</v>
      </c>
      <c r="AE67" s="1" t="s">
        <v>86</v>
      </c>
      <c r="AF67" s="1" t="s">
        <v>86</v>
      </c>
      <c r="AG67" s="1" t="s">
        <v>86</v>
      </c>
      <c r="AH67" s="1" t="s">
        <v>86</v>
      </c>
      <c r="AI67" s="1" t="s">
        <v>229</v>
      </c>
      <c r="AL67" s="1" t="s">
        <v>213</v>
      </c>
    </row>
    <row r="68" spans="2:45">
      <c r="B68" s="1" t="s">
        <v>33</v>
      </c>
      <c r="C68" s="1" t="s">
        <v>34</v>
      </c>
      <c r="D68" s="1" t="s">
        <v>230</v>
      </c>
      <c r="E68" s="1" t="s">
        <v>78</v>
      </c>
      <c r="V68" s="1" t="s">
        <v>230</v>
      </c>
      <c r="X68" s="1" t="s">
        <v>78</v>
      </c>
      <c r="AD68" s="1" t="s">
        <v>35</v>
      </c>
      <c r="AE68" s="1" t="s">
        <v>35</v>
      </c>
      <c r="AF68" s="1" t="s">
        <v>35</v>
      </c>
      <c r="AG68" s="1" t="s">
        <v>35</v>
      </c>
      <c r="AH68" s="1" t="s">
        <v>35</v>
      </c>
      <c r="AI68" s="1" t="s">
        <v>230</v>
      </c>
      <c r="AL68" s="1" t="s">
        <v>41</v>
      </c>
    </row>
    <row r="69" spans="2:45">
      <c r="B69" s="1" t="s">
        <v>36</v>
      </c>
      <c r="C69" s="1" t="s">
        <v>37</v>
      </c>
      <c r="D69" s="1" t="s">
        <v>231</v>
      </c>
      <c r="V69" s="1" t="s">
        <v>231</v>
      </c>
      <c r="AD69" s="1" t="s">
        <v>38</v>
      </c>
      <c r="AE69" s="1" t="s">
        <v>38</v>
      </c>
      <c r="AF69" s="1" t="s">
        <v>38</v>
      </c>
      <c r="AG69" s="1" t="s">
        <v>38</v>
      </c>
      <c r="AH69" s="1" t="s">
        <v>38</v>
      </c>
      <c r="AI69" s="1" t="s">
        <v>231</v>
      </c>
      <c r="AL69" s="1" t="s">
        <v>214</v>
      </c>
    </row>
    <row r="70" spans="2:45">
      <c r="B70" s="1" t="s">
        <v>39</v>
      </c>
      <c r="C70" s="1" t="s">
        <v>40</v>
      </c>
      <c r="D70" s="1" t="s">
        <v>232</v>
      </c>
      <c r="V70" s="1" t="s">
        <v>232</v>
      </c>
      <c r="AD70" s="1" t="s">
        <v>41</v>
      </c>
      <c r="AE70" s="1" t="s">
        <v>41</v>
      </c>
      <c r="AF70" s="1" t="s">
        <v>41</v>
      </c>
      <c r="AG70" s="1" t="s">
        <v>41</v>
      </c>
      <c r="AH70" s="1" t="s">
        <v>41</v>
      </c>
      <c r="AI70" s="1" t="s">
        <v>232</v>
      </c>
      <c r="AL70" s="1" t="s">
        <v>215</v>
      </c>
    </row>
    <row r="71" spans="2:45">
      <c r="B71" s="1" t="s">
        <v>31</v>
      </c>
      <c r="C71" s="1" t="s">
        <v>42</v>
      </c>
      <c r="D71" s="1" t="s">
        <v>233</v>
      </c>
      <c r="V71" s="1" t="s">
        <v>233</v>
      </c>
      <c r="AD71" s="1" t="s">
        <v>87</v>
      </c>
      <c r="AE71" s="1" t="s">
        <v>87</v>
      </c>
      <c r="AF71" s="1" t="s">
        <v>87</v>
      </c>
      <c r="AG71" s="1" t="s">
        <v>87</v>
      </c>
      <c r="AH71" s="1" t="s">
        <v>87</v>
      </c>
      <c r="AI71" s="1" t="s">
        <v>233</v>
      </c>
      <c r="AL71" s="1" t="s">
        <v>46</v>
      </c>
    </row>
    <row r="72" spans="2:45">
      <c r="B72" s="1" t="s">
        <v>34</v>
      </c>
      <c r="C72" s="1" t="s">
        <v>44</v>
      </c>
      <c r="D72" s="1" t="s">
        <v>234</v>
      </c>
      <c r="V72" s="1" t="s">
        <v>234</v>
      </c>
      <c r="AD72" s="16" t="s">
        <v>88</v>
      </c>
      <c r="AE72" s="16" t="s">
        <v>88</v>
      </c>
      <c r="AF72" s="16" t="s">
        <v>88</v>
      </c>
      <c r="AG72" s="16" t="s">
        <v>88</v>
      </c>
      <c r="AH72" s="16" t="s">
        <v>88</v>
      </c>
      <c r="AI72" s="1" t="s">
        <v>234</v>
      </c>
      <c r="AJ72" s="16"/>
      <c r="AL72" s="1" t="s">
        <v>216</v>
      </c>
    </row>
    <row r="73" spans="2:45">
      <c r="B73" s="1" t="s">
        <v>37</v>
      </c>
      <c r="C73" s="1" t="s">
        <v>45</v>
      </c>
      <c r="D73" s="1" t="s">
        <v>235</v>
      </c>
      <c r="V73" s="1" t="s">
        <v>235</v>
      </c>
      <c r="AD73" s="16" t="s">
        <v>41</v>
      </c>
      <c r="AE73" s="16" t="s">
        <v>41</v>
      </c>
      <c r="AF73" s="16" t="s">
        <v>41</v>
      </c>
      <c r="AG73" s="16" t="s">
        <v>41</v>
      </c>
      <c r="AH73" s="16" t="s">
        <v>41</v>
      </c>
      <c r="AI73" s="1" t="s">
        <v>235</v>
      </c>
      <c r="AJ73" s="16"/>
      <c r="AL73" s="1" t="s">
        <v>217</v>
      </c>
    </row>
    <row r="74" spans="2:45">
      <c r="B74" s="1" t="s">
        <v>82</v>
      </c>
      <c r="C74" s="1" t="s">
        <v>34</v>
      </c>
      <c r="AD74" s="16" t="s">
        <v>43</v>
      </c>
      <c r="AE74" s="16" t="s">
        <v>43</v>
      </c>
      <c r="AF74" s="16" t="s">
        <v>43</v>
      </c>
      <c r="AG74" s="16" t="s">
        <v>43</v>
      </c>
      <c r="AH74" s="16" t="s">
        <v>43</v>
      </c>
      <c r="AI74" s="16"/>
      <c r="AJ74" s="16"/>
      <c r="AL74" s="1" t="s">
        <v>218</v>
      </c>
    </row>
    <row r="75" spans="2:45">
      <c r="B75" s="1" t="s">
        <v>41</v>
      </c>
      <c r="C75" s="1" t="s">
        <v>47</v>
      </c>
      <c r="AD75" s="16" t="s">
        <v>89</v>
      </c>
      <c r="AE75" s="16" t="s">
        <v>89</v>
      </c>
      <c r="AF75" s="16" t="s">
        <v>203</v>
      </c>
      <c r="AG75" s="16" t="s">
        <v>204</v>
      </c>
      <c r="AH75" s="16" t="s">
        <v>204</v>
      </c>
      <c r="AI75" s="16"/>
      <c r="AJ75" s="16"/>
    </row>
    <row r="76" spans="2:45">
      <c r="B76" s="1" t="s">
        <v>48</v>
      </c>
      <c r="AD76" s="1" t="s">
        <v>90</v>
      </c>
      <c r="AE76" s="1" t="s">
        <v>90</v>
      </c>
      <c r="AF76" s="1" t="s">
        <v>97</v>
      </c>
      <c r="AG76" s="1" t="s">
        <v>90</v>
      </c>
      <c r="AH76" s="1" t="s">
        <v>90</v>
      </c>
    </row>
    <row r="77" spans="2:45">
      <c r="B77" s="1" t="s">
        <v>49</v>
      </c>
      <c r="AD77" s="1" t="s">
        <v>91</v>
      </c>
      <c r="AE77" s="1" t="s">
        <v>91</v>
      </c>
      <c r="AF77" s="1" t="s">
        <v>76</v>
      </c>
      <c r="AG77" s="114" t="s">
        <v>205</v>
      </c>
      <c r="AH77" s="114" t="s">
        <v>205</v>
      </c>
      <c r="AI77" s="114"/>
      <c r="AJ77" s="114"/>
    </row>
    <row r="78" spans="2:45">
      <c r="B78" s="1" t="s">
        <v>50</v>
      </c>
      <c r="AD78" s="1" t="s">
        <v>76</v>
      </c>
      <c r="AE78" s="1" t="s">
        <v>76</v>
      </c>
      <c r="AF78" s="1" t="s">
        <v>92</v>
      </c>
    </row>
    <row r="79" spans="2:45">
      <c r="B79" s="1" t="s">
        <v>51</v>
      </c>
      <c r="AD79" s="1" t="s">
        <v>92</v>
      </c>
      <c r="AE79" s="1" t="s">
        <v>92</v>
      </c>
    </row>
  </sheetData>
  <phoneticPr fontId="0" type="noConversion"/>
  <hyperlinks>
    <hyperlink ref="AG77" r:id="rId1" xr:uid="{00000000-0004-0000-0100-000000000000}"/>
    <hyperlink ref="AH77" r:id="rId2" xr:uid="{00000000-0004-0000-0100-000001000000}"/>
    <hyperlink ref="AL74" r:id="rId3" display="www.nces.ed.gov" xr:uid="{00000000-0004-0000-0100-000002000000}"/>
  </hyperlinks>
  <pageMargins left="0.75" right="0.75" top="1" bottom="1" header="0.5" footer="0.5"/>
  <pageSetup orientation="portrait" r:id="rId4"/>
  <headerFooter alignWithMargins="0"/>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62"/>
  </sheetPr>
  <dimension ref="A1:AA87"/>
  <sheetViews>
    <sheetView zoomScale="80" zoomScaleNormal="80" workbookViewId="0">
      <pane xSplit="1" ySplit="3" topLeftCell="B4" activePane="bottomRight" state="frozen"/>
      <selection sqref="A1:IV65536"/>
      <selection pane="topRight" sqref="A1:IV65536"/>
      <selection pane="bottomLeft" sqref="A1:IV65536"/>
      <selection pane="bottomRight" activeCell="AB13" sqref="AB13"/>
    </sheetView>
  </sheetViews>
  <sheetFormatPr defaultRowHeight="12.75"/>
  <cols>
    <col min="1" max="1" width="21.28515625" style="1" customWidth="1"/>
    <col min="2" max="10" width="8.85546875" style="1" customWidth="1"/>
    <col min="11" max="18" width="9.140625" style="1"/>
    <col min="19" max="20" width="10.7109375" style="1" customWidth="1"/>
    <col min="21" max="21" width="9.85546875" style="1" bestFit="1" customWidth="1"/>
    <col min="22" max="25" width="9.5703125" style="1" customWidth="1"/>
    <col min="26" max="27" width="9.85546875" style="1" customWidth="1"/>
    <col min="28" max="16384" width="9.140625" style="1"/>
  </cols>
  <sheetData>
    <row r="1" spans="1:27">
      <c r="A1" s="27" t="s">
        <v>103</v>
      </c>
      <c r="B1" s="6"/>
      <c r="C1" s="6"/>
      <c r="D1" s="6"/>
      <c r="E1" s="6"/>
      <c r="F1" s="6"/>
    </row>
    <row r="2" spans="1:27">
      <c r="B2" s="6"/>
      <c r="C2" s="6"/>
      <c r="D2" s="6"/>
      <c r="E2" s="6"/>
      <c r="F2" s="6"/>
    </row>
    <row r="3" spans="1:27" s="6" customFormat="1">
      <c r="B3" s="63" t="s">
        <v>69</v>
      </c>
      <c r="C3" s="63" t="s">
        <v>70</v>
      </c>
      <c r="D3" s="63" t="s">
        <v>9</v>
      </c>
      <c r="E3" s="63" t="s">
        <v>74</v>
      </c>
      <c r="F3" s="63" t="s">
        <v>10</v>
      </c>
      <c r="G3" s="63" t="s">
        <v>75</v>
      </c>
      <c r="H3" s="63" t="s">
        <v>56</v>
      </c>
      <c r="I3" s="63" t="s">
        <v>58</v>
      </c>
      <c r="J3" s="63" t="s">
        <v>164</v>
      </c>
      <c r="K3" s="63" t="s">
        <v>201</v>
      </c>
      <c r="L3" s="63" t="s">
        <v>202</v>
      </c>
      <c r="M3" s="63" t="s">
        <v>210</v>
      </c>
      <c r="N3" s="63" t="s">
        <v>221</v>
      </c>
      <c r="O3" s="63" t="s">
        <v>222</v>
      </c>
      <c r="P3" s="63" t="s">
        <v>227</v>
      </c>
      <c r="Q3" s="63" t="s">
        <v>236</v>
      </c>
      <c r="R3" s="63" t="s">
        <v>240</v>
      </c>
      <c r="S3" s="63" t="s">
        <v>242</v>
      </c>
      <c r="T3" s="63" t="s">
        <v>258</v>
      </c>
      <c r="U3" s="63" t="s">
        <v>259</v>
      </c>
      <c r="V3" s="199" t="s">
        <v>262</v>
      </c>
      <c r="W3" s="199" t="s">
        <v>263</v>
      </c>
      <c r="X3" s="199" t="s">
        <v>265</v>
      </c>
      <c r="Y3" s="199" t="s">
        <v>266</v>
      </c>
      <c r="Z3" s="198" t="s">
        <v>269</v>
      </c>
      <c r="AA3" s="198" t="s">
        <v>270</v>
      </c>
    </row>
    <row r="4" spans="1:27">
      <c r="A4" s="52" t="s">
        <v>243</v>
      </c>
      <c r="B4" s="53">
        <f t="shared" ref="B4:S4" si="0">B5+B23+B38+B52+B63</f>
        <v>655872</v>
      </c>
      <c r="C4" s="53">
        <f t="shared" si="0"/>
        <v>653665</v>
      </c>
      <c r="D4" s="53">
        <f t="shared" si="0"/>
        <v>756079</v>
      </c>
      <c r="E4" s="53">
        <f t="shared" si="0"/>
        <v>781667</v>
      </c>
      <c r="F4" s="53">
        <f t="shared" si="0"/>
        <v>785714</v>
      </c>
      <c r="G4" s="53">
        <f t="shared" si="0"/>
        <v>773386</v>
      </c>
      <c r="H4" s="53">
        <f t="shared" si="0"/>
        <v>770870</v>
      </c>
      <c r="I4" s="53">
        <f t="shared" si="0"/>
        <v>773609</v>
      </c>
      <c r="J4" s="53">
        <f t="shared" si="0"/>
        <v>781185</v>
      </c>
      <c r="K4" s="53">
        <f t="shared" si="0"/>
        <v>787313</v>
      </c>
      <c r="L4" s="53">
        <f t="shared" si="0"/>
        <v>807818</v>
      </c>
      <c r="M4" s="53">
        <f t="shared" si="0"/>
        <v>871596</v>
      </c>
      <c r="N4" s="53">
        <f t="shared" si="0"/>
        <v>902227</v>
      </c>
      <c r="O4" s="53">
        <f t="shared" si="0"/>
        <v>928994</v>
      </c>
      <c r="P4" s="53">
        <f t="shared" si="0"/>
        <v>951310</v>
      </c>
      <c r="Q4" s="53">
        <f t="shared" si="0"/>
        <v>972070</v>
      </c>
      <c r="R4" s="53">
        <f t="shared" si="0"/>
        <v>992547</v>
      </c>
      <c r="S4" s="53">
        <f t="shared" si="0"/>
        <v>1016919</v>
      </c>
      <c r="T4" s="53">
        <f t="shared" ref="T4:U4" si="1">T5+T23+T38+T52+T63</f>
        <v>1045576</v>
      </c>
      <c r="U4" s="53">
        <f t="shared" si="1"/>
        <v>1084276</v>
      </c>
      <c r="V4" s="53">
        <f t="shared" ref="V4:W4" si="2">V5+V23+V38+V52+V63</f>
        <v>1127398</v>
      </c>
      <c r="W4" s="53">
        <f t="shared" si="2"/>
        <v>1155821</v>
      </c>
      <c r="X4" s="53">
        <f t="shared" ref="X4:AA4" si="3">X5+X23+X38+X52+X63</f>
        <v>0</v>
      </c>
      <c r="Y4" s="53">
        <f t="shared" si="3"/>
        <v>1200805</v>
      </c>
      <c r="Z4" s="53">
        <f t="shared" si="3"/>
        <v>1233650</v>
      </c>
      <c r="AA4" s="53">
        <f t="shared" si="3"/>
        <v>1268649</v>
      </c>
    </row>
    <row r="5" spans="1:27">
      <c r="A5" s="54" t="s">
        <v>11</v>
      </c>
      <c r="B5" s="55">
        <f t="shared" ref="B5:S5" si="4">SUM(B7:B22)</f>
        <v>221381</v>
      </c>
      <c r="C5" s="55">
        <f t="shared" si="4"/>
        <v>221188</v>
      </c>
      <c r="D5" s="55">
        <f t="shared" si="4"/>
        <v>259457</v>
      </c>
      <c r="E5" s="55">
        <f t="shared" si="4"/>
        <v>270710</v>
      </c>
      <c r="F5" s="55">
        <f t="shared" si="4"/>
        <v>276191</v>
      </c>
      <c r="G5" s="55">
        <f t="shared" si="4"/>
        <v>273834</v>
      </c>
      <c r="H5" s="55">
        <f t="shared" si="4"/>
        <v>276133</v>
      </c>
      <c r="I5" s="55">
        <f t="shared" si="4"/>
        <v>278529</v>
      </c>
      <c r="J5" s="55">
        <f t="shared" si="4"/>
        <v>282167</v>
      </c>
      <c r="K5" s="55">
        <f t="shared" si="4"/>
        <v>285085</v>
      </c>
      <c r="L5" s="55">
        <f t="shared" si="4"/>
        <v>291754</v>
      </c>
      <c r="M5" s="55">
        <f t="shared" si="4"/>
        <v>313263</v>
      </c>
      <c r="N5" s="55">
        <f t="shared" si="4"/>
        <v>324655</v>
      </c>
      <c r="O5" s="55">
        <f t="shared" si="4"/>
        <v>335654</v>
      </c>
      <c r="P5" s="55">
        <f t="shared" si="4"/>
        <v>345557</v>
      </c>
      <c r="Q5" s="55">
        <f t="shared" si="4"/>
        <v>356591</v>
      </c>
      <c r="R5" s="55">
        <f t="shared" si="4"/>
        <v>366963</v>
      </c>
      <c r="S5" s="55">
        <f t="shared" si="4"/>
        <v>380204</v>
      </c>
      <c r="T5" s="55">
        <f t="shared" ref="T5:U5" si="5">SUM(T7:T22)</f>
        <v>390994</v>
      </c>
      <c r="U5" s="55">
        <f t="shared" si="5"/>
        <v>406242</v>
      </c>
      <c r="V5" s="55">
        <f t="shared" ref="V5:W5" si="6">SUM(V7:V22)</f>
        <v>423546</v>
      </c>
      <c r="W5" s="55">
        <f t="shared" si="6"/>
        <v>434268</v>
      </c>
      <c r="X5" s="55">
        <f t="shared" ref="X5:AA5" si="7">SUM(X7:X22)</f>
        <v>0</v>
      </c>
      <c r="Y5" s="55">
        <f t="shared" si="7"/>
        <v>454551</v>
      </c>
      <c r="Z5" s="55">
        <f t="shared" si="7"/>
        <v>472623</v>
      </c>
      <c r="AA5" s="55">
        <f t="shared" si="7"/>
        <v>484874</v>
      </c>
    </row>
    <row r="6" spans="1:27">
      <c r="A6" s="56" t="s">
        <v>244</v>
      </c>
      <c r="B6" s="57">
        <f t="shared" ref="B6:S6" si="8">(B5/B4)*100</f>
        <v>33.753689744340356</v>
      </c>
      <c r="C6" s="57">
        <f t="shared" si="8"/>
        <v>33.83812809313639</v>
      </c>
      <c r="D6" s="57">
        <f t="shared" si="8"/>
        <v>34.316123050633593</v>
      </c>
      <c r="E6" s="57">
        <f t="shared" si="8"/>
        <v>34.632394613051339</v>
      </c>
      <c r="F6" s="57">
        <f t="shared" si="8"/>
        <v>35.151594600579855</v>
      </c>
      <c r="G6" s="57">
        <f t="shared" si="8"/>
        <v>35.407157615989945</v>
      </c>
      <c r="H6" s="57">
        <f t="shared" si="8"/>
        <v>35.820955543736297</v>
      </c>
      <c r="I6" s="57">
        <f t="shared" si="8"/>
        <v>36.003846904573237</v>
      </c>
      <c r="J6" s="57">
        <f t="shared" si="8"/>
        <v>36.120381215717146</v>
      </c>
      <c r="K6" s="57">
        <f t="shared" si="8"/>
        <v>36.209868248079225</v>
      </c>
      <c r="L6" s="57">
        <f t="shared" si="8"/>
        <v>36.116303424781329</v>
      </c>
      <c r="M6" s="57">
        <f t="shared" si="8"/>
        <v>35.941307670067324</v>
      </c>
      <c r="N6" s="57">
        <f t="shared" si="8"/>
        <v>35.983738017150898</v>
      </c>
      <c r="O6" s="57">
        <f t="shared" si="8"/>
        <v>36.130911502119496</v>
      </c>
      <c r="P6" s="57">
        <f t="shared" si="8"/>
        <v>36.32433171100903</v>
      </c>
      <c r="Q6" s="57">
        <f t="shared" si="8"/>
        <v>36.683675043978312</v>
      </c>
      <c r="R6" s="57">
        <f t="shared" si="8"/>
        <v>36.971851207046114</v>
      </c>
      <c r="S6" s="57">
        <f t="shared" si="8"/>
        <v>37.387835215980822</v>
      </c>
      <c r="T6" s="57">
        <f t="shared" ref="T6:U6" si="9">(T5/T4)*100</f>
        <v>37.395081753980577</v>
      </c>
      <c r="U6" s="57">
        <f t="shared" si="9"/>
        <v>37.466659780351129</v>
      </c>
      <c r="V6" s="57">
        <f t="shared" ref="V6:W6" si="10">(V5/V4)*100</f>
        <v>37.568454086312016</v>
      </c>
      <c r="W6" s="57">
        <f t="shared" si="10"/>
        <v>37.572253835152672</v>
      </c>
      <c r="X6" s="57" t="e">
        <f t="shared" ref="X6:AA6" si="11">(X5/X4)*100</f>
        <v>#DIV/0!</v>
      </c>
      <c r="Y6" s="57">
        <f t="shared" si="11"/>
        <v>37.853856371350886</v>
      </c>
      <c r="Z6" s="57">
        <f t="shared" si="11"/>
        <v>38.310947189235193</v>
      </c>
      <c r="AA6" s="57">
        <f t="shared" si="11"/>
        <v>38.219712465780525</v>
      </c>
    </row>
    <row r="7" spans="1:27">
      <c r="A7" s="54" t="s">
        <v>12</v>
      </c>
      <c r="B7" s="7">
        <v>13893</v>
      </c>
      <c r="C7" s="7">
        <v>14073</v>
      </c>
      <c r="D7" s="7">
        <v>16835</v>
      </c>
      <c r="E7" s="7">
        <v>17538</v>
      </c>
      <c r="F7" s="7">
        <v>17956</v>
      </c>
      <c r="G7" s="7">
        <v>16821</v>
      </c>
      <c r="H7" s="7">
        <v>16758</v>
      </c>
      <c r="I7" s="7">
        <v>17387</v>
      </c>
      <c r="J7" s="7">
        <v>17104</v>
      </c>
      <c r="K7" s="7">
        <v>17182</v>
      </c>
      <c r="L7" s="7">
        <v>17856</v>
      </c>
      <c r="M7" s="7">
        <v>16950</v>
      </c>
      <c r="N7" s="7">
        <v>17643</v>
      </c>
      <c r="O7" s="7">
        <v>17810</v>
      </c>
      <c r="P7" s="7">
        <v>18332</v>
      </c>
      <c r="Q7" s="7">
        <v>18499</v>
      </c>
      <c r="R7" s="7">
        <v>18926</v>
      </c>
      <c r="S7" s="7">
        <v>19928</v>
      </c>
      <c r="T7" s="7">
        <v>20633</v>
      </c>
      <c r="U7" s="1">
        <v>21593</v>
      </c>
      <c r="V7" s="1">
        <v>21529</v>
      </c>
      <c r="W7" s="1">
        <v>22746</v>
      </c>
      <c r="Y7" s="1">
        <v>22802</v>
      </c>
      <c r="Z7" s="7">
        <v>23878</v>
      </c>
      <c r="AA7" s="7">
        <v>24490</v>
      </c>
    </row>
    <row r="8" spans="1:27">
      <c r="A8" s="54" t="s">
        <v>13</v>
      </c>
      <c r="B8" s="7">
        <v>5481</v>
      </c>
      <c r="C8" s="7">
        <v>5644</v>
      </c>
      <c r="D8" s="7">
        <v>6505</v>
      </c>
      <c r="E8" s="7">
        <v>6860</v>
      </c>
      <c r="F8" s="7">
        <v>6993</v>
      </c>
      <c r="G8" s="7">
        <v>7141</v>
      </c>
      <c r="H8" s="7">
        <v>7420</v>
      </c>
      <c r="I8" s="7">
        <v>7405</v>
      </c>
      <c r="J8" s="7">
        <v>7355</v>
      </c>
      <c r="K8" s="7">
        <v>7436</v>
      </c>
      <c r="L8" s="7">
        <v>7438</v>
      </c>
      <c r="M8" s="7">
        <v>8449</v>
      </c>
      <c r="N8" s="7">
        <v>8537</v>
      </c>
      <c r="O8" s="7">
        <v>8843</v>
      </c>
      <c r="P8" s="7">
        <v>8935</v>
      </c>
      <c r="Q8" s="7">
        <v>9188</v>
      </c>
      <c r="R8" s="7">
        <v>9306</v>
      </c>
      <c r="S8" s="7">
        <v>9680</v>
      </c>
      <c r="T8" s="7">
        <v>10032</v>
      </c>
      <c r="U8" s="1">
        <v>10707</v>
      </c>
      <c r="V8" s="1">
        <v>11458</v>
      </c>
      <c r="W8" s="1">
        <v>11638</v>
      </c>
      <c r="Y8" s="1">
        <v>12965</v>
      </c>
      <c r="Z8" s="7">
        <v>13311</v>
      </c>
      <c r="AA8" s="7">
        <v>13445</v>
      </c>
    </row>
    <row r="9" spans="1:27">
      <c r="A9" s="54" t="s">
        <v>55</v>
      </c>
      <c r="B9" s="7">
        <v>2892</v>
      </c>
      <c r="C9" s="7">
        <v>3171</v>
      </c>
      <c r="D9" s="7">
        <v>3497</v>
      </c>
      <c r="E9" s="7">
        <v>3373</v>
      </c>
      <c r="F9" s="7">
        <v>3378</v>
      </c>
      <c r="G9" s="7">
        <v>3552</v>
      </c>
      <c r="H9" s="7">
        <v>3510</v>
      </c>
      <c r="I9" s="7">
        <v>3480</v>
      </c>
      <c r="J9" s="7">
        <v>3522</v>
      </c>
      <c r="K9" s="7">
        <v>3661</v>
      </c>
      <c r="L9" s="7">
        <v>3736</v>
      </c>
      <c r="M9" s="7">
        <v>4012</v>
      </c>
      <c r="N9" s="7">
        <v>3811</v>
      </c>
      <c r="O9" s="7">
        <v>3970</v>
      </c>
      <c r="P9" s="7">
        <v>4132</v>
      </c>
      <c r="Q9" s="7">
        <v>3821</v>
      </c>
      <c r="R9" s="7">
        <v>3955</v>
      </c>
      <c r="S9" s="7">
        <v>4075</v>
      </c>
      <c r="T9" s="7">
        <v>3797</v>
      </c>
      <c r="U9" s="1">
        <v>4118</v>
      </c>
      <c r="V9" s="1">
        <v>4040</v>
      </c>
      <c r="W9" s="1">
        <v>4276</v>
      </c>
      <c r="Y9" s="1">
        <v>4548</v>
      </c>
      <c r="Z9" s="7">
        <v>4717</v>
      </c>
      <c r="AA9" s="7">
        <v>4559</v>
      </c>
    </row>
    <row r="10" spans="1:27">
      <c r="A10" s="54" t="s">
        <v>14</v>
      </c>
      <c r="B10" s="7">
        <v>21102</v>
      </c>
      <c r="C10" s="7">
        <v>21186</v>
      </c>
      <c r="D10" s="7">
        <v>27977</v>
      </c>
      <c r="E10" s="7">
        <v>29340</v>
      </c>
      <c r="F10" s="7">
        <v>29959</v>
      </c>
      <c r="G10" s="7">
        <v>30885</v>
      </c>
      <c r="H10" s="7">
        <v>32208</v>
      </c>
      <c r="I10" s="7">
        <v>33187</v>
      </c>
      <c r="J10" s="7">
        <v>34056</v>
      </c>
      <c r="K10" s="7">
        <v>34529</v>
      </c>
      <c r="L10" s="7">
        <v>35435</v>
      </c>
      <c r="M10" s="7">
        <v>39987</v>
      </c>
      <c r="N10" s="7">
        <v>42797</v>
      </c>
      <c r="O10" s="7">
        <v>43481</v>
      </c>
      <c r="P10" s="7">
        <v>45398</v>
      </c>
      <c r="Q10" s="7">
        <v>47879</v>
      </c>
      <c r="R10" s="7">
        <v>50359</v>
      </c>
      <c r="S10" s="7">
        <v>52481</v>
      </c>
      <c r="T10" s="7">
        <v>54979</v>
      </c>
      <c r="U10" s="1">
        <v>57313</v>
      </c>
      <c r="V10" s="1">
        <v>61446</v>
      </c>
      <c r="W10" s="1">
        <v>64089</v>
      </c>
      <c r="Y10" s="1">
        <v>68312</v>
      </c>
      <c r="Z10" s="7">
        <v>70624</v>
      </c>
      <c r="AA10" s="7">
        <v>72057</v>
      </c>
    </row>
    <row r="11" spans="1:27">
      <c r="A11" s="54" t="s">
        <v>15</v>
      </c>
      <c r="B11" s="7">
        <v>14323</v>
      </c>
      <c r="C11" s="7">
        <v>14599</v>
      </c>
      <c r="D11" s="7">
        <v>17314</v>
      </c>
      <c r="E11" s="7">
        <v>18702</v>
      </c>
      <c r="F11" s="7">
        <v>19470</v>
      </c>
      <c r="G11" s="7">
        <v>19302</v>
      </c>
      <c r="H11" s="7">
        <v>19830</v>
      </c>
      <c r="I11" s="7">
        <v>19771</v>
      </c>
      <c r="J11" s="7">
        <v>21469</v>
      </c>
      <c r="K11" s="7">
        <v>20825</v>
      </c>
      <c r="L11" s="7">
        <v>20271</v>
      </c>
      <c r="M11" s="7">
        <v>22245</v>
      </c>
      <c r="N11" s="7">
        <v>23638</v>
      </c>
      <c r="O11" s="7">
        <v>24894</v>
      </c>
      <c r="P11" s="7">
        <v>25617</v>
      </c>
      <c r="Q11" s="7">
        <v>26860</v>
      </c>
      <c r="R11" s="7">
        <v>28208</v>
      </c>
      <c r="S11" s="7">
        <v>29217</v>
      </c>
      <c r="T11" s="7">
        <v>30421</v>
      </c>
      <c r="U11" s="1">
        <v>32397</v>
      </c>
      <c r="V11" s="1">
        <v>33656</v>
      </c>
      <c r="W11" s="1">
        <v>35021</v>
      </c>
      <c r="Y11" s="1">
        <v>36906</v>
      </c>
      <c r="Z11" s="7">
        <v>37778</v>
      </c>
      <c r="AA11" s="7">
        <v>39121</v>
      </c>
    </row>
    <row r="12" spans="1:27">
      <c r="A12" s="54" t="s">
        <v>16</v>
      </c>
      <c r="B12" s="7">
        <v>9322</v>
      </c>
      <c r="C12" s="7">
        <v>9507</v>
      </c>
      <c r="D12" s="7">
        <v>11060</v>
      </c>
      <c r="E12" s="7">
        <v>11562</v>
      </c>
      <c r="F12" s="7">
        <v>11665</v>
      </c>
      <c r="G12" s="7">
        <v>11576</v>
      </c>
      <c r="H12" s="7">
        <v>11609</v>
      </c>
      <c r="I12" s="7">
        <v>11685</v>
      </c>
      <c r="J12" s="7">
        <v>11740</v>
      </c>
      <c r="K12" s="7">
        <v>12012</v>
      </c>
      <c r="L12" s="7">
        <v>11962</v>
      </c>
      <c r="M12" s="7">
        <v>12466</v>
      </c>
      <c r="N12" s="7">
        <v>13123</v>
      </c>
      <c r="O12" s="7">
        <v>13549</v>
      </c>
      <c r="P12" s="7">
        <v>14423</v>
      </c>
      <c r="Q12" s="7">
        <v>14741</v>
      </c>
      <c r="R12" s="7">
        <v>15036</v>
      </c>
      <c r="S12" s="7">
        <v>15134</v>
      </c>
      <c r="T12" s="7">
        <v>15535</v>
      </c>
      <c r="U12" s="1">
        <v>15886</v>
      </c>
      <c r="V12" s="1">
        <v>16202</v>
      </c>
      <c r="W12" s="1">
        <v>16563</v>
      </c>
      <c r="Y12" s="1">
        <v>17467</v>
      </c>
      <c r="Z12" s="7">
        <v>18082</v>
      </c>
      <c r="AA12" s="7">
        <v>18580</v>
      </c>
    </row>
    <row r="13" spans="1:27">
      <c r="A13" s="54" t="s">
        <v>17</v>
      </c>
      <c r="B13" s="7">
        <v>13691</v>
      </c>
      <c r="C13" s="7">
        <v>13765</v>
      </c>
      <c r="D13" s="7">
        <v>13850</v>
      </c>
      <c r="E13" s="7">
        <v>14486</v>
      </c>
      <c r="F13" s="7">
        <v>14763</v>
      </c>
      <c r="G13" s="7">
        <v>14880</v>
      </c>
      <c r="H13" s="7">
        <v>14868</v>
      </c>
      <c r="I13" s="7">
        <v>14541</v>
      </c>
      <c r="J13" s="7">
        <v>15366</v>
      </c>
      <c r="K13" s="7">
        <v>15610</v>
      </c>
      <c r="L13" s="7">
        <v>16600</v>
      </c>
      <c r="M13" s="7">
        <v>17329</v>
      </c>
      <c r="N13" s="7">
        <v>17450</v>
      </c>
      <c r="O13" s="7">
        <v>17537</v>
      </c>
      <c r="P13" s="7">
        <v>16955</v>
      </c>
      <c r="Q13" s="7">
        <v>17400</v>
      </c>
      <c r="R13" s="7">
        <v>17631</v>
      </c>
      <c r="S13" s="7">
        <v>17982</v>
      </c>
      <c r="T13" s="7">
        <v>17939</v>
      </c>
      <c r="U13" s="1">
        <v>18300</v>
      </c>
      <c r="V13" s="1">
        <v>18582</v>
      </c>
      <c r="W13" s="1">
        <v>18643</v>
      </c>
      <c r="Y13" s="1">
        <v>18295</v>
      </c>
      <c r="Z13" s="7">
        <v>18517</v>
      </c>
      <c r="AA13" s="7">
        <v>18985</v>
      </c>
    </row>
    <row r="14" spans="1:27">
      <c r="A14" s="54" t="s">
        <v>18</v>
      </c>
      <c r="B14" s="7">
        <v>13362</v>
      </c>
      <c r="C14" s="7">
        <v>13988</v>
      </c>
      <c r="D14" s="7">
        <v>16179</v>
      </c>
      <c r="E14" s="7">
        <v>16228</v>
      </c>
      <c r="F14" s="7">
        <v>16538</v>
      </c>
      <c r="G14" s="7">
        <v>15864</v>
      </c>
      <c r="H14" s="7">
        <v>15672</v>
      </c>
      <c r="I14" s="7">
        <v>16036</v>
      </c>
      <c r="J14" s="7">
        <v>16187</v>
      </c>
      <c r="K14" s="7">
        <v>16436</v>
      </c>
      <c r="L14" s="7">
        <v>16046</v>
      </c>
      <c r="M14" s="7">
        <v>17879</v>
      </c>
      <c r="N14" s="7">
        <v>18295</v>
      </c>
      <c r="O14" s="7">
        <v>19405</v>
      </c>
      <c r="P14" s="7">
        <v>19633</v>
      </c>
      <c r="Q14" s="7">
        <v>19740</v>
      </c>
      <c r="R14" s="7">
        <v>19954</v>
      </c>
      <c r="S14" s="7">
        <v>20548</v>
      </c>
      <c r="T14" s="7">
        <v>21163</v>
      </c>
      <c r="U14" s="1">
        <v>22450</v>
      </c>
      <c r="V14" s="1">
        <v>23931</v>
      </c>
      <c r="W14" s="1">
        <v>24686</v>
      </c>
      <c r="Y14" s="1">
        <v>26265</v>
      </c>
      <c r="Z14" s="7">
        <v>27095</v>
      </c>
      <c r="AA14" s="7">
        <v>27680</v>
      </c>
    </row>
    <row r="15" spans="1:27">
      <c r="A15" s="54" t="s">
        <v>19</v>
      </c>
      <c r="B15" s="7">
        <v>8034</v>
      </c>
      <c r="C15" s="7">
        <v>7266</v>
      </c>
      <c r="D15" s="7">
        <v>8490</v>
      </c>
      <c r="E15" s="7">
        <v>9024</v>
      </c>
      <c r="F15" s="7">
        <v>8806</v>
      </c>
      <c r="G15" s="7">
        <v>8602</v>
      </c>
      <c r="H15" s="7">
        <v>8123</v>
      </c>
      <c r="I15" s="7">
        <v>8402</v>
      </c>
      <c r="J15" s="7">
        <v>8471</v>
      </c>
      <c r="K15" s="7">
        <v>9013</v>
      </c>
      <c r="L15" s="7">
        <v>9204</v>
      </c>
      <c r="M15" s="7">
        <v>9808</v>
      </c>
      <c r="N15" s="7">
        <v>9774</v>
      </c>
      <c r="O15" s="7">
        <v>9767</v>
      </c>
      <c r="P15" s="7">
        <v>9926</v>
      </c>
      <c r="Q15" s="7">
        <v>10032</v>
      </c>
      <c r="R15" s="7">
        <v>10190</v>
      </c>
      <c r="S15" s="7">
        <v>10403</v>
      </c>
      <c r="T15" s="7">
        <v>10764</v>
      </c>
      <c r="U15" s="1">
        <v>10954</v>
      </c>
      <c r="V15" s="1">
        <v>11214</v>
      </c>
      <c r="W15" s="1">
        <v>11696</v>
      </c>
      <c r="Y15" s="1">
        <v>12064</v>
      </c>
      <c r="Z15" s="7">
        <v>12517</v>
      </c>
      <c r="AA15" s="7">
        <v>13028</v>
      </c>
    </row>
    <row r="16" spans="1:27">
      <c r="A16" s="54" t="s">
        <v>20</v>
      </c>
      <c r="B16" s="7">
        <v>16887</v>
      </c>
      <c r="C16" s="7">
        <v>17570</v>
      </c>
      <c r="D16" s="7">
        <v>21320</v>
      </c>
      <c r="E16" s="7">
        <v>22146</v>
      </c>
      <c r="F16" s="7">
        <v>22913</v>
      </c>
      <c r="G16" s="7">
        <v>22583</v>
      </c>
      <c r="H16" s="7">
        <v>22821</v>
      </c>
      <c r="I16" s="7">
        <v>23462</v>
      </c>
      <c r="J16" s="7">
        <v>23162</v>
      </c>
      <c r="K16" s="7">
        <v>22922</v>
      </c>
      <c r="L16" s="7">
        <v>23617</v>
      </c>
      <c r="M16" s="7">
        <v>25262</v>
      </c>
      <c r="N16" s="7">
        <v>26441</v>
      </c>
      <c r="O16" s="7">
        <v>27000</v>
      </c>
      <c r="P16" s="7">
        <v>27418</v>
      </c>
      <c r="Q16" s="7">
        <v>28312</v>
      </c>
      <c r="R16" s="7">
        <v>30084</v>
      </c>
      <c r="S16" s="7">
        <v>31055</v>
      </c>
      <c r="T16" s="7">
        <v>32706</v>
      </c>
      <c r="U16" s="1">
        <v>34055</v>
      </c>
      <c r="V16" s="1">
        <v>35589</v>
      </c>
      <c r="W16" s="1">
        <v>36536</v>
      </c>
      <c r="Y16" s="1">
        <v>37348</v>
      </c>
      <c r="Z16" s="7">
        <v>38211</v>
      </c>
      <c r="AA16" s="7">
        <v>39513</v>
      </c>
    </row>
    <row r="17" spans="1:27">
      <c r="A17" s="54" t="s">
        <v>21</v>
      </c>
      <c r="B17" s="7">
        <v>11290</v>
      </c>
      <c r="C17" s="7">
        <v>10852</v>
      </c>
      <c r="D17" s="7">
        <v>11990</v>
      </c>
      <c r="E17" s="7">
        <v>12416</v>
      </c>
      <c r="F17" s="7">
        <v>12696</v>
      </c>
      <c r="G17" s="7">
        <v>12480</v>
      </c>
      <c r="H17" s="7">
        <v>12191</v>
      </c>
      <c r="I17" s="7">
        <v>12664</v>
      </c>
      <c r="J17" s="7">
        <v>12648</v>
      </c>
      <c r="K17" s="7">
        <v>12861</v>
      </c>
      <c r="L17" s="7">
        <v>12525</v>
      </c>
      <c r="M17" s="7">
        <v>12834</v>
      </c>
      <c r="N17" s="7">
        <v>13767</v>
      </c>
      <c r="O17" s="7">
        <v>14649</v>
      </c>
      <c r="P17" s="7">
        <v>15257</v>
      </c>
      <c r="Q17" s="7">
        <v>15394</v>
      </c>
      <c r="R17" s="7">
        <v>15576</v>
      </c>
      <c r="S17" s="7">
        <v>15976</v>
      </c>
      <c r="T17" s="7">
        <v>15736</v>
      </c>
      <c r="U17" s="1">
        <v>15604</v>
      </c>
      <c r="V17" s="1">
        <v>15965</v>
      </c>
      <c r="W17" s="1">
        <v>15945</v>
      </c>
      <c r="Y17" s="1">
        <v>16608</v>
      </c>
      <c r="Z17" s="7">
        <v>16928</v>
      </c>
      <c r="AA17" s="7">
        <v>17225</v>
      </c>
    </row>
    <row r="18" spans="1:27">
      <c r="A18" s="54" t="s">
        <v>22</v>
      </c>
      <c r="B18" s="7">
        <v>9038</v>
      </c>
      <c r="C18" s="7">
        <v>8740</v>
      </c>
      <c r="D18" s="7">
        <v>10950</v>
      </c>
      <c r="E18" s="7">
        <v>11826</v>
      </c>
      <c r="F18" s="7">
        <v>11797</v>
      </c>
      <c r="G18" s="7">
        <v>11573</v>
      </c>
      <c r="H18" s="7">
        <v>11504</v>
      </c>
      <c r="I18" s="7">
        <v>11559</v>
      </c>
      <c r="J18" s="7">
        <v>11416</v>
      </c>
      <c r="K18" s="7">
        <v>11600</v>
      </c>
      <c r="L18" s="7">
        <v>11833</v>
      </c>
      <c r="M18" s="7">
        <v>13033</v>
      </c>
      <c r="N18" s="7">
        <v>12972</v>
      </c>
      <c r="O18" s="7">
        <v>13614</v>
      </c>
      <c r="P18" s="7">
        <v>13988</v>
      </c>
      <c r="Q18" s="7">
        <v>14345</v>
      </c>
      <c r="R18" s="7">
        <v>14719</v>
      </c>
      <c r="S18" s="7">
        <v>15167</v>
      </c>
      <c r="T18" s="7">
        <v>15880</v>
      </c>
      <c r="U18" s="1">
        <v>16367</v>
      </c>
      <c r="V18" s="1">
        <v>16566</v>
      </c>
      <c r="W18" s="1">
        <v>17220</v>
      </c>
      <c r="Y18" s="1">
        <v>18167</v>
      </c>
      <c r="Z18" s="7">
        <v>18632</v>
      </c>
      <c r="AA18" s="7">
        <v>19130</v>
      </c>
    </row>
    <row r="19" spans="1:27">
      <c r="A19" s="54" t="s">
        <v>23</v>
      </c>
      <c r="B19" s="7">
        <v>11516</v>
      </c>
      <c r="C19" s="7">
        <v>11431</v>
      </c>
      <c r="D19" s="7">
        <v>12542</v>
      </c>
      <c r="E19" s="7">
        <v>13411</v>
      </c>
      <c r="F19" s="7">
        <v>13177</v>
      </c>
      <c r="G19" s="7">
        <v>13209</v>
      </c>
      <c r="H19" s="7">
        <v>13491</v>
      </c>
      <c r="I19" s="7">
        <v>13719</v>
      </c>
      <c r="J19" s="7">
        <v>13836</v>
      </c>
      <c r="K19" s="7">
        <v>13935</v>
      </c>
      <c r="L19" s="7">
        <v>14610</v>
      </c>
      <c r="M19" s="7">
        <v>15357</v>
      </c>
      <c r="N19" s="7">
        <v>15756</v>
      </c>
      <c r="O19" s="7">
        <v>16441</v>
      </c>
      <c r="P19" s="7">
        <v>16581</v>
      </c>
      <c r="Q19" s="7">
        <v>16936</v>
      </c>
      <c r="R19" s="7">
        <v>17135</v>
      </c>
      <c r="S19" s="7">
        <v>18390</v>
      </c>
      <c r="T19" s="7">
        <v>18249</v>
      </c>
      <c r="U19" s="1">
        <v>19153</v>
      </c>
      <c r="V19" s="1">
        <v>19981</v>
      </c>
      <c r="W19" s="1">
        <v>20893</v>
      </c>
      <c r="Y19" s="1">
        <v>20887</v>
      </c>
      <c r="Z19" s="7">
        <v>21737</v>
      </c>
      <c r="AA19" s="7">
        <v>22330</v>
      </c>
    </row>
    <row r="20" spans="1:27">
      <c r="A20" s="54" t="s">
        <v>24</v>
      </c>
      <c r="B20" s="7">
        <v>45436</v>
      </c>
      <c r="C20" s="7">
        <v>43720</v>
      </c>
      <c r="D20" s="7">
        <v>50974</v>
      </c>
      <c r="E20" s="7">
        <v>53111</v>
      </c>
      <c r="F20" s="7">
        <v>54821</v>
      </c>
      <c r="G20" s="7">
        <v>54752</v>
      </c>
      <c r="H20" s="7">
        <v>55388</v>
      </c>
      <c r="I20" s="7">
        <v>55648</v>
      </c>
      <c r="J20" s="7">
        <v>56197</v>
      </c>
      <c r="K20" s="7">
        <v>57287</v>
      </c>
      <c r="L20" s="7">
        <v>58528</v>
      </c>
      <c r="M20" s="7">
        <v>63712</v>
      </c>
      <c r="N20" s="7">
        <v>66182</v>
      </c>
      <c r="O20" s="7">
        <v>69172</v>
      </c>
      <c r="P20" s="7">
        <v>72112</v>
      </c>
      <c r="Q20" s="7">
        <v>75624</v>
      </c>
      <c r="R20" s="7">
        <v>77475</v>
      </c>
      <c r="S20" s="7">
        <v>80756</v>
      </c>
      <c r="T20" s="7">
        <v>82789</v>
      </c>
      <c r="U20" s="1">
        <v>85671</v>
      </c>
      <c r="V20" s="1">
        <v>89186</v>
      </c>
      <c r="W20" s="1">
        <v>90072</v>
      </c>
      <c r="Y20" s="1">
        <v>96067</v>
      </c>
      <c r="Z20" s="7">
        <v>102981</v>
      </c>
      <c r="AA20" s="7">
        <v>107560</v>
      </c>
    </row>
    <row r="21" spans="1:27">
      <c r="A21" s="54" t="s">
        <v>25</v>
      </c>
      <c r="B21" s="7">
        <v>18685</v>
      </c>
      <c r="C21" s="7">
        <v>19546</v>
      </c>
      <c r="D21" s="7">
        <v>22911</v>
      </c>
      <c r="E21" s="7">
        <v>23220</v>
      </c>
      <c r="F21" s="7">
        <v>23555</v>
      </c>
      <c r="G21" s="7">
        <v>23265</v>
      </c>
      <c r="H21" s="7">
        <v>23515</v>
      </c>
      <c r="I21" s="7">
        <v>22685</v>
      </c>
      <c r="J21" s="7">
        <v>22810</v>
      </c>
      <c r="K21" s="7">
        <v>22810</v>
      </c>
      <c r="L21" s="7">
        <v>25021</v>
      </c>
      <c r="M21" s="7">
        <v>26399</v>
      </c>
      <c r="N21" s="7">
        <v>27027</v>
      </c>
      <c r="O21" s="7">
        <v>27739</v>
      </c>
      <c r="P21" s="7">
        <v>28758</v>
      </c>
      <c r="Q21" s="7">
        <v>29312</v>
      </c>
      <c r="R21" s="7">
        <v>30080</v>
      </c>
      <c r="S21" s="7">
        <v>30969</v>
      </c>
      <c r="T21" s="7">
        <v>31927</v>
      </c>
      <c r="U21" s="1">
        <v>33093</v>
      </c>
      <c r="V21" s="1">
        <v>35099</v>
      </c>
      <c r="W21" s="1">
        <v>35162</v>
      </c>
      <c r="Y21" s="1">
        <v>36335</v>
      </c>
      <c r="Z21" s="7">
        <v>37954</v>
      </c>
      <c r="AA21" s="7">
        <v>37944</v>
      </c>
    </row>
    <row r="22" spans="1:27">
      <c r="A22" s="58" t="s">
        <v>26</v>
      </c>
      <c r="B22" s="8">
        <v>6429</v>
      </c>
      <c r="C22" s="8">
        <v>6130</v>
      </c>
      <c r="D22" s="8">
        <v>7063</v>
      </c>
      <c r="E22" s="8">
        <v>7467</v>
      </c>
      <c r="F22" s="8">
        <v>7704</v>
      </c>
      <c r="G22" s="8">
        <v>7349</v>
      </c>
      <c r="H22" s="8">
        <v>7225</v>
      </c>
      <c r="I22" s="8">
        <v>6898</v>
      </c>
      <c r="J22" s="8">
        <v>6828</v>
      </c>
      <c r="K22" s="8">
        <v>6966</v>
      </c>
      <c r="L22" s="8">
        <v>7072</v>
      </c>
      <c r="M22" s="8">
        <v>7541</v>
      </c>
      <c r="N22" s="8">
        <v>7442</v>
      </c>
      <c r="O22" s="8">
        <v>7783</v>
      </c>
      <c r="P22" s="8">
        <v>8092</v>
      </c>
      <c r="Q22" s="8">
        <v>8508</v>
      </c>
      <c r="R22" s="8">
        <v>8329</v>
      </c>
      <c r="S22" s="8">
        <v>8443</v>
      </c>
      <c r="T22" s="8">
        <v>8444</v>
      </c>
      <c r="U22" s="1">
        <v>8581</v>
      </c>
      <c r="V22" s="1">
        <v>9102</v>
      </c>
      <c r="W22" s="1">
        <v>9082</v>
      </c>
      <c r="Y22" s="1">
        <v>9515</v>
      </c>
      <c r="Z22" s="7">
        <v>9661</v>
      </c>
      <c r="AA22" s="7">
        <v>9227</v>
      </c>
    </row>
    <row r="23" spans="1:27">
      <c r="A23" s="54" t="s">
        <v>245</v>
      </c>
      <c r="B23" s="55">
        <f t="shared" ref="B23:S23" si="12">SUM(B25:B37)</f>
        <v>136060</v>
      </c>
      <c r="C23" s="55">
        <f t="shared" si="12"/>
        <v>134675</v>
      </c>
      <c r="D23" s="55">
        <f t="shared" si="12"/>
        <v>162325</v>
      </c>
      <c r="E23" s="55">
        <f t="shared" si="12"/>
        <v>170504</v>
      </c>
      <c r="F23" s="55">
        <f t="shared" si="12"/>
        <v>171724</v>
      </c>
      <c r="G23" s="55">
        <f t="shared" si="12"/>
        <v>170034</v>
      </c>
      <c r="H23" s="55">
        <f t="shared" si="12"/>
        <v>171393</v>
      </c>
      <c r="I23" s="55">
        <f t="shared" si="12"/>
        <v>172291</v>
      </c>
      <c r="J23" s="55">
        <f t="shared" si="12"/>
        <v>176557</v>
      </c>
      <c r="K23" s="55">
        <f t="shared" si="12"/>
        <v>179571</v>
      </c>
      <c r="L23" s="55">
        <f t="shared" si="12"/>
        <v>183860</v>
      </c>
      <c r="M23" s="55">
        <f t="shared" si="12"/>
        <v>202125</v>
      </c>
      <c r="N23" s="55">
        <f t="shared" si="12"/>
        <v>211469</v>
      </c>
      <c r="O23" s="55">
        <f t="shared" si="12"/>
        <v>218514</v>
      </c>
      <c r="P23" s="55">
        <f t="shared" si="12"/>
        <v>224723</v>
      </c>
      <c r="Q23" s="55">
        <f t="shared" si="12"/>
        <v>226755</v>
      </c>
      <c r="R23" s="55">
        <f t="shared" si="12"/>
        <v>232096</v>
      </c>
      <c r="S23" s="55">
        <f t="shared" si="12"/>
        <v>234946</v>
      </c>
      <c r="T23" s="55">
        <f t="shared" ref="T23:U23" si="13">SUM(T25:T37)</f>
        <v>240881</v>
      </c>
      <c r="U23" s="55">
        <f t="shared" si="13"/>
        <v>250867</v>
      </c>
      <c r="V23" s="55">
        <f t="shared" ref="V23:W23" si="14">SUM(V25:V37)</f>
        <v>258143</v>
      </c>
      <c r="W23" s="55">
        <f t="shared" si="14"/>
        <v>269185</v>
      </c>
      <c r="X23" s="55">
        <f t="shared" ref="X23:AA23" si="15">SUM(X25:X37)</f>
        <v>0</v>
      </c>
      <c r="Y23" s="55">
        <f t="shared" si="15"/>
        <v>280639</v>
      </c>
      <c r="Z23" s="55">
        <f t="shared" si="15"/>
        <v>289863</v>
      </c>
      <c r="AA23" s="55">
        <f t="shared" si="15"/>
        <v>304420</v>
      </c>
    </row>
    <row r="24" spans="1:27">
      <c r="A24" s="56" t="s">
        <v>244</v>
      </c>
      <c r="B24" s="57">
        <f t="shared" ref="B24:S24" si="16">(B23/B4)*100</f>
        <v>20.744901444184229</v>
      </c>
      <c r="C24" s="57">
        <f t="shared" si="16"/>
        <v>20.603061201073945</v>
      </c>
      <c r="D24" s="57">
        <f t="shared" si="16"/>
        <v>21.469317359693896</v>
      </c>
      <c r="E24" s="57">
        <f t="shared" si="16"/>
        <v>21.812869162955582</v>
      </c>
      <c r="F24" s="57">
        <f t="shared" si="16"/>
        <v>21.855789765741733</v>
      </c>
      <c r="G24" s="57">
        <f t="shared" si="16"/>
        <v>21.985657873300006</v>
      </c>
      <c r="H24" s="57">
        <f t="shared" si="16"/>
        <v>22.233709964066577</v>
      </c>
      <c r="I24" s="57">
        <f t="shared" si="16"/>
        <v>22.271069752290888</v>
      </c>
      <c r="J24" s="57">
        <f t="shared" si="16"/>
        <v>22.601176417877966</v>
      </c>
      <c r="K24" s="57">
        <f t="shared" si="16"/>
        <v>22.80808268122081</v>
      </c>
      <c r="L24" s="57">
        <f t="shared" si="16"/>
        <v>22.760077146089838</v>
      </c>
      <c r="M24" s="57">
        <f t="shared" si="16"/>
        <v>23.190216568226564</v>
      </c>
      <c r="N24" s="57">
        <f t="shared" si="16"/>
        <v>23.438558145566471</v>
      </c>
      <c r="O24" s="57">
        <f t="shared" si="16"/>
        <v>23.521572798102035</v>
      </c>
      <c r="P24" s="57">
        <f t="shared" si="16"/>
        <v>23.622478477047441</v>
      </c>
      <c r="Q24" s="57">
        <f t="shared" si="16"/>
        <v>23.327023774008047</v>
      </c>
      <c r="R24" s="57">
        <f t="shared" si="16"/>
        <v>23.383880058072819</v>
      </c>
      <c r="S24" s="57">
        <f t="shared" si="16"/>
        <v>23.103708358286156</v>
      </c>
      <c r="T24" s="57">
        <f t="shared" ref="T24:U24" si="17">(T23/T4)*100</f>
        <v>23.03811487639349</v>
      </c>
      <c r="U24" s="57">
        <f t="shared" si="17"/>
        <v>23.13682125215351</v>
      </c>
      <c r="V24" s="57">
        <f t="shared" ref="V24:W24" si="18">(V23/V4)*100</f>
        <v>22.8972377101964</v>
      </c>
      <c r="W24" s="57">
        <f t="shared" si="18"/>
        <v>23.28950590100024</v>
      </c>
      <c r="X24" s="57" t="e">
        <f t="shared" ref="X24:AA24" si="19">(X23/X4)*100</f>
        <v>#DIV/0!</v>
      </c>
      <c r="Y24" s="57">
        <f t="shared" si="19"/>
        <v>23.370905350993709</v>
      </c>
      <c r="Z24" s="57">
        <f t="shared" si="19"/>
        <v>23.496372552993151</v>
      </c>
      <c r="AA24" s="57">
        <f t="shared" si="19"/>
        <v>23.995604773266681</v>
      </c>
    </row>
    <row r="25" spans="1:27">
      <c r="A25" s="54" t="s">
        <v>167</v>
      </c>
      <c r="B25" s="7">
        <v>841</v>
      </c>
      <c r="C25" s="7">
        <v>848</v>
      </c>
      <c r="D25" s="7">
        <v>1000</v>
      </c>
      <c r="E25" s="7">
        <v>1149</v>
      </c>
      <c r="F25" s="7">
        <v>1292</v>
      </c>
      <c r="G25" s="7">
        <v>1428</v>
      </c>
      <c r="H25" s="7">
        <v>1411</v>
      </c>
      <c r="I25" s="7">
        <v>1393</v>
      </c>
      <c r="J25" s="7">
        <v>1386</v>
      </c>
      <c r="K25" s="7">
        <v>1271</v>
      </c>
      <c r="L25" s="7">
        <v>1244</v>
      </c>
      <c r="M25" s="7">
        <v>1245</v>
      </c>
      <c r="N25" s="7">
        <v>1288</v>
      </c>
      <c r="O25" s="7">
        <v>1304</v>
      </c>
      <c r="P25" s="7">
        <v>1443</v>
      </c>
      <c r="Q25" s="7">
        <v>1419</v>
      </c>
      <c r="R25" s="7">
        <v>1408</v>
      </c>
      <c r="S25" s="7">
        <v>1527</v>
      </c>
      <c r="T25" s="7">
        <v>1498</v>
      </c>
      <c r="U25" s="1">
        <v>1616</v>
      </c>
      <c r="V25" s="1">
        <v>1612</v>
      </c>
      <c r="W25" s="1">
        <v>1757</v>
      </c>
      <c r="Y25" s="1">
        <v>1803</v>
      </c>
      <c r="Z25" s="7">
        <v>1915</v>
      </c>
      <c r="AA25" s="7">
        <v>1942</v>
      </c>
    </row>
    <row r="26" spans="1:27">
      <c r="A26" s="54" t="s">
        <v>168</v>
      </c>
      <c r="B26" s="7">
        <v>10386</v>
      </c>
      <c r="C26" s="7">
        <v>10563</v>
      </c>
      <c r="D26" s="7">
        <v>12705</v>
      </c>
      <c r="E26" s="7">
        <v>13679</v>
      </c>
      <c r="F26" s="7">
        <v>13748</v>
      </c>
      <c r="G26" s="7">
        <v>13877</v>
      </c>
      <c r="H26" s="7">
        <v>14049</v>
      </c>
      <c r="I26" s="7">
        <v>14485</v>
      </c>
      <c r="J26" s="7">
        <v>15332</v>
      </c>
      <c r="K26" s="7">
        <v>15413</v>
      </c>
      <c r="L26" s="7">
        <v>15848</v>
      </c>
      <c r="M26" s="7">
        <v>16697</v>
      </c>
      <c r="N26" s="7">
        <v>17350</v>
      </c>
      <c r="O26" s="7">
        <v>18299</v>
      </c>
      <c r="P26" s="7">
        <v>18302</v>
      </c>
      <c r="Q26" s="7">
        <v>18570</v>
      </c>
      <c r="R26" s="7">
        <v>19198</v>
      </c>
      <c r="S26" s="7">
        <v>20294</v>
      </c>
      <c r="T26" s="7">
        <v>21037</v>
      </c>
      <c r="U26" s="1">
        <v>22176</v>
      </c>
      <c r="V26" s="1">
        <v>23775</v>
      </c>
      <c r="W26" s="1">
        <v>24843</v>
      </c>
      <c r="Y26" s="1">
        <v>26554</v>
      </c>
      <c r="Z26" s="7">
        <v>27439</v>
      </c>
      <c r="AA26" s="7">
        <v>29311</v>
      </c>
    </row>
    <row r="27" spans="1:27">
      <c r="A27" s="54" t="s">
        <v>169</v>
      </c>
      <c r="B27" s="7">
        <v>67221</v>
      </c>
      <c r="C27" s="7">
        <v>65377</v>
      </c>
      <c r="D27" s="7">
        <v>83367</v>
      </c>
      <c r="E27" s="7">
        <v>86886</v>
      </c>
      <c r="F27" s="7">
        <v>86225</v>
      </c>
      <c r="G27" s="7">
        <v>83300</v>
      </c>
      <c r="H27" s="7">
        <v>82540</v>
      </c>
      <c r="I27" s="7">
        <v>81983</v>
      </c>
      <c r="J27" s="7">
        <v>83154</v>
      </c>
      <c r="K27" s="7">
        <v>85977</v>
      </c>
      <c r="L27" s="7">
        <v>88344</v>
      </c>
      <c r="M27" s="7">
        <v>98807</v>
      </c>
      <c r="N27" s="7">
        <v>104322</v>
      </c>
      <c r="O27" s="7">
        <v>107630</v>
      </c>
      <c r="P27" s="7">
        <v>110990</v>
      </c>
      <c r="Q27" s="7">
        <v>112661</v>
      </c>
      <c r="R27" s="7">
        <v>116177</v>
      </c>
      <c r="S27" s="7">
        <v>117309</v>
      </c>
      <c r="T27" s="7">
        <v>120274</v>
      </c>
      <c r="U27" s="1">
        <v>124666</v>
      </c>
      <c r="V27" s="1">
        <v>125326</v>
      </c>
      <c r="W27" s="1">
        <v>130749</v>
      </c>
      <c r="Y27" s="1">
        <v>136033</v>
      </c>
      <c r="Z27" s="7">
        <v>142743</v>
      </c>
      <c r="AA27" s="7">
        <v>152488</v>
      </c>
    </row>
    <row r="28" spans="1:27">
      <c r="A28" s="54" t="s">
        <v>170</v>
      </c>
      <c r="B28" s="7">
        <v>12940</v>
      </c>
      <c r="C28" s="7">
        <v>13047</v>
      </c>
      <c r="D28" s="7">
        <v>14870</v>
      </c>
      <c r="E28" s="7">
        <v>15877</v>
      </c>
      <c r="F28" s="7">
        <v>15870</v>
      </c>
      <c r="G28" s="7">
        <v>16054</v>
      </c>
      <c r="H28" s="7">
        <v>16105</v>
      </c>
      <c r="I28" s="7">
        <v>16212</v>
      </c>
      <c r="J28" s="7">
        <v>16305</v>
      </c>
      <c r="K28" s="7">
        <v>16759</v>
      </c>
      <c r="L28" s="7">
        <v>17347</v>
      </c>
      <c r="M28" s="7">
        <v>18706</v>
      </c>
      <c r="N28" s="7">
        <v>19135</v>
      </c>
      <c r="O28" s="7">
        <v>20064</v>
      </c>
      <c r="P28" s="7">
        <v>20807</v>
      </c>
      <c r="Q28" s="7">
        <v>20448</v>
      </c>
      <c r="R28" s="7">
        <v>20915</v>
      </c>
      <c r="S28" s="7">
        <v>20593</v>
      </c>
      <c r="T28" s="7">
        <v>20826</v>
      </c>
      <c r="U28" s="1">
        <v>21454</v>
      </c>
      <c r="V28" s="1">
        <v>22137</v>
      </c>
      <c r="W28" s="1">
        <v>22735</v>
      </c>
      <c r="Y28" s="1">
        <v>23686</v>
      </c>
      <c r="Z28" s="7">
        <v>23603</v>
      </c>
      <c r="AA28" s="7">
        <v>24373</v>
      </c>
    </row>
    <row r="29" spans="1:27">
      <c r="A29" s="54" t="s">
        <v>173</v>
      </c>
      <c r="B29" s="7">
        <v>2934</v>
      </c>
      <c r="C29" s="7">
        <v>2834</v>
      </c>
      <c r="D29" s="7">
        <v>2767</v>
      </c>
      <c r="E29" s="7">
        <v>2997</v>
      </c>
      <c r="F29" s="7">
        <v>2991</v>
      </c>
      <c r="G29" s="7">
        <v>3156</v>
      </c>
      <c r="H29" s="7">
        <v>3395</v>
      </c>
      <c r="I29" s="7">
        <v>3279</v>
      </c>
      <c r="J29" s="7">
        <v>3086</v>
      </c>
      <c r="K29" s="7">
        <v>3080</v>
      </c>
      <c r="L29" s="7">
        <v>3112</v>
      </c>
      <c r="M29" s="7">
        <v>3010</v>
      </c>
      <c r="N29" s="7">
        <v>3314</v>
      </c>
      <c r="O29" s="7">
        <v>3294</v>
      </c>
      <c r="P29" s="7">
        <v>3639</v>
      </c>
      <c r="Q29" s="7">
        <v>3586</v>
      </c>
      <c r="R29" s="7">
        <v>3698</v>
      </c>
      <c r="S29" s="7">
        <v>3705</v>
      </c>
      <c r="T29" s="7">
        <v>3593</v>
      </c>
      <c r="U29" s="1">
        <v>3796</v>
      </c>
      <c r="V29" s="1">
        <v>4055</v>
      </c>
      <c r="W29" s="1">
        <v>4236</v>
      </c>
      <c r="Y29" s="1">
        <v>4599</v>
      </c>
      <c r="Z29" s="7">
        <v>4841</v>
      </c>
      <c r="AA29" s="7">
        <v>4735</v>
      </c>
    </row>
    <row r="30" spans="1:27">
      <c r="A30" s="54" t="s">
        <v>175</v>
      </c>
      <c r="B30" s="7">
        <v>2756</v>
      </c>
      <c r="C30" s="7">
        <v>2773</v>
      </c>
      <c r="D30" s="7">
        <v>3215</v>
      </c>
      <c r="E30" s="7">
        <v>3591</v>
      </c>
      <c r="F30" s="7">
        <v>3795</v>
      </c>
      <c r="G30" s="7">
        <v>3870</v>
      </c>
      <c r="H30" s="7">
        <v>4138</v>
      </c>
      <c r="I30" s="7">
        <v>4086</v>
      </c>
      <c r="J30" s="7">
        <v>4300</v>
      </c>
      <c r="K30" s="7">
        <v>4324</v>
      </c>
      <c r="L30" s="7">
        <v>4314</v>
      </c>
      <c r="M30" s="7">
        <v>5103</v>
      </c>
      <c r="N30" s="7">
        <v>4378</v>
      </c>
      <c r="O30" s="7">
        <v>4939</v>
      </c>
      <c r="P30" s="7">
        <v>4930</v>
      </c>
      <c r="Q30" s="7">
        <v>5149</v>
      </c>
      <c r="R30" s="7">
        <v>5054</v>
      </c>
      <c r="S30" s="7">
        <v>5078</v>
      </c>
      <c r="T30" s="7">
        <v>5263</v>
      </c>
      <c r="U30" s="1">
        <v>5583</v>
      </c>
      <c r="V30" s="1">
        <v>5980</v>
      </c>
      <c r="W30" s="1">
        <v>6313</v>
      </c>
      <c r="Y30" s="1">
        <v>6532</v>
      </c>
      <c r="Z30" s="7">
        <v>6560</v>
      </c>
      <c r="AA30" s="7">
        <v>6597</v>
      </c>
    </row>
    <row r="31" spans="1:27">
      <c r="A31" s="54" t="s">
        <v>184</v>
      </c>
      <c r="B31" s="7">
        <v>3730</v>
      </c>
      <c r="C31" s="7">
        <v>3761</v>
      </c>
      <c r="D31" s="7">
        <v>3735</v>
      </c>
      <c r="E31" s="7">
        <v>3706</v>
      </c>
      <c r="F31" s="7">
        <v>3877</v>
      </c>
      <c r="G31" s="7">
        <v>3880</v>
      </c>
      <c r="H31" s="7">
        <v>4021</v>
      </c>
      <c r="I31" s="7">
        <v>4125</v>
      </c>
      <c r="J31" s="7">
        <v>4410</v>
      </c>
      <c r="K31" s="7">
        <v>4346</v>
      </c>
      <c r="L31" s="7">
        <v>4474</v>
      </c>
      <c r="M31" s="7">
        <v>4649</v>
      </c>
      <c r="N31" s="7">
        <v>4772</v>
      </c>
      <c r="O31" s="7">
        <v>4607</v>
      </c>
      <c r="P31" s="7">
        <v>4498</v>
      </c>
      <c r="Q31" s="7">
        <v>4634</v>
      </c>
      <c r="R31" s="7">
        <v>4604</v>
      </c>
      <c r="S31" s="7">
        <v>4677</v>
      </c>
      <c r="T31" s="7">
        <v>4670</v>
      </c>
      <c r="U31" s="1">
        <v>4865</v>
      </c>
      <c r="V31" s="1">
        <v>4680</v>
      </c>
      <c r="W31" s="1">
        <v>4925</v>
      </c>
      <c r="Y31" s="1">
        <v>5347</v>
      </c>
      <c r="Z31" s="7">
        <v>5186</v>
      </c>
      <c r="AA31" s="7">
        <v>5296</v>
      </c>
    </row>
    <row r="32" spans="1:27">
      <c r="A32" s="54" t="s">
        <v>190</v>
      </c>
      <c r="B32" s="7">
        <v>1897</v>
      </c>
      <c r="C32" s="7">
        <v>1914</v>
      </c>
      <c r="D32" s="7">
        <v>2634</v>
      </c>
      <c r="E32" s="7">
        <v>2978</v>
      </c>
      <c r="F32" s="7">
        <v>3220</v>
      </c>
      <c r="G32" s="7">
        <v>3291</v>
      </c>
      <c r="H32" s="7">
        <v>3357</v>
      </c>
      <c r="I32" s="7">
        <v>3588</v>
      </c>
      <c r="J32" s="7">
        <v>3782</v>
      </c>
      <c r="K32" s="7">
        <v>3781</v>
      </c>
      <c r="L32" s="7">
        <v>4004</v>
      </c>
      <c r="M32" s="7">
        <v>4549</v>
      </c>
      <c r="N32" s="7">
        <v>4714</v>
      </c>
      <c r="O32" s="7">
        <v>5010</v>
      </c>
      <c r="P32" s="7">
        <v>5924</v>
      </c>
      <c r="Q32" s="7">
        <v>5673</v>
      </c>
      <c r="R32" s="7">
        <v>6058</v>
      </c>
      <c r="S32" s="7">
        <v>6231</v>
      </c>
      <c r="T32" s="7">
        <v>6262</v>
      </c>
      <c r="U32" s="1">
        <v>6531</v>
      </c>
      <c r="V32" s="1">
        <v>6625</v>
      </c>
      <c r="W32" s="1">
        <v>7215</v>
      </c>
      <c r="Y32" s="1">
        <v>7697</v>
      </c>
      <c r="Z32" s="7">
        <v>7778</v>
      </c>
      <c r="AA32" s="7">
        <v>8151</v>
      </c>
    </row>
    <row r="33" spans="1:27">
      <c r="A33" s="54" t="s">
        <v>189</v>
      </c>
      <c r="B33" s="7">
        <v>4296</v>
      </c>
      <c r="C33" s="7">
        <v>4399</v>
      </c>
      <c r="D33" s="7">
        <v>5168</v>
      </c>
      <c r="E33" s="7">
        <v>5325</v>
      </c>
      <c r="F33" s="7">
        <v>5581</v>
      </c>
      <c r="G33" s="7">
        <v>5582</v>
      </c>
      <c r="H33" s="7">
        <v>5645</v>
      </c>
      <c r="I33" s="7">
        <v>5582</v>
      </c>
      <c r="J33" s="7">
        <v>5753</v>
      </c>
      <c r="K33" s="7">
        <v>5719</v>
      </c>
      <c r="L33" s="7">
        <v>5678</v>
      </c>
      <c r="M33" s="7">
        <v>5810</v>
      </c>
      <c r="N33" s="7">
        <v>5948</v>
      </c>
      <c r="O33" s="7">
        <v>6052</v>
      </c>
      <c r="P33" s="7">
        <v>6186</v>
      </c>
      <c r="Q33" s="7">
        <v>6462</v>
      </c>
      <c r="R33" s="7">
        <v>6538</v>
      </c>
      <c r="S33" s="7">
        <v>6625</v>
      </c>
      <c r="T33" s="7">
        <v>6639</v>
      </c>
      <c r="U33" s="1">
        <v>7103</v>
      </c>
      <c r="V33" s="1">
        <v>7281</v>
      </c>
      <c r="W33" s="1">
        <v>7702</v>
      </c>
      <c r="Y33" s="1">
        <v>8035</v>
      </c>
      <c r="Z33" s="7">
        <v>8450</v>
      </c>
      <c r="AA33" s="7">
        <v>8603</v>
      </c>
    </row>
    <row r="34" spans="1:27">
      <c r="A34" s="54" t="s">
        <v>193</v>
      </c>
      <c r="B34" s="7">
        <v>8452</v>
      </c>
      <c r="C34" s="7">
        <v>8577</v>
      </c>
      <c r="D34" s="7">
        <v>9865</v>
      </c>
      <c r="E34" s="7">
        <v>9688</v>
      </c>
      <c r="F34" s="7">
        <v>9507</v>
      </c>
      <c r="G34" s="7">
        <v>9219</v>
      </c>
      <c r="H34" s="7">
        <v>9359</v>
      </c>
      <c r="I34" s="7">
        <v>9450</v>
      </c>
      <c r="J34" s="7">
        <v>9700</v>
      </c>
      <c r="K34" s="7">
        <v>9846</v>
      </c>
      <c r="L34" s="7">
        <v>10269</v>
      </c>
      <c r="M34" s="7">
        <v>11342</v>
      </c>
      <c r="N34" s="7">
        <v>12114</v>
      </c>
      <c r="O34" s="7">
        <v>12426</v>
      </c>
      <c r="P34" s="7">
        <v>12952</v>
      </c>
      <c r="Q34" s="7">
        <v>12921</v>
      </c>
      <c r="R34" s="7">
        <v>12860</v>
      </c>
      <c r="S34" s="7">
        <v>12796</v>
      </c>
      <c r="T34" s="7">
        <v>13614</v>
      </c>
      <c r="U34" s="1">
        <v>14155</v>
      </c>
      <c r="V34" s="1">
        <v>15800</v>
      </c>
      <c r="W34" s="1">
        <v>16771</v>
      </c>
      <c r="Y34" s="1">
        <v>17266</v>
      </c>
      <c r="Z34" s="7">
        <v>17419</v>
      </c>
      <c r="AA34" s="7">
        <v>18137</v>
      </c>
    </row>
    <row r="35" spans="1:27">
      <c r="A35" s="54" t="s">
        <v>197</v>
      </c>
      <c r="B35" s="7">
        <v>5707</v>
      </c>
      <c r="C35" s="7">
        <v>5795</v>
      </c>
      <c r="D35" s="7">
        <v>6390</v>
      </c>
      <c r="E35" s="7">
        <v>6815</v>
      </c>
      <c r="F35" s="7">
        <v>7438</v>
      </c>
      <c r="G35" s="7">
        <v>7757</v>
      </c>
      <c r="H35" s="7">
        <v>8337</v>
      </c>
      <c r="I35" s="7">
        <v>8655</v>
      </c>
      <c r="J35" s="7">
        <v>9634</v>
      </c>
      <c r="K35" s="7">
        <v>9608</v>
      </c>
      <c r="L35" s="7">
        <v>9218</v>
      </c>
      <c r="M35" s="7">
        <v>10807</v>
      </c>
      <c r="N35" s="7">
        <v>12008</v>
      </c>
      <c r="O35" s="7">
        <v>12502</v>
      </c>
      <c r="P35" s="7">
        <v>12273</v>
      </c>
      <c r="Q35" s="7">
        <v>12103</v>
      </c>
      <c r="R35" s="7">
        <v>12159</v>
      </c>
      <c r="S35" s="7">
        <v>12303</v>
      </c>
      <c r="T35" s="7">
        <v>12571</v>
      </c>
      <c r="U35" s="1">
        <v>13658</v>
      </c>
      <c r="V35" s="1">
        <v>14426</v>
      </c>
      <c r="W35" s="1">
        <v>15237</v>
      </c>
      <c r="Y35" s="1">
        <v>15765</v>
      </c>
      <c r="Z35" s="7">
        <v>15934</v>
      </c>
      <c r="AA35" s="7">
        <v>16242</v>
      </c>
    </row>
    <row r="36" spans="1:27">
      <c r="A36" s="54" t="s">
        <v>76</v>
      </c>
      <c r="B36" s="7">
        <v>13275</v>
      </c>
      <c r="C36" s="7">
        <v>13156</v>
      </c>
      <c r="D36" s="7">
        <v>14828</v>
      </c>
      <c r="E36" s="7">
        <v>15957</v>
      </c>
      <c r="F36" s="7">
        <v>16386</v>
      </c>
      <c r="G36" s="7">
        <v>16843</v>
      </c>
      <c r="H36" s="7">
        <v>17395</v>
      </c>
      <c r="I36" s="7">
        <v>17801</v>
      </c>
      <c r="J36" s="7">
        <v>18009</v>
      </c>
      <c r="K36" s="7">
        <v>17663</v>
      </c>
      <c r="L36" s="7">
        <v>18211</v>
      </c>
      <c r="M36" s="7">
        <v>19661</v>
      </c>
      <c r="N36" s="7">
        <v>20456</v>
      </c>
      <c r="O36" s="7">
        <v>20692</v>
      </c>
      <c r="P36" s="7">
        <v>20989</v>
      </c>
      <c r="Q36" s="7">
        <v>21442</v>
      </c>
      <c r="R36" s="7">
        <v>21641</v>
      </c>
      <c r="S36" s="7">
        <v>22061</v>
      </c>
      <c r="T36" s="7">
        <v>22851</v>
      </c>
      <c r="U36" s="1">
        <v>23411</v>
      </c>
      <c r="V36" s="1">
        <v>24384</v>
      </c>
      <c r="W36" s="1">
        <v>24649</v>
      </c>
      <c r="Y36" s="1">
        <v>25300</v>
      </c>
      <c r="Z36" s="7">
        <v>25836</v>
      </c>
      <c r="AA36" s="7">
        <v>26341</v>
      </c>
    </row>
    <row r="37" spans="1:27">
      <c r="A37" s="58" t="s">
        <v>200</v>
      </c>
      <c r="B37" s="7">
        <v>1625</v>
      </c>
      <c r="C37" s="7">
        <v>1631</v>
      </c>
      <c r="D37" s="7">
        <v>1781</v>
      </c>
      <c r="E37" s="7">
        <v>1856</v>
      </c>
      <c r="F37" s="7">
        <v>1794</v>
      </c>
      <c r="G37" s="7">
        <v>1777</v>
      </c>
      <c r="H37" s="7">
        <v>1641</v>
      </c>
      <c r="I37" s="7">
        <v>1652</v>
      </c>
      <c r="J37" s="7">
        <v>1706</v>
      </c>
      <c r="K37" s="7">
        <v>1784</v>
      </c>
      <c r="L37" s="7">
        <v>1797</v>
      </c>
      <c r="M37" s="7">
        <v>1739</v>
      </c>
      <c r="N37" s="7">
        <v>1670</v>
      </c>
      <c r="O37" s="7">
        <v>1695</v>
      </c>
      <c r="P37" s="7">
        <v>1790</v>
      </c>
      <c r="Q37" s="7">
        <v>1687</v>
      </c>
      <c r="R37" s="7">
        <v>1786</v>
      </c>
      <c r="S37" s="7">
        <v>1747</v>
      </c>
      <c r="T37" s="7">
        <v>1783</v>
      </c>
      <c r="U37" s="1">
        <v>1853</v>
      </c>
      <c r="V37" s="1">
        <v>2062</v>
      </c>
      <c r="W37" s="1">
        <v>2053</v>
      </c>
      <c r="Y37" s="1">
        <v>2022</v>
      </c>
      <c r="Z37" s="7">
        <v>2159</v>
      </c>
      <c r="AA37" s="7">
        <v>2204</v>
      </c>
    </row>
    <row r="38" spans="1:27">
      <c r="A38" s="54" t="s">
        <v>246</v>
      </c>
      <c r="B38" s="55">
        <f t="shared" ref="B38:S38" si="20">SUM(B40:B51)</f>
        <v>186798</v>
      </c>
      <c r="C38" s="55">
        <f t="shared" si="20"/>
        <v>186910</v>
      </c>
      <c r="D38" s="55">
        <f t="shared" si="20"/>
        <v>208204</v>
      </c>
      <c r="E38" s="55">
        <f t="shared" si="20"/>
        <v>211447</v>
      </c>
      <c r="F38" s="55">
        <f t="shared" si="20"/>
        <v>210378</v>
      </c>
      <c r="G38" s="55">
        <f t="shared" si="20"/>
        <v>204654</v>
      </c>
      <c r="H38" s="55">
        <f t="shared" si="20"/>
        <v>200536</v>
      </c>
      <c r="I38" s="55">
        <f t="shared" si="20"/>
        <v>199473</v>
      </c>
      <c r="J38" s="55">
        <f t="shared" si="20"/>
        <v>199529</v>
      </c>
      <c r="K38" s="55">
        <f t="shared" si="20"/>
        <v>200032</v>
      </c>
      <c r="L38" s="55">
        <f t="shared" si="20"/>
        <v>204756</v>
      </c>
      <c r="M38" s="55">
        <f t="shared" si="20"/>
        <v>220825</v>
      </c>
      <c r="N38" s="55">
        <f t="shared" si="20"/>
        <v>227527</v>
      </c>
      <c r="O38" s="55">
        <f t="shared" si="20"/>
        <v>229831</v>
      </c>
      <c r="P38" s="55">
        <f t="shared" si="20"/>
        <v>232889</v>
      </c>
      <c r="Q38" s="55">
        <f t="shared" si="20"/>
        <v>236925</v>
      </c>
      <c r="R38" s="55">
        <f t="shared" si="20"/>
        <v>238774</v>
      </c>
      <c r="S38" s="55">
        <f t="shared" si="20"/>
        <v>242232</v>
      </c>
      <c r="T38" s="55">
        <f t="shared" ref="T38:U38" si="21">SUM(T40:T51)</f>
        <v>246991</v>
      </c>
      <c r="U38" s="55">
        <f t="shared" si="21"/>
        <v>253989</v>
      </c>
      <c r="V38" s="55">
        <f t="shared" ref="V38:W38" si="22">SUM(V40:V51)</f>
        <v>265440</v>
      </c>
      <c r="W38" s="55">
        <f t="shared" si="22"/>
        <v>269221</v>
      </c>
      <c r="X38" s="55">
        <f t="shared" ref="X38:AA38" si="23">SUM(X40:X51)</f>
        <v>0</v>
      </c>
      <c r="Y38" s="55">
        <f t="shared" si="23"/>
        <v>276152</v>
      </c>
      <c r="Z38" s="55">
        <f t="shared" si="23"/>
        <v>278529</v>
      </c>
      <c r="AA38" s="55">
        <f t="shared" si="23"/>
        <v>282997</v>
      </c>
    </row>
    <row r="39" spans="1:27">
      <c r="A39" s="56" t="s">
        <v>244</v>
      </c>
      <c r="B39" s="57">
        <f t="shared" ref="B39:S39" si="24">(B38/B4)*100</f>
        <v>28.480862119437937</v>
      </c>
      <c r="C39" s="57">
        <f t="shared" si="24"/>
        <v>28.594157557770416</v>
      </c>
      <c r="D39" s="57">
        <f t="shared" si="24"/>
        <v>27.537334061652285</v>
      </c>
      <c r="E39" s="57">
        <f t="shared" si="24"/>
        <v>27.050777377067213</v>
      </c>
      <c r="F39" s="57">
        <f t="shared" si="24"/>
        <v>26.77539155468784</v>
      </c>
      <c r="G39" s="57">
        <f t="shared" si="24"/>
        <v>26.462077151642262</v>
      </c>
      <c r="H39" s="57">
        <f t="shared" si="24"/>
        <v>26.014243646788692</v>
      </c>
      <c r="I39" s="57">
        <f t="shared" si="24"/>
        <v>25.784731046303754</v>
      </c>
      <c r="J39" s="57">
        <f t="shared" si="24"/>
        <v>25.541837080845127</v>
      </c>
      <c r="K39" s="57">
        <f t="shared" si="24"/>
        <v>25.406922024658552</v>
      </c>
      <c r="L39" s="57">
        <f t="shared" si="24"/>
        <v>25.34679841251371</v>
      </c>
      <c r="M39" s="57">
        <f t="shared" si="24"/>
        <v>25.335705992225755</v>
      </c>
      <c r="N39" s="57">
        <f t="shared" si="24"/>
        <v>25.218376306627931</v>
      </c>
      <c r="O39" s="57">
        <f t="shared" si="24"/>
        <v>24.73977226978861</v>
      </c>
      <c r="P39" s="57">
        <f t="shared" si="24"/>
        <v>24.480873742523467</v>
      </c>
      <c r="Q39" s="57">
        <f t="shared" si="24"/>
        <v>24.373244725174111</v>
      </c>
      <c r="R39" s="57">
        <f t="shared" si="24"/>
        <v>24.056694544439708</v>
      </c>
      <c r="S39" s="57">
        <f t="shared" si="24"/>
        <v>23.82018626852286</v>
      </c>
      <c r="T39" s="57">
        <f t="shared" ref="T39:U39" si="25">(T38/T4)*100</f>
        <v>23.622481770813408</v>
      </c>
      <c r="U39" s="57">
        <f t="shared" si="25"/>
        <v>23.424755320601029</v>
      </c>
      <c r="V39" s="57">
        <f t="shared" ref="V39:W39" si="26">(V38/V4)*100</f>
        <v>23.544480298882913</v>
      </c>
      <c r="W39" s="57">
        <f t="shared" si="26"/>
        <v>23.292620570140183</v>
      </c>
      <c r="X39" s="57" t="e">
        <f t="shared" ref="X39:AA39" si="27">(X38/X4)*100</f>
        <v>#DIV/0!</v>
      </c>
      <c r="Y39" s="57">
        <f t="shared" si="27"/>
        <v>22.997239351934745</v>
      </c>
      <c r="Z39" s="57">
        <f t="shared" si="27"/>
        <v>22.577635471973412</v>
      </c>
      <c r="AA39" s="57">
        <f t="shared" si="27"/>
        <v>22.306958031732972</v>
      </c>
    </row>
    <row r="40" spans="1:27">
      <c r="A40" s="54" t="s">
        <v>176</v>
      </c>
      <c r="B40" s="7">
        <v>27969</v>
      </c>
      <c r="C40" s="7">
        <v>28554</v>
      </c>
      <c r="D40" s="7">
        <v>30962</v>
      </c>
      <c r="E40" s="7">
        <v>29759</v>
      </c>
      <c r="F40" s="7">
        <v>30358</v>
      </c>
      <c r="G40" s="7">
        <v>30170</v>
      </c>
      <c r="H40" s="7">
        <v>29079</v>
      </c>
      <c r="I40" s="7">
        <v>29020</v>
      </c>
      <c r="J40" s="7">
        <v>29001</v>
      </c>
      <c r="K40" s="7">
        <v>29537</v>
      </c>
      <c r="L40" s="7">
        <v>30469</v>
      </c>
      <c r="M40" s="7">
        <v>32457</v>
      </c>
      <c r="N40" s="7">
        <v>31678</v>
      </c>
      <c r="O40" s="7">
        <v>31775</v>
      </c>
      <c r="P40" s="7">
        <v>31812</v>
      </c>
      <c r="Q40" s="7">
        <v>33074</v>
      </c>
      <c r="R40" s="7">
        <v>33729</v>
      </c>
      <c r="S40" s="7">
        <v>33783</v>
      </c>
      <c r="T40" s="7">
        <v>33935</v>
      </c>
      <c r="U40" s="1">
        <v>33874</v>
      </c>
      <c r="V40" s="1">
        <v>34658</v>
      </c>
      <c r="W40" s="1">
        <v>34403</v>
      </c>
      <c r="Y40" s="1">
        <v>32817</v>
      </c>
      <c r="Z40" s="7">
        <v>33121</v>
      </c>
      <c r="AA40" s="7">
        <v>33048</v>
      </c>
    </row>
    <row r="41" spans="1:27">
      <c r="A41" s="54" t="s">
        <v>177</v>
      </c>
      <c r="B41" s="7">
        <v>18252</v>
      </c>
      <c r="C41" s="7">
        <v>18140</v>
      </c>
      <c r="D41" s="7">
        <v>21162</v>
      </c>
      <c r="E41" s="7">
        <v>22113</v>
      </c>
      <c r="F41" s="7">
        <v>21551</v>
      </c>
      <c r="G41" s="7">
        <v>20941</v>
      </c>
      <c r="H41" s="7">
        <v>20650</v>
      </c>
      <c r="I41" s="7">
        <v>20495</v>
      </c>
      <c r="J41" s="7">
        <v>20744</v>
      </c>
      <c r="K41" s="7">
        <v>20286</v>
      </c>
      <c r="L41" s="7">
        <v>21167</v>
      </c>
      <c r="M41" s="7">
        <v>23484</v>
      </c>
      <c r="N41" s="7">
        <v>24522</v>
      </c>
      <c r="O41" s="7">
        <v>24774</v>
      </c>
      <c r="P41" s="7">
        <v>25420</v>
      </c>
      <c r="Q41" s="7">
        <v>25247</v>
      </c>
      <c r="R41" s="7">
        <v>24986</v>
      </c>
      <c r="S41" s="7">
        <v>25386</v>
      </c>
      <c r="T41" s="7">
        <v>26858</v>
      </c>
      <c r="U41" s="1">
        <v>28631</v>
      </c>
      <c r="V41" s="1">
        <v>29853</v>
      </c>
      <c r="W41" s="1">
        <v>30873</v>
      </c>
      <c r="Y41" s="1">
        <v>32390</v>
      </c>
      <c r="Z41" s="7">
        <v>32180</v>
      </c>
      <c r="AA41" s="7">
        <v>32899</v>
      </c>
    </row>
    <row r="42" spans="1:27">
      <c r="A42" s="54" t="s">
        <v>174</v>
      </c>
      <c r="B42" s="7">
        <v>9850</v>
      </c>
      <c r="C42" s="7">
        <v>9784</v>
      </c>
      <c r="D42" s="7">
        <v>9559</v>
      </c>
      <c r="E42" s="7">
        <v>9661</v>
      </c>
      <c r="F42" s="7">
        <v>9759</v>
      </c>
      <c r="G42" s="7">
        <v>9429</v>
      </c>
      <c r="H42" s="7">
        <v>9189</v>
      </c>
      <c r="I42" s="7">
        <v>9484</v>
      </c>
      <c r="J42" s="7">
        <v>9496</v>
      </c>
      <c r="K42" s="7">
        <v>9804</v>
      </c>
      <c r="L42" s="7">
        <v>10282</v>
      </c>
      <c r="M42" s="7">
        <v>11159</v>
      </c>
      <c r="N42" s="7">
        <v>11122</v>
      </c>
      <c r="O42" s="7">
        <v>11389</v>
      </c>
      <c r="P42" s="7">
        <v>11142</v>
      </c>
      <c r="Q42" s="7">
        <v>10747</v>
      </c>
      <c r="R42" s="7">
        <v>11113</v>
      </c>
      <c r="S42" s="7">
        <v>10862</v>
      </c>
      <c r="T42" s="7">
        <v>11263</v>
      </c>
      <c r="U42" s="1">
        <v>11281</v>
      </c>
      <c r="V42" s="1">
        <v>11672</v>
      </c>
      <c r="W42" s="1">
        <v>11961</v>
      </c>
      <c r="Y42" s="1">
        <v>12835</v>
      </c>
      <c r="Z42" s="7">
        <v>13021</v>
      </c>
      <c r="AA42" s="7">
        <v>13490</v>
      </c>
    </row>
    <row r="43" spans="1:27">
      <c r="A43" s="54" t="s">
        <v>178</v>
      </c>
      <c r="B43" s="7">
        <v>9865</v>
      </c>
      <c r="C43" s="7">
        <v>9787</v>
      </c>
      <c r="D43" s="7">
        <v>11244</v>
      </c>
      <c r="E43" s="7">
        <v>11563</v>
      </c>
      <c r="F43" s="7">
        <v>11590</v>
      </c>
      <c r="G43" s="7">
        <v>11522</v>
      </c>
      <c r="H43" s="7">
        <v>11520</v>
      </c>
      <c r="I43" s="7">
        <v>11194</v>
      </c>
      <c r="J43" s="7">
        <v>11084</v>
      </c>
      <c r="K43" s="7">
        <v>11114</v>
      </c>
      <c r="L43" s="7">
        <v>11175</v>
      </c>
      <c r="M43" s="7">
        <v>12362</v>
      </c>
      <c r="N43" s="7">
        <v>12624</v>
      </c>
      <c r="O43" s="7">
        <v>12856</v>
      </c>
      <c r="P43" s="7">
        <v>13464</v>
      </c>
      <c r="Q43" s="7">
        <v>13624</v>
      </c>
      <c r="R43" s="7">
        <v>13414</v>
      </c>
      <c r="S43" s="7">
        <v>13693</v>
      </c>
      <c r="T43" s="7">
        <v>14005</v>
      </c>
      <c r="U43" s="1">
        <v>14065</v>
      </c>
      <c r="V43" s="1">
        <v>15004</v>
      </c>
      <c r="W43" s="1">
        <v>15396</v>
      </c>
      <c r="Y43" s="1">
        <v>14870</v>
      </c>
      <c r="Z43" s="7">
        <v>15512</v>
      </c>
      <c r="AA43" s="7">
        <v>15470</v>
      </c>
    </row>
    <row r="44" spans="1:27">
      <c r="A44" s="54" t="s">
        <v>181</v>
      </c>
      <c r="B44" s="7">
        <v>29683</v>
      </c>
      <c r="C44" s="7">
        <v>30536</v>
      </c>
      <c r="D44" s="7">
        <v>35359</v>
      </c>
      <c r="E44" s="7">
        <v>36127</v>
      </c>
      <c r="F44" s="7">
        <v>35339</v>
      </c>
      <c r="G44" s="7">
        <v>33837</v>
      </c>
      <c r="H44" s="7">
        <v>34017</v>
      </c>
      <c r="I44" s="7">
        <v>33748</v>
      </c>
      <c r="J44" s="7">
        <v>33122</v>
      </c>
      <c r="K44" s="7">
        <v>32809</v>
      </c>
      <c r="L44" s="7">
        <v>34551</v>
      </c>
      <c r="M44" s="7">
        <v>37607</v>
      </c>
      <c r="N44" s="7">
        <v>38615</v>
      </c>
      <c r="O44" s="7">
        <v>38901</v>
      </c>
      <c r="P44" s="7">
        <v>39190</v>
      </c>
      <c r="Q44" s="7">
        <v>40478</v>
      </c>
      <c r="R44" s="7">
        <v>41260</v>
      </c>
      <c r="S44" s="7">
        <v>41171</v>
      </c>
      <c r="T44" s="7">
        <v>42037</v>
      </c>
      <c r="U44" s="1">
        <v>42386</v>
      </c>
      <c r="V44" s="1">
        <v>43645</v>
      </c>
      <c r="W44" s="1">
        <v>44493</v>
      </c>
      <c r="Y44" s="1">
        <v>46116</v>
      </c>
      <c r="Z44" s="7">
        <v>46838</v>
      </c>
      <c r="AA44" s="7">
        <v>48014</v>
      </c>
    </row>
    <row r="45" spans="1:27">
      <c r="A45" s="54" t="s">
        <v>182</v>
      </c>
      <c r="B45" s="7">
        <v>13775</v>
      </c>
      <c r="C45" s="7">
        <v>14102</v>
      </c>
      <c r="D45" s="7">
        <v>15981</v>
      </c>
      <c r="E45" s="7">
        <v>16560</v>
      </c>
      <c r="F45" s="7">
        <v>16385</v>
      </c>
      <c r="G45" s="7">
        <v>15996</v>
      </c>
      <c r="H45" s="7">
        <v>15074</v>
      </c>
      <c r="I45" s="7">
        <v>14485</v>
      </c>
      <c r="J45" s="7">
        <v>14895</v>
      </c>
      <c r="K45" s="7">
        <v>14711</v>
      </c>
      <c r="L45" s="7">
        <v>14190</v>
      </c>
      <c r="M45" s="7">
        <v>16263</v>
      </c>
      <c r="N45" s="7">
        <v>17330</v>
      </c>
      <c r="O45" s="7">
        <v>17648</v>
      </c>
      <c r="P45" s="7">
        <v>18175</v>
      </c>
      <c r="Q45" s="7">
        <v>18420</v>
      </c>
      <c r="R45" s="7">
        <v>18697</v>
      </c>
      <c r="S45" s="7">
        <v>19012</v>
      </c>
      <c r="T45" s="7">
        <v>19215</v>
      </c>
      <c r="U45" s="1">
        <v>20047</v>
      </c>
      <c r="V45" s="1">
        <v>21319</v>
      </c>
      <c r="W45" s="1">
        <v>21436</v>
      </c>
      <c r="Y45" s="1">
        <v>21394</v>
      </c>
      <c r="Z45" s="7">
        <v>21329</v>
      </c>
      <c r="AA45" s="7">
        <v>21453</v>
      </c>
    </row>
    <row r="46" spans="1:27">
      <c r="A46" s="54" t="s">
        <v>183</v>
      </c>
      <c r="B46" s="7">
        <v>14383</v>
      </c>
      <c r="C46" s="7">
        <v>14027</v>
      </c>
      <c r="D46" s="7">
        <v>15709</v>
      </c>
      <c r="E46" s="7">
        <v>16133</v>
      </c>
      <c r="F46" s="7">
        <v>16290</v>
      </c>
      <c r="G46" s="7">
        <v>15656</v>
      </c>
      <c r="H46" s="7">
        <v>15069</v>
      </c>
      <c r="I46" s="7">
        <v>15302</v>
      </c>
      <c r="J46" s="7">
        <v>15624</v>
      </c>
      <c r="K46" s="7">
        <v>15937</v>
      </c>
      <c r="L46" s="7">
        <v>16164</v>
      </c>
      <c r="M46" s="7">
        <v>17248</v>
      </c>
      <c r="N46" s="7">
        <v>17647</v>
      </c>
      <c r="O46" s="7">
        <v>17998</v>
      </c>
      <c r="P46" s="7">
        <v>18147</v>
      </c>
      <c r="Q46" s="7">
        <v>18382</v>
      </c>
      <c r="R46" s="7">
        <v>17637</v>
      </c>
      <c r="S46" s="7">
        <v>19399</v>
      </c>
      <c r="T46" s="7">
        <v>19683</v>
      </c>
      <c r="U46" s="1">
        <v>19994</v>
      </c>
      <c r="V46" s="1">
        <v>20984</v>
      </c>
      <c r="W46" s="1">
        <v>21186</v>
      </c>
      <c r="Y46" s="1">
        <v>22092</v>
      </c>
      <c r="Z46" s="7">
        <v>22367</v>
      </c>
      <c r="AA46" s="7">
        <v>22445</v>
      </c>
    </row>
    <row r="47" spans="1:27">
      <c r="A47" s="54" t="s">
        <v>186</v>
      </c>
      <c r="B47" s="7">
        <v>6233</v>
      </c>
      <c r="C47" s="7">
        <v>6214</v>
      </c>
      <c r="D47" s="7">
        <v>6593</v>
      </c>
      <c r="E47" s="7">
        <v>6777</v>
      </c>
      <c r="F47" s="7">
        <v>7079</v>
      </c>
      <c r="G47" s="7">
        <v>6961</v>
      </c>
      <c r="H47" s="7">
        <v>6641</v>
      </c>
      <c r="I47" s="7">
        <v>6739</v>
      </c>
      <c r="J47" s="7">
        <v>6811</v>
      </c>
      <c r="K47" s="7">
        <v>6712</v>
      </c>
      <c r="L47" s="7">
        <v>7157</v>
      </c>
      <c r="M47" s="7">
        <v>6939</v>
      </c>
      <c r="N47" s="7">
        <v>7145</v>
      </c>
      <c r="O47" s="7">
        <v>7352</v>
      </c>
      <c r="P47" s="7">
        <v>7379</v>
      </c>
      <c r="Q47" s="7">
        <v>7440</v>
      </c>
      <c r="R47" s="7">
        <v>7401</v>
      </c>
      <c r="S47" s="7">
        <v>7408</v>
      </c>
      <c r="T47" s="7">
        <v>7483</v>
      </c>
      <c r="U47" s="1">
        <v>7904</v>
      </c>
      <c r="V47" s="1">
        <v>8401</v>
      </c>
      <c r="W47" s="1">
        <v>8724</v>
      </c>
      <c r="Y47" s="1">
        <v>8889</v>
      </c>
      <c r="Z47" s="7">
        <v>8658</v>
      </c>
      <c r="AA47" s="7">
        <v>8998</v>
      </c>
    </row>
    <row r="48" spans="1:27">
      <c r="A48" s="54" t="s">
        <v>185</v>
      </c>
      <c r="B48" s="7">
        <v>3831</v>
      </c>
      <c r="C48" s="7">
        <v>3766</v>
      </c>
      <c r="D48" s="7">
        <v>4253</v>
      </c>
      <c r="E48" s="7">
        <v>3967</v>
      </c>
      <c r="F48" s="7">
        <v>3885</v>
      </c>
      <c r="G48" s="7">
        <v>3812</v>
      </c>
      <c r="H48" s="7">
        <v>3910</v>
      </c>
      <c r="I48" s="7">
        <v>4147</v>
      </c>
      <c r="J48" s="7">
        <v>4008</v>
      </c>
      <c r="K48" s="7">
        <v>4084</v>
      </c>
      <c r="L48" s="7">
        <v>4104</v>
      </c>
      <c r="M48" s="7">
        <v>4131</v>
      </c>
      <c r="N48" s="7">
        <v>4234</v>
      </c>
      <c r="O48" s="7">
        <v>4382</v>
      </c>
      <c r="P48" s="7">
        <v>4689</v>
      </c>
      <c r="Q48" s="7">
        <v>4763</v>
      </c>
      <c r="R48" s="7">
        <v>4740</v>
      </c>
      <c r="S48" s="7">
        <v>4851</v>
      </c>
      <c r="T48" s="7">
        <v>4860</v>
      </c>
      <c r="U48" s="1">
        <v>4864</v>
      </c>
      <c r="V48" s="1">
        <v>5060</v>
      </c>
      <c r="W48" s="1">
        <v>5275</v>
      </c>
      <c r="Y48" s="1">
        <v>5604</v>
      </c>
      <c r="Z48" s="7">
        <v>5663</v>
      </c>
      <c r="AA48" s="7">
        <v>5737</v>
      </c>
    </row>
    <row r="49" spans="1:27">
      <c r="A49" s="54" t="s">
        <v>192</v>
      </c>
      <c r="B49" s="7">
        <v>30212</v>
      </c>
      <c r="C49" s="7">
        <v>29467</v>
      </c>
      <c r="D49" s="7">
        <v>33606</v>
      </c>
      <c r="E49" s="7">
        <v>34769</v>
      </c>
      <c r="F49" s="7">
        <v>34239</v>
      </c>
      <c r="G49" s="7">
        <v>32988</v>
      </c>
      <c r="H49" s="7">
        <v>32089</v>
      </c>
      <c r="I49" s="7">
        <v>31744</v>
      </c>
      <c r="J49" s="7">
        <v>31652</v>
      </c>
      <c r="K49" s="7">
        <v>31951</v>
      </c>
      <c r="L49" s="7">
        <v>32018</v>
      </c>
      <c r="M49" s="7">
        <v>34660</v>
      </c>
      <c r="N49" s="7">
        <v>35860</v>
      </c>
      <c r="O49" s="7">
        <v>36749</v>
      </c>
      <c r="P49" s="7">
        <v>37413</v>
      </c>
      <c r="Q49" s="7">
        <v>37666</v>
      </c>
      <c r="R49" s="7">
        <v>38126</v>
      </c>
      <c r="S49" s="7">
        <v>38448</v>
      </c>
      <c r="T49" s="7">
        <v>39196</v>
      </c>
      <c r="U49" s="1">
        <v>41688</v>
      </c>
      <c r="V49" s="1">
        <v>44626</v>
      </c>
      <c r="W49" s="1">
        <v>44222</v>
      </c>
      <c r="Y49" s="1">
        <v>47294</v>
      </c>
      <c r="Z49" s="7">
        <v>47601</v>
      </c>
      <c r="AA49" s="7">
        <v>49326</v>
      </c>
    </row>
    <row r="50" spans="1:27">
      <c r="A50" s="54" t="s">
        <v>196</v>
      </c>
      <c r="B50" s="7">
        <v>2955</v>
      </c>
      <c r="C50" s="7">
        <v>2859</v>
      </c>
      <c r="D50" s="7">
        <v>3193</v>
      </c>
      <c r="E50" s="7">
        <v>3384</v>
      </c>
      <c r="F50" s="7">
        <v>3331</v>
      </c>
      <c r="G50" s="7">
        <v>3474</v>
      </c>
      <c r="H50" s="7">
        <v>3585</v>
      </c>
      <c r="I50" s="7">
        <v>3489</v>
      </c>
      <c r="J50" s="7">
        <v>3458</v>
      </c>
      <c r="K50" s="7">
        <v>3347</v>
      </c>
      <c r="L50" s="7">
        <v>3478</v>
      </c>
      <c r="M50" s="7">
        <v>3089</v>
      </c>
      <c r="N50" s="7">
        <v>3349</v>
      </c>
      <c r="O50" s="7">
        <v>3265</v>
      </c>
      <c r="P50" s="7">
        <v>3340</v>
      </c>
      <c r="Q50" s="7">
        <v>3520</v>
      </c>
      <c r="R50" s="7">
        <v>3636</v>
      </c>
      <c r="S50" s="7">
        <v>3704</v>
      </c>
      <c r="T50" s="7">
        <v>3690</v>
      </c>
      <c r="U50" s="1">
        <v>3855</v>
      </c>
      <c r="V50" s="1">
        <v>4040</v>
      </c>
      <c r="W50" s="1">
        <v>4313</v>
      </c>
      <c r="Y50" s="1">
        <v>4424</v>
      </c>
      <c r="Z50" s="7">
        <v>4750</v>
      </c>
      <c r="AA50" s="7">
        <v>4659</v>
      </c>
    </row>
    <row r="51" spans="1:27">
      <c r="A51" s="58" t="s">
        <v>199</v>
      </c>
      <c r="B51" s="7">
        <v>19790</v>
      </c>
      <c r="C51" s="7">
        <v>19674</v>
      </c>
      <c r="D51" s="7">
        <v>20583</v>
      </c>
      <c r="E51" s="7">
        <v>20634</v>
      </c>
      <c r="F51" s="7">
        <v>20572</v>
      </c>
      <c r="G51" s="7">
        <v>19868</v>
      </c>
      <c r="H51" s="7">
        <v>19713</v>
      </c>
      <c r="I51" s="7">
        <v>19626</v>
      </c>
      <c r="J51" s="7">
        <v>19634</v>
      </c>
      <c r="K51" s="7">
        <v>19740</v>
      </c>
      <c r="L51" s="7">
        <v>20001</v>
      </c>
      <c r="M51" s="7">
        <v>21426</v>
      </c>
      <c r="N51" s="7">
        <v>23401</v>
      </c>
      <c r="O51" s="7">
        <v>22742</v>
      </c>
      <c r="P51" s="7">
        <v>22718</v>
      </c>
      <c r="Q51" s="7">
        <v>23564</v>
      </c>
      <c r="R51" s="7">
        <v>24035</v>
      </c>
      <c r="S51" s="7">
        <v>24515</v>
      </c>
      <c r="T51" s="7">
        <v>24766</v>
      </c>
      <c r="U51" s="1">
        <v>25400</v>
      </c>
      <c r="V51" s="1">
        <v>26178</v>
      </c>
      <c r="W51" s="1">
        <v>26939</v>
      </c>
      <c r="Y51" s="1">
        <v>27427</v>
      </c>
      <c r="Z51" s="7">
        <v>27489</v>
      </c>
      <c r="AA51" s="7">
        <v>27458</v>
      </c>
    </row>
    <row r="52" spans="1:27">
      <c r="A52" s="54" t="s">
        <v>247</v>
      </c>
      <c r="B52" s="55">
        <f t="shared" ref="B52:S52" si="28">SUM(B54:B62)</f>
        <v>111096</v>
      </c>
      <c r="C52" s="55">
        <f t="shared" si="28"/>
        <v>110309</v>
      </c>
      <c r="D52" s="55">
        <f t="shared" si="28"/>
        <v>125593</v>
      </c>
      <c r="E52" s="55">
        <f t="shared" si="28"/>
        <v>128484</v>
      </c>
      <c r="F52" s="55">
        <f t="shared" si="28"/>
        <v>126866</v>
      </c>
      <c r="G52" s="55">
        <f t="shared" si="28"/>
        <v>124322</v>
      </c>
      <c r="H52" s="55">
        <f t="shared" si="28"/>
        <v>122222</v>
      </c>
      <c r="I52" s="55">
        <f t="shared" si="28"/>
        <v>122733</v>
      </c>
      <c r="J52" s="55">
        <f t="shared" si="28"/>
        <v>122482</v>
      </c>
      <c r="K52" s="55">
        <f t="shared" si="28"/>
        <v>122228</v>
      </c>
      <c r="L52" s="55">
        <f t="shared" si="28"/>
        <v>127094</v>
      </c>
      <c r="M52" s="55">
        <f t="shared" si="28"/>
        <v>135131</v>
      </c>
      <c r="N52" s="55">
        <f t="shared" si="28"/>
        <v>138274</v>
      </c>
      <c r="O52" s="55">
        <f t="shared" si="28"/>
        <v>144714</v>
      </c>
      <c r="P52" s="55">
        <f t="shared" si="28"/>
        <v>147777</v>
      </c>
      <c r="Q52" s="55">
        <f t="shared" si="28"/>
        <v>151493</v>
      </c>
      <c r="R52" s="55">
        <f t="shared" si="28"/>
        <v>154396</v>
      </c>
      <c r="S52" s="55">
        <f t="shared" si="28"/>
        <v>159153</v>
      </c>
      <c r="T52" s="55">
        <f t="shared" ref="T52:U52" si="29">SUM(T54:T62)</f>
        <v>166279</v>
      </c>
      <c r="U52" s="55">
        <f t="shared" si="29"/>
        <v>172812</v>
      </c>
      <c r="V52" s="55">
        <f t="shared" ref="V52:W52" si="30">SUM(V54:V62)</f>
        <v>179871</v>
      </c>
      <c r="W52" s="55">
        <f t="shared" si="30"/>
        <v>182775</v>
      </c>
      <c r="X52" s="55">
        <f t="shared" ref="X52:AA52" si="31">SUM(X54:X62)</f>
        <v>0</v>
      </c>
      <c r="Y52" s="55">
        <f t="shared" si="31"/>
        <v>189128</v>
      </c>
      <c r="Z52" s="55">
        <f t="shared" si="31"/>
        <v>192248</v>
      </c>
      <c r="AA52" s="55">
        <f t="shared" si="31"/>
        <v>195971</v>
      </c>
    </row>
    <row r="53" spans="1:27">
      <c r="A53" s="56" t="s">
        <v>244</v>
      </c>
      <c r="B53" s="57">
        <f t="shared" ref="B53:S53" si="32">(B52/B4)*100</f>
        <v>16.938670960187356</v>
      </c>
      <c r="C53" s="57">
        <f t="shared" si="32"/>
        <v>16.875463731422059</v>
      </c>
      <c r="D53" s="57">
        <f t="shared" si="32"/>
        <v>16.611094872361221</v>
      </c>
      <c r="E53" s="57">
        <f t="shared" si="32"/>
        <v>16.437178491608321</v>
      </c>
      <c r="F53" s="57">
        <f t="shared" si="32"/>
        <v>16.146587689668252</v>
      </c>
      <c r="G53" s="57">
        <f t="shared" si="32"/>
        <v>16.07502592495856</v>
      </c>
      <c r="H53" s="57">
        <f t="shared" si="32"/>
        <v>15.855072839778433</v>
      </c>
      <c r="I53" s="57">
        <f t="shared" si="32"/>
        <v>15.864991229419513</v>
      </c>
      <c r="J53" s="57">
        <f t="shared" si="32"/>
        <v>15.679000492841006</v>
      </c>
      <c r="K53" s="57">
        <f t="shared" si="32"/>
        <v>15.524702373770024</v>
      </c>
      <c r="L53" s="57">
        <f t="shared" si="32"/>
        <v>15.732999264685857</v>
      </c>
      <c r="M53" s="57">
        <f t="shared" si="32"/>
        <v>15.503857291681008</v>
      </c>
      <c r="N53" s="57">
        <f t="shared" si="32"/>
        <v>15.325854801507823</v>
      </c>
      <c r="O53" s="57">
        <f t="shared" si="32"/>
        <v>15.577495656591969</v>
      </c>
      <c r="P53" s="57">
        <f t="shared" si="32"/>
        <v>15.534053042646455</v>
      </c>
      <c r="Q53" s="57">
        <f t="shared" si="32"/>
        <v>15.584577242379662</v>
      </c>
      <c r="R53" s="57">
        <f t="shared" si="32"/>
        <v>15.55553540537627</v>
      </c>
      <c r="S53" s="57">
        <f t="shared" si="32"/>
        <v>15.650509037592963</v>
      </c>
      <c r="T53" s="57">
        <f t="shared" ref="T53:U53" si="33">(T52/T4)*100</f>
        <v>15.903100300695503</v>
      </c>
      <c r="U53" s="57">
        <f t="shared" si="33"/>
        <v>15.938008403764355</v>
      </c>
      <c r="V53" s="57">
        <f t="shared" ref="V53:W53" si="34">(V52/V4)*100</f>
        <v>15.954525376131587</v>
      </c>
      <c r="W53" s="57">
        <f t="shared" si="34"/>
        <v>15.813434779260801</v>
      </c>
      <c r="X53" s="57" t="e">
        <f t="shared" ref="X53:AA53" si="35">(X52/X4)*100</f>
        <v>#DIV/0!</v>
      </c>
      <c r="Y53" s="57">
        <f t="shared" si="35"/>
        <v>15.750100973929989</v>
      </c>
      <c r="Z53" s="57">
        <f t="shared" si="35"/>
        <v>15.583674461962469</v>
      </c>
      <c r="AA53" s="57">
        <f t="shared" si="35"/>
        <v>15.447219837795956</v>
      </c>
    </row>
    <row r="54" spans="1:27">
      <c r="A54" s="54" t="s">
        <v>171</v>
      </c>
      <c r="B54" s="7">
        <v>6615</v>
      </c>
      <c r="C54" s="7">
        <v>6678</v>
      </c>
      <c r="D54" s="7">
        <v>7925</v>
      </c>
      <c r="E54" s="7">
        <v>8044</v>
      </c>
      <c r="F54" s="7">
        <v>7279</v>
      </c>
      <c r="G54" s="7">
        <v>7368</v>
      </c>
      <c r="H54" s="7">
        <v>6788</v>
      </c>
      <c r="I54" s="7">
        <v>6598</v>
      </c>
      <c r="J54" s="7">
        <v>6419</v>
      </c>
      <c r="K54" s="7">
        <v>6445</v>
      </c>
      <c r="L54" s="7">
        <v>7503</v>
      </c>
      <c r="M54" s="7">
        <v>7750</v>
      </c>
      <c r="N54" s="7">
        <v>8149</v>
      </c>
      <c r="O54" s="7">
        <v>8506</v>
      </c>
      <c r="P54" s="7">
        <v>8702</v>
      </c>
      <c r="Q54" s="7">
        <v>9370</v>
      </c>
      <c r="R54" s="7">
        <v>9850</v>
      </c>
      <c r="S54" s="7">
        <v>9849</v>
      </c>
      <c r="T54" s="7">
        <v>10135</v>
      </c>
      <c r="U54" s="1">
        <v>10055</v>
      </c>
      <c r="V54" s="1">
        <v>11145</v>
      </c>
      <c r="W54" s="1">
        <v>10810</v>
      </c>
      <c r="Y54" s="1">
        <v>10908</v>
      </c>
      <c r="Z54" s="7">
        <v>10873</v>
      </c>
      <c r="AA54" s="7">
        <v>11417</v>
      </c>
    </row>
    <row r="55" spans="1:27">
      <c r="A55" s="54" t="s">
        <v>180</v>
      </c>
      <c r="B55" s="7">
        <v>2860</v>
      </c>
      <c r="C55" s="7">
        <v>2757</v>
      </c>
      <c r="D55" s="7">
        <v>3475</v>
      </c>
      <c r="E55" s="7">
        <v>3703</v>
      </c>
      <c r="F55" s="7">
        <v>3539</v>
      </c>
      <c r="G55" s="7">
        <v>3491</v>
      </c>
      <c r="H55" s="7">
        <v>3245</v>
      </c>
      <c r="I55" s="7">
        <v>3205</v>
      </c>
      <c r="J55" s="7">
        <v>3213</v>
      </c>
      <c r="K55" s="7">
        <v>3139</v>
      </c>
      <c r="L55" s="7">
        <v>3216</v>
      </c>
      <c r="M55" s="7">
        <v>3646</v>
      </c>
      <c r="N55" s="7">
        <v>3600</v>
      </c>
      <c r="O55" s="7">
        <v>3908</v>
      </c>
      <c r="P55" s="7">
        <v>4193</v>
      </c>
      <c r="Q55" s="7">
        <v>4334</v>
      </c>
      <c r="R55" s="7">
        <v>4338</v>
      </c>
      <c r="S55" s="7">
        <v>4131</v>
      </c>
      <c r="T55" s="7">
        <v>4280</v>
      </c>
      <c r="U55" s="1">
        <v>4488</v>
      </c>
      <c r="V55" s="1">
        <v>4581</v>
      </c>
      <c r="W55" s="1">
        <v>4251</v>
      </c>
      <c r="Y55" s="1">
        <v>4158</v>
      </c>
      <c r="Z55" s="7">
        <v>4275</v>
      </c>
      <c r="AA55" s="7">
        <v>4156</v>
      </c>
    </row>
    <row r="56" spans="1:27">
      <c r="A56" s="54" t="s">
        <v>179</v>
      </c>
      <c r="B56" s="7">
        <v>13599</v>
      </c>
      <c r="C56" s="7">
        <v>13250</v>
      </c>
      <c r="D56" s="7">
        <v>14591</v>
      </c>
      <c r="E56" s="7">
        <v>13459</v>
      </c>
      <c r="F56" s="7">
        <v>13891</v>
      </c>
      <c r="G56" s="7">
        <v>12510</v>
      </c>
      <c r="H56" s="7">
        <v>12312</v>
      </c>
      <c r="I56" s="7">
        <v>12398</v>
      </c>
      <c r="J56" s="7">
        <v>12652</v>
      </c>
      <c r="K56" s="7">
        <v>12140</v>
      </c>
      <c r="L56" s="7">
        <v>12718</v>
      </c>
      <c r="M56" s="7">
        <v>13205</v>
      </c>
      <c r="N56" s="7">
        <v>13299</v>
      </c>
      <c r="O56" s="7">
        <v>13754</v>
      </c>
      <c r="P56" s="7">
        <v>13948</v>
      </c>
      <c r="Q56" s="7">
        <v>14401</v>
      </c>
      <c r="R56" s="7">
        <v>14763</v>
      </c>
      <c r="S56" s="7">
        <v>15385</v>
      </c>
      <c r="T56" s="7">
        <v>16251</v>
      </c>
      <c r="U56" s="1">
        <v>17149</v>
      </c>
      <c r="V56" s="1">
        <v>18121</v>
      </c>
      <c r="W56" s="1">
        <v>18935</v>
      </c>
      <c r="Y56" s="1">
        <v>20382</v>
      </c>
      <c r="Z56" s="7">
        <v>20917</v>
      </c>
      <c r="AA56" s="7">
        <v>21577</v>
      </c>
    </row>
    <row r="57" spans="1:27">
      <c r="A57" s="54" t="s">
        <v>187</v>
      </c>
      <c r="B57" s="9">
        <v>2955</v>
      </c>
      <c r="C57" s="7">
        <v>3045</v>
      </c>
      <c r="D57" s="7">
        <v>3677</v>
      </c>
      <c r="E57" s="7">
        <v>3925</v>
      </c>
      <c r="F57" s="7">
        <v>3902</v>
      </c>
      <c r="G57" s="7">
        <v>3839</v>
      </c>
      <c r="H57" s="7">
        <v>3862</v>
      </c>
      <c r="I57" s="7">
        <v>3832</v>
      </c>
      <c r="J57" s="7">
        <v>3874</v>
      </c>
      <c r="K57" s="7">
        <v>3920</v>
      </c>
      <c r="L57" s="7">
        <v>4127</v>
      </c>
      <c r="M57" s="7">
        <v>4006</v>
      </c>
      <c r="N57" s="7">
        <v>4125</v>
      </c>
      <c r="O57" s="7">
        <v>4263</v>
      </c>
      <c r="P57" s="7">
        <v>4177</v>
      </c>
      <c r="Q57" s="7">
        <v>4379</v>
      </c>
      <c r="R57" s="7">
        <v>4555</v>
      </c>
      <c r="S57" s="7">
        <v>4809</v>
      </c>
      <c r="T57" s="7">
        <v>5116</v>
      </c>
      <c r="U57" s="1">
        <v>5130</v>
      </c>
      <c r="V57" s="1">
        <v>5244</v>
      </c>
      <c r="W57" s="1">
        <v>5366</v>
      </c>
      <c r="Y57" s="1">
        <v>5279</v>
      </c>
      <c r="Z57" s="7">
        <v>5129</v>
      </c>
      <c r="AA57" s="7">
        <v>5090</v>
      </c>
    </row>
    <row r="58" spans="1:27">
      <c r="A58" s="54" t="s">
        <v>188</v>
      </c>
      <c r="B58" s="9">
        <v>16179</v>
      </c>
      <c r="C58" s="7">
        <v>15468</v>
      </c>
      <c r="D58" s="7">
        <v>17483</v>
      </c>
      <c r="E58" s="7">
        <v>18175</v>
      </c>
      <c r="F58" s="7">
        <v>18384</v>
      </c>
      <c r="G58" s="7">
        <v>18138</v>
      </c>
      <c r="H58" s="7">
        <v>18035</v>
      </c>
      <c r="I58" s="7">
        <v>18163</v>
      </c>
      <c r="J58" s="7">
        <v>18531</v>
      </c>
      <c r="K58" s="7">
        <v>18735</v>
      </c>
      <c r="L58" s="7">
        <v>19764</v>
      </c>
      <c r="M58" s="7">
        <v>21619</v>
      </c>
      <c r="N58" s="7">
        <v>22185</v>
      </c>
      <c r="O58" s="7">
        <v>23110</v>
      </c>
      <c r="P58" s="7">
        <v>23606</v>
      </c>
      <c r="Q58" s="7">
        <v>23830</v>
      </c>
      <c r="R58" s="7">
        <v>24267</v>
      </c>
      <c r="S58" s="7">
        <v>24843</v>
      </c>
      <c r="T58" s="7">
        <v>25869</v>
      </c>
      <c r="U58" s="1">
        <v>27034</v>
      </c>
      <c r="V58" s="1">
        <v>29144</v>
      </c>
      <c r="W58" s="1">
        <v>29658</v>
      </c>
      <c r="Y58" s="1">
        <v>31446</v>
      </c>
      <c r="Z58" s="7">
        <v>31807</v>
      </c>
      <c r="AA58" s="7">
        <v>32643</v>
      </c>
    </row>
    <row r="59" spans="1:27">
      <c r="A59" s="54" t="s">
        <v>191</v>
      </c>
      <c r="B59" s="9">
        <v>36237</v>
      </c>
      <c r="C59" s="7">
        <v>36243</v>
      </c>
      <c r="D59" s="7">
        <v>40208</v>
      </c>
      <c r="E59" s="7">
        <v>42147</v>
      </c>
      <c r="F59" s="7">
        <v>40638</v>
      </c>
      <c r="G59" s="7">
        <v>41447</v>
      </c>
      <c r="H59" s="7">
        <v>41950</v>
      </c>
      <c r="I59" s="7">
        <v>42620</v>
      </c>
      <c r="J59" s="7">
        <v>41557</v>
      </c>
      <c r="K59" s="7">
        <v>41119</v>
      </c>
      <c r="L59" s="7">
        <v>41761</v>
      </c>
      <c r="M59" s="7">
        <v>43946</v>
      </c>
      <c r="N59" s="7">
        <v>43882</v>
      </c>
      <c r="O59" s="7">
        <v>46363</v>
      </c>
      <c r="P59" s="7">
        <v>47263</v>
      </c>
      <c r="Q59" s="7">
        <v>48819</v>
      </c>
      <c r="R59" s="7">
        <v>49875</v>
      </c>
      <c r="S59" s="7">
        <v>51677</v>
      </c>
      <c r="T59" s="7">
        <v>53684</v>
      </c>
      <c r="U59" s="1">
        <v>56767</v>
      </c>
      <c r="V59" s="1">
        <v>58090</v>
      </c>
      <c r="W59" s="1">
        <v>59991</v>
      </c>
      <c r="Y59" s="1">
        <v>61957</v>
      </c>
      <c r="Z59" s="7">
        <v>64545</v>
      </c>
      <c r="AA59" s="7">
        <v>65438</v>
      </c>
    </row>
    <row r="60" spans="1:27">
      <c r="A60" s="54" t="s">
        <v>194</v>
      </c>
      <c r="B60" s="9">
        <v>27814</v>
      </c>
      <c r="C60" s="7">
        <v>27746</v>
      </c>
      <c r="D60" s="7">
        <v>32363</v>
      </c>
      <c r="E60" s="7">
        <v>33081</v>
      </c>
      <c r="F60" s="7">
        <v>33312</v>
      </c>
      <c r="G60" s="7">
        <v>31872</v>
      </c>
      <c r="H60" s="7">
        <v>30426</v>
      </c>
      <c r="I60" s="7">
        <v>30637</v>
      </c>
      <c r="J60" s="7">
        <v>30874</v>
      </c>
      <c r="K60" s="7">
        <v>31314</v>
      </c>
      <c r="L60" s="7">
        <v>32600</v>
      </c>
      <c r="M60" s="7">
        <v>35647</v>
      </c>
      <c r="N60" s="7">
        <v>37569</v>
      </c>
      <c r="O60" s="7">
        <v>39219</v>
      </c>
      <c r="P60" s="7">
        <v>40052</v>
      </c>
      <c r="Q60" s="7">
        <v>40467</v>
      </c>
      <c r="R60" s="7">
        <v>40505</v>
      </c>
      <c r="S60" s="7">
        <v>41846</v>
      </c>
      <c r="T60" s="7">
        <v>43911</v>
      </c>
      <c r="U60" s="1">
        <v>44889</v>
      </c>
      <c r="V60" s="1">
        <v>46108</v>
      </c>
      <c r="W60" s="1">
        <v>46130</v>
      </c>
      <c r="Y60" s="1">
        <v>47313</v>
      </c>
      <c r="Z60" s="7">
        <v>46841</v>
      </c>
      <c r="AA60" s="7">
        <v>47472</v>
      </c>
    </row>
    <row r="61" spans="1:27">
      <c r="A61" s="54" t="s">
        <v>195</v>
      </c>
      <c r="B61" s="9">
        <v>2653</v>
      </c>
      <c r="C61" s="7">
        <v>2744</v>
      </c>
      <c r="D61" s="7">
        <v>3434</v>
      </c>
      <c r="E61" s="7">
        <v>3378</v>
      </c>
      <c r="F61" s="7">
        <v>3386</v>
      </c>
      <c r="G61" s="7">
        <v>3334</v>
      </c>
      <c r="H61" s="7">
        <v>3208</v>
      </c>
      <c r="I61" s="7">
        <v>3041</v>
      </c>
      <c r="J61" s="7">
        <v>3038</v>
      </c>
      <c r="K61" s="7">
        <v>2958</v>
      </c>
      <c r="L61" s="7">
        <v>2857</v>
      </c>
      <c r="M61" s="7">
        <v>3016</v>
      </c>
      <c r="N61" s="7">
        <v>3137</v>
      </c>
      <c r="O61" s="7">
        <v>3031</v>
      </c>
      <c r="P61" s="7">
        <v>3249</v>
      </c>
      <c r="Q61" s="7">
        <v>3191</v>
      </c>
      <c r="R61" s="7">
        <v>3447</v>
      </c>
      <c r="S61" s="7">
        <v>3504</v>
      </c>
      <c r="T61" s="7">
        <v>3782</v>
      </c>
      <c r="U61" s="1">
        <v>3882</v>
      </c>
      <c r="V61" s="1">
        <v>3921</v>
      </c>
      <c r="W61" s="1">
        <v>4062</v>
      </c>
      <c r="Y61" s="1">
        <v>4317</v>
      </c>
      <c r="Z61" s="7">
        <v>4563</v>
      </c>
      <c r="AA61" s="7">
        <v>4778</v>
      </c>
    </row>
    <row r="62" spans="1:27">
      <c r="A62" s="58" t="s">
        <v>198</v>
      </c>
      <c r="B62" s="9">
        <v>2184</v>
      </c>
      <c r="C62" s="7">
        <v>2378</v>
      </c>
      <c r="D62" s="7">
        <v>2437</v>
      </c>
      <c r="E62" s="7">
        <v>2572</v>
      </c>
      <c r="F62" s="7">
        <v>2535</v>
      </c>
      <c r="G62" s="7">
        <v>2323</v>
      </c>
      <c r="H62" s="7">
        <v>2396</v>
      </c>
      <c r="I62" s="7">
        <v>2239</v>
      </c>
      <c r="J62" s="7">
        <v>2324</v>
      </c>
      <c r="K62" s="7">
        <v>2458</v>
      </c>
      <c r="L62" s="7">
        <v>2548</v>
      </c>
      <c r="M62" s="7">
        <v>2296</v>
      </c>
      <c r="N62" s="7">
        <v>2328</v>
      </c>
      <c r="O62" s="7">
        <v>2560</v>
      </c>
      <c r="P62" s="7">
        <v>2587</v>
      </c>
      <c r="Q62" s="7">
        <v>2702</v>
      </c>
      <c r="R62" s="7">
        <v>2796</v>
      </c>
      <c r="S62" s="7">
        <v>3109</v>
      </c>
      <c r="T62" s="7">
        <v>3251</v>
      </c>
      <c r="U62" s="1">
        <v>3418</v>
      </c>
      <c r="V62" s="5">
        <v>3517</v>
      </c>
      <c r="W62" s="5">
        <v>3572</v>
      </c>
      <c r="X62" s="5"/>
      <c r="Y62" s="5">
        <v>3368</v>
      </c>
      <c r="Z62" s="7">
        <v>3298</v>
      </c>
      <c r="AA62" s="7">
        <v>3400</v>
      </c>
    </row>
    <row r="63" spans="1:27">
      <c r="A63" s="59" t="s">
        <v>172</v>
      </c>
      <c r="B63" s="60">
        <v>537</v>
      </c>
      <c r="C63" s="60">
        <v>583</v>
      </c>
      <c r="D63" s="60">
        <v>500</v>
      </c>
      <c r="E63" s="60">
        <v>522</v>
      </c>
      <c r="F63" s="60">
        <v>555</v>
      </c>
      <c r="G63" s="60">
        <v>542</v>
      </c>
      <c r="H63" s="60">
        <v>586</v>
      </c>
      <c r="I63" s="60">
        <v>583</v>
      </c>
      <c r="J63" s="60">
        <v>450</v>
      </c>
      <c r="K63" s="60">
        <v>397</v>
      </c>
      <c r="L63" s="60">
        <v>354</v>
      </c>
      <c r="M63" s="60">
        <v>252</v>
      </c>
      <c r="N63" s="60">
        <v>302</v>
      </c>
      <c r="O63" s="60">
        <v>281</v>
      </c>
      <c r="P63" s="60">
        <v>364</v>
      </c>
      <c r="Q63" s="60">
        <v>306</v>
      </c>
      <c r="R63" s="60">
        <v>318</v>
      </c>
      <c r="S63" s="60">
        <v>384</v>
      </c>
      <c r="T63" s="60">
        <v>431</v>
      </c>
      <c r="U63" s="60">
        <v>366</v>
      </c>
      <c r="V63" s="5">
        <v>398</v>
      </c>
      <c r="W63" s="5">
        <v>372</v>
      </c>
      <c r="X63" s="5"/>
      <c r="Y63" s="5">
        <v>335</v>
      </c>
      <c r="Z63" s="91">
        <v>387</v>
      </c>
      <c r="AA63" s="91">
        <v>387</v>
      </c>
    </row>
    <row r="64" spans="1:27">
      <c r="B64" s="10"/>
      <c r="Z64" s="7"/>
      <c r="AA64" s="7"/>
    </row>
    <row r="65" spans="2:20">
      <c r="B65" s="10"/>
    </row>
    <row r="66" spans="2:20">
      <c r="B66" s="10"/>
    </row>
    <row r="67" spans="2:20">
      <c r="B67" s="10" t="s">
        <v>108</v>
      </c>
      <c r="C67" s="1" t="s">
        <v>108</v>
      </c>
      <c r="D67" s="1" t="s">
        <v>108</v>
      </c>
      <c r="E67" s="1" t="s">
        <v>108</v>
      </c>
      <c r="F67" s="1" t="s">
        <v>108</v>
      </c>
      <c r="G67" s="3" t="s">
        <v>81</v>
      </c>
      <c r="H67" s="3" t="s">
        <v>81</v>
      </c>
      <c r="I67" s="3" t="s">
        <v>81</v>
      </c>
      <c r="J67" s="3" t="s">
        <v>81</v>
      </c>
      <c r="K67" s="3" t="s">
        <v>81</v>
      </c>
      <c r="L67" s="3" t="s">
        <v>81</v>
      </c>
      <c r="M67" s="3" t="s">
        <v>81</v>
      </c>
      <c r="N67" s="3"/>
      <c r="O67" s="3"/>
      <c r="P67" s="3"/>
      <c r="Q67" s="3"/>
      <c r="S67" s="3"/>
      <c r="T67" s="3"/>
    </row>
    <row r="68" spans="2:20">
      <c r="B68" s="10" t="s">
        <v>29</v>
      </c>
      <c r="C68" s="1" t="s">
        <v>29</v>
      </c>
      <c r="D68" s="1" t="s">
        <v>29</v>
      </c>
      <c r="E68" s="1" t="s">
        <v>29</v>
      </c>
      <c r="F68" s="1" t="s">
        <v>29</v>
      </c>
      <c r="G68" s="3" t="s">
        <v>85</v>
      </c>
      <c r="H68" s="3" t="s">
        <v>85</v>
      </c>
      <c r="I68" s="3" t="s">
        <v>85</v>
      </c>
      <c r="J68" s="3" t="s">
        <v>85</v>
      </c>
      <c r="K68" s="3" t="s">
        <v>85</v>
      </c>
      <c r="L68" s="3" t="s">
        <v>85</v>
      </c>
      <c r="M68" s="1" t="s">
        <v>211</v>
      </c>
    </row>
    <row r="69" spans="2:20">
      <c r="B69" s="10" t="s">
        <v>32</v>
      </c>
      <c r="C69" s="1" t="s">
        <v>32</v>
      </c>
      <c r="D69" s="1" t="s">
        <v>32</v>
      </c>
      <c r="E69" s="1" t="s">
        <v>32</v>
      </c>
      <c r="F69" s="1" t="s">
        <v>32</v>
      </c>
      <c r="G69" s="3" t="s">
        <v>86</v>
      </c>
      <c r="H69" s="3" t="s">
        <v>86</v>
      </c>
      <c r="I69" s="3" t="s">
        <v>86</v>
      </c>
      <c r="J69" s="3" t="s">
        <v>86</v>
      </c>
      <c r="K69" s="3" t="s">
        <v>86</v>
      </c>
      <c r="L69" s="3" t="s">
        <v>86</v>
      </c>
      <c r="M69" s="1" t="s">
        <v>212</v>
      </c>
    </row>
    <row r="70" spans="2:20">
      <c r="B70" s="10" t="s">
        <v>109</v>
      </c>
      <c r="C70" s="1" t="s">
        <v>109</v>
      </c>
      <c r="D70" s="1" t="s">
        <v>109</v>
      </c>
      <c r="E70" s="1" t="s">
        <v>109</v>
      </c>
      <c r="F70" s="1" t="s">
        <v>109</v>
      </c>
      <c r="G70" s="3" t="s">
        <v>35</v>
      </c>
      <c r="H70" s="3" t="s">
        <v>35</v>
      </c>
      <c r="I70" s="3" t="s">
        <v>35</v>
      </c>
      <c r="J70" s="3" t="s">
        <v>35</v>
      </c>
      <c r="K70" s="3" t="s">
        <v>35</v>
      </c>
      <c r="L70" s="3" t="s">
        <v>35</v>
      </c>
      <c r="M70" s="1" t="s">
        <v>213</v>
      </c>
    </row>
    <row r="71" spans="2:20">
      <c r="B71" s="10" t="s">
        <v>110</v>
      </c>
      <c r="C71" s="1" t="s">
        <v>110</v>
      </c>
      <c r="D71" s="1" t="s">
        <v>110</v>
      </c>
      <c r="E71" s="1" t="s">
        <v>110</v>
      </c>
      <c r="F71" s="1" t="s">
        <v>110</v>
      </c>
      <c r="G71" s="3" t="s">
        <v>38</v>
      </c>
      <c r="H71" s="3" t="s">
        <v>38</v>
      </c>
      <c r="I71" s="3" t="s">
        <v>38</v>
      </c>
      <c r="J71" s="3" t="s">
        <v>38</v>
      </c>
      <c r="K71" s="3" t="s">
        <v>38</v>
      </c>
      <c r="L71" s="3" t="s">
        <v>38</v>
      </c>
      <c r="M71" s="1" t="s">
        <v>41</v>
      </c>
    </row>
    <row r="72" spans="2:20">
      <c r="B72" s="10" t="s">
        <v>111</v>
      </c>
      <c r="C72" s="1" t="s">
        <v>111</v>
      </c>
      <c r="D72" s="1" t="s">
        <v>111</v>
      </c>
      <c r="E72" s="1" t="s">
        <v>111</v>
      </c>
      <c r="F72" s="1" t="s">
        <v>111</v>
      </c>
      <c r="G72" s="3" t="s">
        <v>41</v>
      </c>
      <c r="H72" s="3" t="s">
        <v>41</v>
      </c>
      <c r="I72" s="3" t="s">
        <v>41</v>
      </c>
      <c r="J72" s="3" t="s">
        <v>41</v>
      </c>
      <c r="K72" s="3" t="s">
        <v>41</v>
      </c>
      <c r="L72" s="3" t="s">
        <v>41</v>
      </c>
      <c r="M72" s="1" t="s">
        <v>214</v>
      </c>
    </row>
    <row r="73" spans="2:20">
      <c r="B73" s="10" t="s">
        <v>112</v>
      </c>
      <c r="C73" s="1" t="s">
        <v>112</v>
      </c>
      <c r="D73" s="1" t="s">
        <v>112</v>
      </c>
      <c r="E73" s="1" t="s">
        <v>112</v>
      </c>
      <c r="F73" s="1" t="s">
        <v>112</v>
      </c>
      <c r="G73" s="3" t="s">
        <v>87</v>
      </c>
      <c r="H73" s="3" t="s">
        <v>87</v>
      </c>
      <c r="I73" s="3" t="s">
        <v>87</v>
      </c>
      <c r="J73" s="3" t="s">
        <v>87</v>
      </c>
      <c r="K73" s="3" t="s">
        <v>87</v>
      </c>
      <c r="L73" s="3" t="s">
        <v>87</v>
      </c>
      <c r="M73" s="1" t="s">
        <v>215</v>
      </c>
    </row>
    <row r="74" spans="2:20">
      <c r="B74" s="10" t="s">
        <v>69</v>
      </c>
      <c r="C74" s="1" t="s">
        <v>70</v>
      </c>
      <c r="D74" s="1" t="s">
        <v>9</v>
      </c>
      <c r="E74" s="1" t="s">
        <v>74</v>
      </c>
      <c r="F74" s="1" t="s">
        <v>10</v>
      </c>
      <c r="G74" s="16" t="s">
        <v>93</v>
      </c>
      <c r="H74" s="16" t="s">
        <v>88</v>
      </c>
      <c r="I74" s="16" t="s">
        <v>88</v>
      </c>
      <c r="J74" s="16" t="s">
        <v>88</v>
      </c>
      <c r="K74" s="16" t="s">
        <v>88</v>
      </c>
      <c r="L74" s="16" t="s">
        <v>88</v>
      </c>
      <c r="M74" s="1" t="s">
        <v>46</v>
      </c>
    </row>
    <row r="75" spans="2:20">
      <c r="G75" s="16" t="s">
        <v>94</v>
      </c>
      <c r="H75" s="16" t="s">
        <v>41</v>
      </c>
      <c r="I75" s="16" t="s">
        <v>41</v>
      </c>
      <c r="J75" s="16" t="s">
        <v>41</v>
      </c>
      <c r="K75" s="16" t="s">
        <v>41</v>
      </c>
      <c r="L75" s="16" t="s">
        <v>41</v>
      </c>
      <c r="M75" s="1" t="s">
        <v>216</v>
      </c>
    </row>
    <row r="76" spans="2:20">
      <c r="G76" s="16" t="s">
        <v>86</v>
      </c>
      <c r="H76" s="16" t="s">
        <v>43</v>
      </c>
      <c r="I76" s="16" t="s">
        <v>43</v>
      </c>
      <c r="J76" s="16" t="s">
        <v>43</v>
      </c>
      <c r="K76" s="16" t="s">
        <v>43</v>
      </c>
      <c r="L76" s="16" t="s">
        <v>43</v>
      </c>
      <c r="M76" s="1" t="s">
        <v>217</v>
      </c>
    </row>
    <row r="77" spans="2:20">
      <c r="G77" s="16" t="s">
        <v>95</v>
      </c>
      <c r="H77" s="16" t="s">
        <v>104</v>
      </c>
      <c r="I77" s="16" t="s">
        <v>89</v>
      </c>
      <c r="J77" s="16" t="s">
        <v>207</v>
      </c>
      <c r="K77" s="16" t="s">
        <v>209</v>
      </c>
      <c r="L77" s="16" t="s">
        <v>209</v>
      </c>
      <c r="M77" s="1" t="s">
        <v>218</v>
      </c>
    </row>
    <row r="78" spans="2:20">
      <c r="G78" s="16" t="s">
        <v>96</v>
      </c>
      <c r="H78" s="1" t="s">
        <v>105</v>
      </c>
      <c r="I78" s="1" t="s">
        <v>97</v>
      </c>
      <c r="J78" s="1" t="s">
        <v>208</v>
      </c>
      <c r="K78" s="1" t="s">
        <v>208</v>
      </c>
      <c r="L78" s="1" t="s">
        <v>208</v>
      </c>
    </row>
    <row r="79" spans="2:20">
      <c r="G79" s="16" t="s">
        <v>98</v>
      </c>
      <c r="H79" s="1" t="s">
        <v>106</v>
      </c>
      <c r="I79" s="1" t="s">
        <v>99</v>
      </c>
      <c r="J79" s="1" t="s">
        <v>99</v>
      </c>
      <c r="K79" s="114" t="s">
        <v>205</v>
      </c>
      <c r="L79" s="114" t="s">
        <v>205</v>
      </c>
    </row>
    <row r="80" spans="2:20">
      <c r="G80" s="1" t="s">
        <v>100</v>
      </c>
      <c r="H80" s="1" t="s">
        <v>76</v>
      </c>
      <c r="I80" s="1" t="s">
        <v>76</v>
      </c>
      <c r="J80" s="1" t="s">
        <v>76</v>
      </c>
    </row>
    <row r="81" spans="7:10">
      <c r="G81" s="1" t="s">
        <v>101</v>
      </c>
      <c r="H81" s="1" t="s">
        <v>107</v>
      </c>
      <c r="I81" s="1" t="s">
        <v>92</v>
      </c>
      <c r="J81" s="1" t="s">
        <v>206</v>
      </c>
    </row>
    <row r="82" spans="7:10">
      <c r="G82" s="1" t="s">
        <v>76</v>
      </c>
    </row>
    <row r="83" spans="7:10">
      <c r="G83" s="1" t="s">
        <v>102</v>
      </c>
    </row>
    <row r="87" spans="7:10">
      <c r="G87" s="16"/>
      <c r="H87" s="16"/>
    </row>
  </sheetData>
  <phoneticPr fontId="0" type="noConversion"/>
  <hyperlinks>
    <hyperlink ref="K79" r:id="rId1" xr:uid="{00000000-0004-0000-0200-000000000000}"/>
    <hyperlink ref="L79" r:id="rId2" xr:uid="{00000000-0004-0000-0200-000001000000}"/>
    <hyperlink ref="M77" r:id="rId3" display="www.nces.ed.gov" xr:uid="{00000000-0004-0000-0200-000002000000}"/>
  </hyperlinks>
  <pageMargins left="0.75" right="0.75" top="1" bottom="1" header="0.5" footer="0.5"/>
  <headerFooter alignWithMargins="0"/>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tabColor indexed="62"/>
  </sheetPr>
  <dimension ref="A1:CS75"/>
  <sheetViews>
    <sheetView zoomScale="80" zoomScaleNormal="80" workbookViewId="0">
      <pane xSplit="1" ySplit="4" topLeftCell="BO5" activePane="bottomRight" state="frozen"/>
      <selection pane="topRight" activeCell="B1" sqref="B1"/>
      <selection pane="bottomLeft" activeCell="A5" sqref="A5"/>
      <selection pane="bottomRight" activeCell="CR18" sqref="CR18"/>
    </sheetView>
  </sheetViews>
  <sheetFormatPr defaultColWidth="9.7109375" defaultRowHeight="12.75"/>
  <cols>
    <col min="1" max="1" width="20.28515625" style="1" customWidth="1"/>
    <col min="2" max="47" width="9.28515625" style="1" customWidth="1"/>
    <col min="48" max="49" width="9.85546875" style="1" customWidth="1"/>
    <col min="50" max="88" width="9.28515625" style="1" customWidth="1"/>
    <col min="89" max="95" width="9.7109375" style="1"/>
    <col min="96" max="97" width="9.85546875" style="1" customWidth="1"/>
    <col min="98" max="16384" width="9.7109375" style="1"/>
  </cols>
  <sheetData>
    <row r="1" spans="1:97">
      <c r="A1" s="12" t="s">
        <v>84</v>
      </c>
      <c r="B1" s="12"/>
      <c r="C1" s="12"/>
      <c r="D1" s="12"/>
      <c r="E1" s="12"/>
      <c r="F1" s="12"/>
      <c r="G1" s="12"/>
      <c r="H1" s="12"/>
      <c r="I1" s="12"/>
      <c r="J1" s="12"/>
      <c r="K1" s="12"/>
      <c r="L1" s="12"/>
      <c r="M1" s="12"/>
      <c r="N1" s="4"/>
      <c r="O1" s="4"/>
      <c r="P1" s="4"/>
      <c r="AX1" s="115"/>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row>
    <row r="2" spans="1:97" s="6" customFormat="1">
      <c r="B2" s="14" t="s">
        <v>53</v>
      </c>
      <c r="C2" s="116" t="s">
        <v>53</v>
      </c>
      <c r="D2" s="116" t="s">
        <v>53</v>
      </c>
      <c r="E2" s="116" t="s">
        <v>53</v>
      </c>
      <c r="F2" s="116" t="s">
        <v>53</v>
      </c>
      <c r="G2" s="116" t="s">
        <v>53</v>
      </c>
      <c r="H2" s="116" t="s">
        <v>53</v>
      </c>
      <c r="I2" s="116" t="s">
        <v>53</v>
      </c>
      <c r="J2" s="116" t="s">
        <v>53</v>
      </c>
      <c r="K2" s="116" t="s">
        <v>53</v>
      </c>
      <c r="L2" s="116" t="s">
        <v>53</v>
      </c>
      <c r="M2" s="116" t="s">
        <v>53</v>
      </c>
      <c r="N2" s="116" t="s">
        <v>53</v>
      </c>
      <c r="O2" s="116" t="s">
        <v>53</v>
      </c>
      <c r="P2" s="116" t="s">
        <v>53</v>
      </c>
      <c r="Q2" s="116" t="s">
        <v>53</v>
      </c>
      <c r="R2" s="116" t="s">
        <v>53</v>
      </c>
      <c r="S2" s="116" t="s">
        <v>53</v>
      </c>
      <c r="T2" s="116" t="s">
        <v>53</v>
      </c>
      <c r="U2" s="116" t="s">
        <v>53</v>
      </c>
      <c r="V2" s="116" t="s">
        <v>53</v>
      </c>
      <c r="W2" s="116" t="s">
        <v>53</v>
      </c>
      <c r="X2" s="116" t="s">
        <v>53</v>
      </c>
      <c r="Y2" s="116" t="s">
        <v>53</v>
      </c>
      <c r="Z2" s="116" t="s">
        <v>53</v>
      </c>
      <c r="AA2" s="116" t="s">
        <v>53</v>
      </c>
      <c r="AB2" s="116" t="s">
        <v>53</v>
      </c>
      <c r="AC2" s="116" t="s">
        <v>53</v>
      </c>
      <c r="AD2" s="116" t="s">
        <v>53</v>
      </c>
      <c r="AE2" s="116" t="s">
        <v>53</v>
      </c>
      <c r="AF2" s="116" t="s">
        <v>53</v>
      </c>
      <c r="AG2" s="116" t="s">
        <v>53</v>
      </c>
      <c r="AH2" s="116" t="s">
        <v>53</v>
      </c>
      <c r="AI2" s="116" t="s">
        <v>53</v>
      </c>
      <c r="AJ2" s="116" t="s">
        <v>53</v>
      </c>
      <c r="AK2" s="116" t="s">
        <v>53</v>
      </c>
      <c r="AL2" s="116" t="s">
        <v>53</v>
      </c>
      <c r="AM2" s="116" t="s">
        <v>53</v>
      </c>
      <c r="AN2" s="116" t="s">
        <v>53</v>
      </c>
      <c r="AO2" s="116" t="s">
        <v>53</v>
      </c>
      <c r="AP2" s="116" t="s">
        <v>53</v>
      </c>
      <c r="AQ2" s="116" t="s">
        <v>53</v>
      </c>
      <c r="AR2" s="116" t="s">
        <v>53</v>
      </c>
      <c r="AS2" s="116" t="s">
        <v>53</v>
      </c>
      <c r="AT2" s="116" t="s">
        <v>53</v>
      </c>
      <c r="AU2" s="116" t="s">
        <v>53</v>
      </c>
      <c r="AV2" s="116" t="s">
        <v>53</v>
      </c>
      <c r="AW2" s="116" t="s">
        <v>53</v>
      </c>
      <c r="AX2" s="74" t="s">
        <v>54</v>
      </c>
      <c r="AY2" s="116" t="s">
        <v>54</v>
      </c>
      <c r="AZ2" s="116" t="s">
        <v>54</v>
      </c>
      <c r="BA2" s="116" t="s">
        <v>54</v>
      </c>
      <c r="BB2" s="116" t="s">
        <v>54</v>
      </c>
      <c r="BC2" s="116" t="s">
        <v>54</v>
      </c>
      <c r="BD2" s="116" t="s">
        <v>54</v>
      </c>
      <c r="BE2" s="116" t="s">
        <v>54</v>
      </c>
      <c r="BF2" s="116" t="s">
        <v>54</v>
      </c>
      <c r="BG2" s="116" t="s">
        <v>54</v>
      </c>
      <c r="BH2" s="116" t="s">
        <v>54</v>
      </c>
      <c r="BI2" s="116" t="s">
        <v>54</v>
      </c>
      <c r="BJ2" s="116" t="s">
        <v>54</v>
      </c>
      <c r="BK2" s="116" t="s">
        <v>54</v>
      </c>
      <c r="BL2" s="116" t="s">
        <v>54</v>
      </c>
      <c r="BM2" s="116" t="s">
        <v>54</v>
      </c>
      <c r="BN2" s="116" t="s">
        <v>54</v>
      </c>
      <c r="BO2" s="116" t="s">
        <v>54</v>
      </c>
      <c r="BP2" s="116" t="s">
        <v>54</v>
      </c>
      <c r="BQ2" s="116" t="s">
        <v>54</v>
      </c>
      <c r="BR2" s="116" t="s">
        <v>54</v>
      </c>
      <c r="BS2" s="116" t="s">
        <v>54</v>
      </c>
      <c r="BT2" s="116" t="s">
        <v>54</v>
      </c>
      <c r="BU2" s="116" t="s">
        <v>54</v>
      </c>
      <c r="BV2" s="116" t="s">
        <v>54</v>
      </c>
      <c r="BW2" s="116" t="s">
        <v>54</v>
      </c>
      <c r="BX2" s="116" t="s">
        <v>54</v>
      </c>
      <c r="BY2" s="116" t="s">
        <v>54</v>
      </c>
      <c r="BZ2" s="116" t="s">
        <v>54</v>
      </c>
      <c r="CA2" s="116" t="s">
        <v>54</v>
      </c>
      <c r="CB2" s="116" t="s">
        <v>54</v>
      </c>
      <c r="CC2" s="116" t="s">
        <v>54</v>
      </c>
      <c r="CD2" s="116" t="s">
        <v>54</v>
      </c>
      <c r="CE2" s="116" t="s">
        <v>54</v>
      </c>
      <c r="CF2" s="116" t="s">
        <v>54</v>
      </c>
      <c r="CG2" s="116" t="s">
        <v>54</v>
      </c>
      <c r="CH2" s="116" t="s">
        <v>54</v>
      </c>
      <c r="CI2" s="116" t="s">
        <v>54</v>
      </c>
      <c r="CJ2" s="116" t="s">
        <v>54</v>
      </c>
      <c r="CK2" s="116" t="s">
        <v>54</v>
      </c>
      <c r="CL2" s="116" t="s">
        <v>54</v>
      </c>
      <c r="CM2" s="116" t="s">
        <v>54</v>
      </c>
      <c r="CN2" s="116" t="s">
        <v>54</v>
      </c>
      <c r="CO2" s="116" t="s">
        <v>54</v>
      </c>
      <c r="CP2" s="116" t="s">
        <v>54</v>
      </c>
      <c r="CQ2" s="116" t="s">
        <v>54</v>
      </c>
      <c r="CR2" s="116" t="s">
        <v>54</v>
      </c>
      <c r="CS2" s="116" t="s">
        <v>54</v>
      </c>
    </row>
    <row r="3" spans="1:97" s="6" customFormat="1">
      <c r="B3" s="62" t="s">
        <v>59</v>
      </c>
      <c r="C3" s="63" t="s">
        <v>2</v>
      </c>
      <c r="D3" s="63" t="s">
        <v>60</v>
      </c>
      <c r="E3" s="63" t="s">
        <v>3</v>
      </c>
      <c r="F3" s="63" t="s">
        <v>61</v>
      </c>
      <c r="G3" s="63" t="s">
        <v>4</v>
      </c>
      <c r="H3" s="63" t="s">
        <v>62</v>
      </c>
      <c r="I3" s="63" t="s">
        <v>5</v>
      </c>
      <c r="J3" s="63" t="s">
        <v>63</v>
      </c>
      <c r="K3" s="63" t="s">
        <v>6</v>
      </c>
      <c r="L3" s="63" t="s">
        <v>64</v>
      </c>
      <c r="M3" s="63" t="s">
        <v>7</v>
      </c>
      <c r="N3" s="63" t="s">
        <v>8</v>
      </c>
      <c r="O3" s="63" t="s">
        <v>65</v>
      </c>
      <c r="P3" s="63" t="s">
        <v>66</v>
      </c>
      <c r="Q3" s="63" t="s">
        <v>67</v>
      </c>
      <c r="R3" s="63" t="s">
        <v>68</v>
      </c>
      <c r="S3" s="63" t="s">
        <v>69</v>
      </c>
      <c r="T3" s="63" t="s">
        <v>70</v>
      </c>
      <c r="U3" s="63" t="s">
        <v>71</v>
      </c>
      <c r="V3" s="63" t="s">
        <v>72</v>
      </c>
      <c r="W3" s="63" t="s">
        <v>73</v>
      </c>
      <c r="X3" s="63" t="s">
        <v>9</v>
      </c>
      <c r="Y3" s="63" t="s">
        <v>74</v>
      </c>
      <c r="Z3" s="63" t="s">
        <v>10</v>
      </c>
      <c r="AA3" s="63" t="s">
        <v>75</v>
      </c>
      <c r="AB3" s="64" t="s">
        <v>56</v>
      </c>
      <c r="AC3" s="63" t="s">
        <v>58</v>
      </c>
      <c r="AD3" s="63" t="s">
        <v>164</v>
      </c>
      <c r="AE3" s="63" t="s">
        <v>201</v>
      </c>
      <c r="AF3" s="63" t="s">
        <v>202</v>
      </c>
      <c r="AG3" s="63" t="s">
        <v>225</v>
      </c>
      <c r="AH3" s="63" t="s">
        <v>226</v>
      </c>
      <c r="AI3" s="63" t="s">
        <v>210</v>
      </c>
      <c r="AJ3" s="63" t="s">
        <v>221</v>
      </c>
      <c r="AK3" s="63" t="s">
        <v>222</v>
      </c>
      <c r="AL3" s="63" t="s">
        <v>227</v>
      </c>
      <c r="AM3" s="63" t="s">
        <v>236</v>
      </c>
      <c r="AN3" s="63" t="s">
        <v>240</v>
      </c>
      <c r="AO3" s="63" t="s">
        <v>242</v>
      </c>
      <c r="AP3" s="63" t="s">
        <v>258</v>
      </c>
      <c r="AQ3" s="63" t="s">
        <v>259</v>
      </c>
      <c r="AR3" s="63" t="s">
        <v>262</v>
      </c>
      <c r="AS3" s="63" t="s">
        <v>263</v>
      </c>
      <c r="AT3" s="63" t="s">
        <v>265</v>
      </c>
      <c r="AU3" s="63" t="s">
        <v>266</v>
      </c>
      <c r="AV3" s="198" t="s">
        <v>269</v>
      </c>
      <c r="AW3" s="198" t="s">
        <v>270</v>
      </c>
      <c r="AX3" s="75" t="s">
        <v>59</v>
      </c>
      <c r="AY3" s="63" t="s">
        <v>2</v>
      </c>
      <c r="AZ3" s="63" t="s">
        <v>60</v>
      </c>
      <c r="BA3" s="63" t="s">
        <v>3</v>
      </c>
      <c r="BB3" s="63" t="s">
        <v>61</v>
      </c>
      <c r="BC3" s="63" t="s">
        <v>4</v>
      </c>
      <c r="BD3" s="63" t="s">
        <v>62</v>
      </c>
      <c r="BE3" s="63" t="s">
        <v>5</v>
      </c>
      <c r="BF3" s="63" t="s">
        <v>63</v>
      </c>
      <c r="BG3" s="63" t="s">
        <v>6</v>
      </c>
      <c r="BH3" s="63" t="s">
        <v>64</v>
      </c>
      <c r="BI3" s="63" t="s">
        <v>7</v>
      </c>
      <c r="BJ3" s="63" t="s">
        <v>8</v>
      </c>
      <c r="BK3" s="63" t="s">
        <v>65</v>
      </c>
      <c r="BL3" s="63" t="s">
        <v>66</v>
      </c>
      <c r="BM3" s="63" t="s">
        <v>67</v>
      </c>
      <c r="BN3" s="63" t="s">
        <v>68</v>
      </c>
      <c r="BO3" s="63" t="s">
        <v>69</v>
      </c>
      <c r="BP3" s="63" t="s">
        <v>70</v>
      </c>
      <c r="BQ3" s="63" t="s">
        <v>71</v>
      </c>
      <c r="BR3" s="63" t="s">
        <v>72</v>
      </c>
      <c r="BS3" s="63" t="s">
        <v>73</v>
      </c>
      <c r="BT3" s="63" t="s">
        <v>9</v>
      </c>
      <c r="BU3" s="63" t="s">
        <v>74</v>
      </c>
      <c r="BV3" s="63" t="s">
        <v>10</v>
      </c>
      <c r="BW3" s="63" t="s">
        <v>75</v>
      </c>
      <c r="BX3" s="63" t="s">
        <v>56</v>
      </c>
      <c r="BY3" s="63" t="s">
        <v>58</v>
      </c>
      <c r="BZ3" s="63" t="s">
        <v>164</v>
      </c>
      <c r="CA3" s="63" t="s">
        <v>201</v>
      </c>
      <c r="CB3" s="63" t="s">
        <v>202</v>
      </c>
      <c r="CC3" s="63" t="s">
        <v>225</v>
      </c>
      <c r="CD3" s="63" t="s">
        <v>226</v>
      </c>
      <c r="CE3" s="63" t="s">
        <v>210</v>
      </c>
      <c r="CF3" s="63" t="s">
        <v>221</v>
      </c>
      <c r="CG3" s="63" t="s">
        <v>222</v>
      </c>
      <c r="CH3" s="63" t="s">
        <v>227</v>
      </c>
      <c r="CI3" s="63" t="s">
        <v>236</v>
      </c>
      <c r="CJ3" s="63" t="s">
        <v>240</v>
      </c>
      <c r="CK3" s="71" t="s">
        <v>242</v>
      </c>
      <c r="CL3" s="71" t="s">
        <v>258</v>
      </c>
      <c r="CM3" s="63" t="s">
        <v>259</v>
      </c>
      <c r="CN3" s="6" t="s">
        <v>262</v>
      </c>
      <c r="CO3" s="6" t="s">
        <v>263</v>
      </c>
      <c r="CP3" s="6" t="s">
        <v>265</v>
      </c>
      <c r="CQ3" s="6" t="s">
        <v>266</v>
      </c>
      <c r="CR3" s="198" t="s">
        <v>269</v>
      </c>
      <c r="CS3" s="198" t="s">
        <v>270</v>
      </c>
    </row>
    <row r="4" spans="1:97">
      <c r="A4" s="52" t="s">
        <v>243</v>
      </c>
      <c r="B4" s="67">
        <f t="shared" ref="B4:BR4" si="0">B5+B23+B38+B52+B63</f>
        <v>448270</v>
      </c>
      <c r="C4" s="53">
        <f t="shared" si="0"/>
        <v>472708</v>
      </c>
      <c r="D4" s="53">
        <f t="shared" si="0"/>
        <v>497416</v>
      </c>
      <c r="E4" s="53">
        <f t="shared" si="0"/>
        <v>514932</v>
      </c>
      <c r="F4" s="53">
        <f t="shared" si="0"/>
        <v>524154</v>
      </c>
      <c r="G4" s="53">
        <f t="shared" si="0"/>
        <v>501820</v>
      </c>
      <c r="H4" s="53">
        <f t="shared" si="0"/>
        <v>501784</v>
      </c>
      <c r="I4" s="53">
        <f t="shared" si="0"/>
        <v>492776</v>
      </c>
      <c r="J4" s="53">
        <f t="shared" si="0"/>
        <v>483946</v>
      </c>
      <c r="K4" s="53">
        <f t="shared" si="0"/>
        <v>474128</v>
      </c>
      <c r="L4" s="53">
        <f t="shared" si="0"/>
        <v>470689</v>
      </c>
      <c r="M4" s="53">
        <f t="shared" si="0"/>
        <v>466827</v>
      </c>
      <c r="N4" s="53">
        <f t="shared" si="0"/>
        <v>470373</v>
      </c>
      <c r="O4" s="53">
        <f t="shared" si="0"/>
        <v>475940</v>
      </c>
      <c r="P4" s="53">
        <f t="shared" si="0"/>
        <v>478820</v>
      </c>
      <c r="Q4" s="53">
        <f t="shared" si="0"/>
        <v>479064</v>
      </c>
      <c r="R4" s="53">
        <f t="shared" si="0"/>
        <v>482554</v>
      </c>
      <c r="S4" s="53">
        <f t="shared" si="0"/>
        <v>477718</v>
      </c>
      <c r="T4" s="53">
        <f t="shared" si="0"/>
        <v>473716</v>
      </c>
      <c r="U4" s="53">
        <f t="shared" si="0"/>
        <v>479862</v>
      </c>
      <c r="V4" s="53">
        <f t="shared" si="0"/>
        <v>488730</v>
      </c>
      <c r="W4" s="53">
        <f t="shared" si="0"/>
        <v>501117</v>
      </c>
      <c r="X4" s="53">
        <f t="shared" si="0"/>
        <v>517791</v>
      </c>
      <c r="Y4" s="53">
        <f t="shared" si="0"/>
        <v>529776</v>
      </c>
      <c r="Z4" s="53">
        <f t="shared" si="0"/>
        <v>529391</v>
      </c>
      <c r="AA4" s="53">
        <f t="shared" si="0"/>
        <v>523246</v>
      </c>
      <c r="AB4" s="53">
        <f t="shared" si="0"/>
        <v>519641</v>
      </c>
      <c r="AC4" s="53">
        <f t="shared" si="0"/>
        <v>517843</v>
      </c>
      <c r="AD4" s="53">
        <f t="shared" si="0"/>
        <v>517283</v>
      </c>
      <c r="AE4" s="53">
        <f t="shared" si="0"/>
        <v>516192</v>
      </c>
      <c r="AF4" s="53">
        <f t="shared" si="0"/>
        <v>527785</v>
      </c>
      <c r="AG4" s="53">
        <f t="shared" si="0"/>
        <v>529288</v>
      </c>
      <c r="AH4" s="53">
        <f t="shared" si="0"/>
        <v>547067</v>
      </c>
      <c r="AI4" s="53">
        <f t="shared" si="0"/>
        <v>570366</v>
      </c>
      <c r="AJ4" s="53">
        <f t="shared" si="0"/>
        <v>592202</v>
      </c>
      <c r="AK4" s="53">
        <f t="shared" si="0"/>
        <v>610142</v>
      </c>
      <c r="AL4" s="53">
        <f t="shared" si="0"/>
        <v>619288</v>
      </c>
      <c r="AM4" s="53">
        <f t="shared" si="0"/>
        <v>646718</v>
      </c>
      <c r="AN4" s="53">
        <f t="shared" si="0"/>
        <v>665020</v>
      </c>
      <c r="AO4" s="53">
        <f>AO5+AO23+AO38+AO52+AO63</f>
        <v>682476</v>
      </c>
      <c r="AP4" s="53">
        <f>AP5+AP23+AP38+AP52+AP63</f>
        <v>702512</v>
      </c>
      <c r="AQ4" s="53">
        <f>AQ5+AQ23+AQ38+AQ52+AQ63</f>
        <v>714511</v>
      </c>
      <c r="AR4" s="53">
        <f>AR5+AR23+AR38+AR52+AR63</f>
        <v>752540</v>
      </c>
      <c r="AS4" s="53">
        <f>AS5+AS23+AS38+AS52+AS63</f>
        <v>772798</v>
      </c>
      <c r="AT4" s="53">
        <f t="shared" ref="AT4:AW4" si="1">AT5+AT23+AT38+AT52+AT63</f>
        <v>0</v>
      </c>
      <c r="AU4" s="53">
        <f t="shared" si="1"/>
        <v>794207</v>
      </c>
      <c r="AV4" s="53">
        <f t="shared" si="1"/>
        <v>803407</v>
      </c>
      <c r="AW4" s="53">
        <f t="shared" si="1"/>
        <v>817014</v>
      </c>
      <c r="AX4" s="76">
        <f t="shared" si="0"/>
        <v>338219</v>
      </c>
      <c r="AY4" s="53">
        <f t="shared" si="0"/>
        <v>364135</v>
      </c>
      <c r="AZ4" s="53">
        <f t="shared" si="0"/>
        <v>386682</v>
      </c>
      <c r="BA4" s="53">
        <f t="shared" si="0"/>
        <v>404171</v>
      </c>
      <c r="BB4" s="53">
        <f t="shared" si="0"/>
        <v>418462</v>
      </c>
      <c r="BC4" s="53">
        <f t="shared" si="0"/>
        <v>418092</v>
      </c>
      <c r="BD4" s="53">
        <f t="shared" si="0"/>
        <v>420821</v>
      </c>
      <c r="BE4" s="53">
        <f t="shared" si="0"/>
        <v>424004</v>
      </c>
      <c r="BF4" s="53">
        <f t="shared" si="0"/>
        <v>433849</v>
      </c>
      <c r="BG4" s="53">
        <f t="shared" si="0"/>
        <v>444031</v>
      </c>
      <c r="BH4" s="53">
        <f t="shared" si="0"/>
        <v>455565</v>
      </c>
      <c r="BI4" s="53">
        <f t="shared" si="0"/>
        <v>465044</v>
      </c>
      <c r="BJ4" s="53">
        <f t="shared" si="0"/>
        <v>479375</v>
      </c>
      <c r="BK4" s="53">
        <f t="shared" si="0"/>
        <v>490108</v>
      </c>
      <c r="BL4" s="53">
        <f t="shared" si="0"/>
        <v>491663</v>
      </c>
      <c r="BM4" s="53">
        <f t="shared" si="0"/>
        <v>496620</v>
      </c>
      <c r="BN4" s="53">
        <f t="shared" si="0"/>
        <v>501578</v>
      </c>
      <c r="BO4" s="53">
        <f t="shared" si="0"/>
        <v>510158</v>
      </c>
      <c r="BP4" s="53">
        <f t="shared" si="0"/>
        <v>516186</v>
      </c>
      <c r="BQ4" s="53">
        <f t="shared" si="0"/>
        <v>533404</v>
      </c>
      <c r="BR4" s="53">
        <f t="shared" si="0"/>
        <v>559329</v>
      </c>
      <c r="BS4" s="53">
        <f t="shared" ref="BS4:CK4" si="2">BS5+BS23+BS38+BS52+BS63</f>
        <v>590144</v>
      </c>
      <c r="BT4" s="53">
        <f t="shared" si="2"/>
        <v>615366</v>
      </c>
      <c r="BU4" s="53">
        <f t="shared" si="2"/>
        <v>631957</v>
      </c>
      <c r="BV4" s="53">
        <f t="shared" si="2"/>
        <v>636450</v>
      </c>
      <c r="BW4" s="53">
        <f t="shared" si="2"/>
        <v>633604</v>
      </c>
      <c r="BX4" s="53">
        <f t="shared" si="2"/>
        <v>641951</v>
      </c>
      <c r="BY4" s="53">
        <f t="shared" si="2"/>
        <v>651968</v>
      </c>
      <c r="BZ4" s="53">
        <f t="shared" si="2"/>
        <v>664012</v>
      </c>
      <c r="CA4" s="53">
        <f t="shared" si="2"/>
        <v>681137</v>
      </c>
      <c r="CB4" s="53">
        <f t="shared" si="2"/>
        <v>707053</v>
      </c>
      <c r="CC4" s="53">
        <f t="shared" si="2"/>
        <v>711812</v>
      </c>
      <c r="CD4" s="53">
        <f t="shared" si="2"/>
        <v>741588</v>
      </c>
      <c r="CE4" s="53">
        <f t="shared" si="2"/>
        <v>775036</v>
      </c>
      <c r="CF4" s="53">
        <f t="shared" si="2"/>
        <v>803132</v>
      </c>
      <c r="CG4" s="53">
        <f t="shared" si="2"/>
        <v>825673</v>
      </c>
      <c r="CH4" s="53">
        <f t="shared" si="2"/>
        <v>843531</v>
      </c>
      <c r="CI4" s="53">
        <f t="shared" si="2"/>
        <v>873931</v>
      </c>
      <c r="CJ4" s="53">
        <f t="shared" si="2"/>
        <v>894361</v>
      </c>
      <c r="CK4" s="53">
        <f t="shared" si="2"/>
        <v>915376</v>
      </c>
      <c r="CL4" s="53">
        <f t="shared" ref="CL4:CM4" si="3">CL5+CL23+CL38+CL52+CL63</f>
        <v>940533</v>
      </c>
      <c r="CM4" s="53">
        <f t="shared" si="3"/>
        <v>957125</v>
      </c>
      <c r="CN4" s="53">
        <f t="shared" ref="CN4:CO4" si="4">CN5+CN23+CN38+CN52+CN63</f>
        <v>1014155</v>
      </c>
      <c r="CO4" s="53">
        <f t="shared" si="4"/>
        <v>1038213</v>
      </c>
      <c r="CP4" s="53">
        <f t="shared" ref="CP4:CS4" si="5">CP5+CP23+CP38+CP52+CP63</f>
        <v>0</v>
      </c>
      <c r="CQ4" s="53">
        <f t="shared" si="5"/>
        <v>1062745</v>
      </c>
      <c r="CR4" s="53">
        <f t="shared" si="5"/>
        <v>1078417</v>
      </c>
      <c r="CS4" s="53">
        <f t="shared" si="5"/>
        <v>1095931</v>
      </c>
    </row>
    <row r="5" spans="1:97">
      <c r="A5" s="54" t="s">
        <v>11</v>
      </c>
      <c r="B5" s="68">
        <f t="shared" ref="B5:BR5" si="6">SUM(B7:B22)</f>
        <v>122707</v>
      </c>
      <c r="C5" s="55">
        <f t="shared" si="6"/>
        <v>128117</v>
      </c>
      <c r="D5" s="55">
        <f t="shared" si="6"/>
        <v>134012</v>
      </c>
      <c r="E5" s="55">
        <f t="shared" si="6"/>
        <v>139647</v>
      </c>
      <c r="F5" s="55">
        <f t="shared" si="6"/>
        <v>145228</v>
      </c>
      <c r="G5" s="55">
        <f t="shared" si="6"/>
        <v>141914</v>
      </c>
      <c r="H5" s="55">
        <f t="shared" si="6"/>
        <v>143654</v>
      </c>
      <c r="I5" s="55">
        <f t="shared" si="6"/>
        <v>140934</v>
      </c>
      <c r="J5" s="55">
        <f t="shared" si="6"/>
        <v>139188</v>
      </c>
      <c r="K5" s="55">
        <f t="shared" si="6"/>
        <v>136551</v>
      </c>
      <c r="L5" s="55">
        <f t="shared" si="6"/>
        <v>135144</v>
      </c>
      <c r="M5" s="55">
        <f t="shared" si="6"/>
        <v>135267</v>
      </c>
      <c r="N5" s="55">
        <f t="shared" si="6"/>
        <v>134067</v>
      </c>
      <c r="O5" s="55">
        <f t="shared" si="6"/>
        <v>135631</v>
      </c>
      <c r="P5" s="55">
        <f t="shared" si="6"/>
        <v>136851</v>
      </c>
      <c r="Q5" s="55">
        <f t="shared" si="6"/>
        <v>137767</v>
      </c>
      <c r="R5" s="55">
        <f t="shared" si="6"/>
        <v>139930</v>
      </c>
      <c r="S5" s="55">
        <f t="shared" si="6"/>
        <v>136751</v>
      </c>
      <c r="T5" s="55">
        <f t="shared" si="6"/>
        <v>136461</v>
      </c>
      <c r="U5" s="55">
        <f t="shared" si="6"/>
        <v>137761</v>
      </c>
      <c r="V5" s="55">
        <f t="shared" si="6"/>
        <v>140803</v>
      </c>
      <c r="W5" s="55">
        <f t="shared" si="6"/>
        <v>145888</v>
      </c>
      <c r="X5" s="55">
        <f t="shared" si="6"/>
        <v>151844</v>
      </c>
      <c r="Y5" s="55">
        <f t="shared" si="6"/>
        <v>157813</v>
      </c>
      <c r="Z5" s="55">
        <f t="shared" si="6"/>
        <v>161075</v>
      </c>
      <c r="AA5" s="55">
        <f t="shared" si="6"/>
        <v>159374</v>
      </c>
      <c r="AB5" s="55">
        <f t="shared" si="6"/>
        <v>159623</v>
      </c>
      <c r="AC5" s="55">
        <f t="shared" si="6"/>
        <v>160423</v>
      </c>
      <c r="AD5" s="55">
        <f t="shared" si="6"/>
        <v>161143</v>
      </c>
      <c r="AE5" s="55">
        <f t="shared" si="6"/>
        <v>161346</v>
      </c>
      <c r="AF5" s="55">
        <f t="shared" si="6"/>
        <v>164737</v>
      </c>
      <c r="AG5" s="55">
        <f t="shared" si="6"/>
        <v>165417</v>
      </c>
      <c r="AH5" s="55">
        <f t="shared" si="6"/>
        <v>169969</v>
      </c>
      <c r="AI5" s="55">
        <f t="shared" si="6"/>
        <v>175627</v>
      </c>
      <c r="AJ5" s="55">
        <f t="shared" si="6"/>
        <v>183223</v>
      </c>
      <c r="AK5" s="55">
        <f t="shared" si="6"/>
        <v>187886</v>
      </c>
      <c r="AL5" s="55">
        <f t="shared" si="6"/>
        <v>191707</v>
      </c>
      <c r="AM5" s="55">
        <f t="shared" si="6"/>
        <v>199594</v>
      </c>
      <c r="AN5" s="55">
        <f t="shared" si="6"/>
        <v>206666</v>
      </c>
      <c r="AO5" s="55">
        <f t="shared" si="6"/>
        <v>213935</v>
      </c>
      <c r="AP5" s="55">
        <f t="shared" ref="AP5:AQ5" si="7">SUM(AP7:AP22)</f>
        <v>220796</v>
      </c>
      <c r="AQ5" s="55">
        <f t="shared" si="7"/>
        <v>229284</v>
      </c>
      <c r="AR5" s="55">
        <f t="shared" ref="AR5:AS5" si="8">SUM(AR7:AR22)</f>
        <v>240190</v>
      </c>
      <c r="AS5" s="55">
        <f t="shared" si="8"/>
        <v>248946</v>
      </c>
      <c r="AT5" s="55">
        <f t="shared" ref="AT5:AW5" si="9">SUM(AT7:AT22)</f>
        <v>0</v>
      </c>
      <c r="AU5" s="55">
        <f t="shared" si="9"/>
        <v>258316</v>
      </c>
      <c r="AV5" s="55">
        <f t="shared" si="9"/>
        <v>262514</v>
      </c>
      <c r="AW5" s="55">
        <f t="shared" si="9"/>
        <v>266958</v>
      </c>
      <c r="AX5" s="77">
        <f t="shared" si="6"/>
        <v>92428</v>
      </c>
      <c r="AY5" s="55">
        <f t="shared" si="6"/>
        <v>100684</v>
      </c>
      <c r="AZ5" s="55">
        <f t="shared" si="6"/>
        <v>106693</v>
      </c>
      <c r="BA5" s="55">
        <f t="shared" si="6"/>
        <v>111887</v>
      </c>
      <c r="BB5" s="55">
        <f t="shared" si="6"/>
        <v>118928</v>
      </c>
      <c r="BC5" s="55">
        <f t="shared" si="6"/>
        <v>122129</v>
      </c>
      <c r="BD5" s="55">
        <f t="shared" si="6"/>
        <v>123238</v>
      </c>
      <c r="BE5" s="55">
        <f t="shared" si="6"/>
        <v>125139</v>
      </c>
      <c r="BF5" s="55">
        <f t="shared" si="6"/>
        <v>128603</v>
      </c>
      <c r="BG5" s="55">
        <f t="shared" si="6"/>
        <v>132224</v>
      </c>
      <c r="BH5" s="55">
        <f t="shared" si="6"/>
        <v>136390</v>
      </c>
      <c r="BI5" s="55">
        <f t="shared" si="6"/>
        <v>138273</v>
      </c>
      <c r="BJ5" s="55">
        <f t="shared" si="6"/>
        <v>140103</v>
      </c>
      <c r="BK5" s="55">
        <f t="shared" si="6"/>
        <v>144046</v>
      </c>
      <c r="BL5" s="55">
        <f t="shared" si="6"/>
        <v>144297</v>
      </c>
      <c r="BM5" s="55">
        <f t="shared" si="6"/>
        <v>146629</v>
      </c>
      <c r="BN5" s="55">
        <f t="shared" si="6"/>
        <v>150375</v>
      </c>
      <c r="BO5" s="55">
        <f t="shared" si="6"/>
        <v>151206</v>
      </c>
      <c r="BP5" s="55">
        <f t="shared" si="6"/>
        <v>152538</v>
      </c>
      <c r="BQ5" s="55">
        <f t="shared" si="6"/>
        <v>158653</v>
      </c>
      <c r="BR5" s="55">
        <f t="shared" si="6"/>
        <v>167023</v>
      </c>
      <c r="BS5" s="55">
        <f t="shared" ref="BS5:CK5" si="10">SUM(BS7:BS22)</f>
        <v>179809</v>
      </c>
      <c r="BT5" s="55">
        <f t="shared" si="10"/>
        <v>187395</v>
      </c>
      <c r="BU5" s="55">
        <f t="shared" si="10"/>
        <v>196744</v>
      </c>
      <c r="BV5" s="55">
        <f t="shared" si="10"/>
        <v>200172</v>
      </c>
      <c r="BW5" s="55">
        <f t="shared" si="10"/>
        <v>200685</v>
      </c>
      <c r="BX5" s="55">
        <f t="shared" si="10"/>
        <v>204044</v>
      </c>
      <c r="BY5" s="55">
        <f t="shared" si="10"/>
        <v>207568</v>
      </c>
      <c r="BZ5" s="55">
        <f t="shared" si="10"/>
        <v>213121</v>
      </c>
      <c r="CA5" s="55">
        <f t="shared" si="10"/>
        <v>218496</v>
      </c>
      <c r="CB5" s="55">
        <f t="shared" si="10"/>
        <v>226593</v>
      </c>
      <c r="CC5" s="55">
        <f t="shared" si="10"/>
        <v>227064</v>
      </c>
      <c r="CD5" s="55">
        <f t="shared" si="10"/>
        <v>236885</v>
      </c>
      <c r="CE5" s="55">
        <f t="shared" si="10"/>
        <v>247149</v>
      </c>
      <c r="CF5" s="55">
        <f t="shared" ref="CF5" si="11">SUM(CF7:CF22)</f>
        <v>257422</v>
      </c>
      <c r="CG5" s="55">
        <f t="shared" si="10"/>
        <v>265274</v>
      </c>
      <c r="CH5" s="55">
        <f t="shared" si="10"/>
        <v>274703</v>
      </c>
      <c r="CI5" s="55">
        <f t="shared" si="10"/>
        <v>282274</v>
      </c>
      <c r="CJ5" s="55">
        <f t="shared" si="10"/>
        <v>290751</v>
      </c>
      <c r="CK5" s="55">
        <f t="shared" si="10"/>
        <v>300170</v>
      </c>
      <c r="CL5" s="55">
        <f t="shared" ref="CL5:CM5" si="12">SUM(CL7:CL22)</f>
        <v>308591</v>
      </c>
      <c r="CM5" s="55">
        <f t="shared" si="12"/>
        <v>320466</v>
      </c>
      <c r="CN5" s="55">
        <f t="shared" ref="CN5:CO5" si="13">SUM(CN7:CN22)</f>
        <v>332048</v>
      </c>
      <c r="CO5" s="55">
        <f t="shared" si="13"/>
        <v>342301</v>
      </c>
      <c r="CP5" s="55">
        <f t="shared" ref="CP5:CS5" si="14">SUM(CP7:CP22)</f>
        <v>0</v>
      </c>
      <c r="CQ5" s="55">
        <f t="shared" si="14"/>
        <v>354802</v>
      </c>
      <c r="CR5" s="55">
        <f t="shared" si="14"/>
        <v>364253</v>
      </c>
      <c r="CS5" s="55">
        <f t="shared" si="14"/>
        <v>372128</v>
      </c>
    </row>
    <row r="6" spans="1:97">
      <c r="A6" s="56" t="s">
        <v>244</v>
      </c>
      <c r="B6" s="69">
        <f t="shared" ref="B6:BR6" si="15">(B5/B4)*100</f>
        <v>27.373457960604103</v>
      </c>
      <c r="C6" s="57">
        <f t="shared" si="15"/>
        <v>27.10277803633533</v>
      </c>
      <c r="D6" s="57">
        <f t="shared" si="15"/>
        <v>26.94163436640558</v>
      </c>
      <c r="E6" s="57">
        <f t="shared" si="15"/>
        <v>27.119503157698492</v>
      </c>
      <c r="F6" s="57">
        <f t="shared" si="15"/>
        <v>27.707124242112052</v>
      </c>
      <c r="G6" s="57">
        <f t="shared" si="15"/>
        <v>28.279861304850346</v>
      </c>
      <c r="H6" s="57">
        <f t="shared" si="15"/>
        <v>28.628652966216539</v>
      </c>
      <c r="I6" s="57">
        <f t="shared" si="15"/>
        <v>28.600012987645503</v>
      </c>
      <c r="J6" s="57">
        <f t="shared" si="15"/>
        <v>28.761060118277658</v>
      </c>
      <c r="K6" s="57">
        <f t="shared" si="15"/>
        <v>28.800450511254343</v>
      </c>
      <c r="L6" s="57">
        <f t="shared" si="15"/>
        <v>28.711952053266593</v>
      </c>
      <c r="M6" s="57">
        <f t="shared" si="15"/>
        <v>28.975830446825057</v>
      </c>
      <c r="N6" s="57">
        <f t="shared" si="15"/>
        <v>28.502273727446092</v>
      </c>
      <c r="O6" s="57">
        <f t="shared" si="15"/>
        <v>28.497499684834221</v>
      </c>
      <c r="P6" s="57">
        <f t="shared" si="15"/>
        <v>28.580886345599598</v>
      </c>
      <c r="Q6" s="57">
        <f t="shared" si="15"/>
        <v>28.757535527612177</v>
      </c>
      <c r="R6" s="57">
        <f t="shared" si="15"/>
        <v>28.997790920808864</v>
      </c>
      <c r="S6" s="57">
        <f t="shared" si="15"/>
        <v>28.625883889658756</v>
      </c>
      <c r="T6" s="57">
        <f t="shared" si="15"/>
        <v>28.806500097104593</v>
      </c>
      <c r="U6" s="57">
        <f t="shared" si="15"/>
        <v>28.708462016162979</v>
      </c>
      <c r="V6" s="57">
        <f t="shared" si="15"/>
        <v>28.809976878849263</v>
      </c>
      <c r="W6" s="57">
        <f t="shared" si="15"/>
        <v>29.112562535296149</v>
      </c>
      <c r="X6" s="57">
        <f t="shared" si="15"/>
        <v>29.325345554480474</v>
      </c>
      <c r="Y6" s="57">
        <f t="shared" si="15"/>
        <v>29.788627646401501</v>
      </c>
      <c r="Z6" s="57">
        <f t="shared" si="15"/>
        <v>30.426471171591508</v>
      </c>
      <c r="AA6" s="57">
        <f t="shared" si="15"/>
        <v>30.458713492315276</v>
      </c>
      <c r="AB6" s="57">
        <f t="shared" si="15"/>
        <v>30.717937961015394</v>
      </c>
      <c r="AC6" s="57">
        <f t="shared" si="15"/>
        <v>30.979080532130393</v>
      </c>
      <c r="AD6" s="57">
        <f t="shared" si="15"/>
        <v>31.151806651291459</v>
      </c>
      <c r="AE6" s="57">
        <f t="shared" si="15"/>
        <v>31.256974149153805</v>
      </c>
      <c r="AF6" s="57">
        <f t="shared" si="15"/>
        <v>31.212899191905798</v>
      </c>
      <c r="AG6" s="57">
        <f t="shared" si="15"/>
        <v>31.252739529329972</v>
      </c>
      <c r="AH6" s="57">
        <f t="shared" si="15"/>
        <v>31.069137783854629</v>
      </c>
      <c r="AI6" s="57">
        <f t="shared" si="15"/>
        <v>30.791982691815427</v>
      </c>
      <c r="AJ6" s="57">
        <f t="shared" si="15"/>
        <v>30.939274099040531</v>
      </c>
      <c r="AK6" s="57">
        <f t="shared" si="15"/>
        <v>30.793815210229752</v>
      </c>
      <c r="AL6" s="57">
        <f t="shared" si="15"/>
        <v>30.956033380268956</v>
      </c>
      <c r="AM6" s="57">
        <f t="shared" si="15"/>
        <v>30.862601628530516</v>
      </c>
      <c r="AN6" s="57">
        <f t="shared" si="15"/>
        <v>31.076659348591019</v>
      </c>
      <c r="AO6" s="57">
        <f t="shared" si="15"/>
        <v>31.346889854002193</v>
      </c>
      <c r="AP6" s="57">
        <f t="shared" ref="AP6:AQ6" si="16">(AP5/AP4)*100</f>
        <v>31.42949871318924</v>
      </c>
      <c r="AQ6" s="57">
        <f t="shared" si="16"/>
        <v>32.089638927882149</v>
      </c>
      <c r="AR6" s="57">
        <f t="shared" ref="AR6:AS6" si="17">(AR5/AR4)*100</f>
        <v>31.917240279586466</v>
      </c>
      <c r="AS6" s="57">
        <f t="shared" si="17"/>
        <v>32.213592685281277</v>
      </c>
      <c r="AT6" s="57" t="e">
        <f t="shared" ref="AT6:AW6" si="18">(AT5/AT4)*100</f>
        <v>#DIV/0!</v>
      </c>
      <c r="AU6" s="57">
        <f t="shared" si="18"/>
        <v>32.52502181421216</v>
      </c>
      <c r="AV6" s="57">
        <f t="shared" si="18"/>
        <v>32.675094939426721</v>
      </c>
      <c r="AW6" s="57">
        <f t="shared" si="18"/>
        <v>32.674837885274918</v>
      </c>
      <c r="AX6" s="78">
        <f t="shared" si="15"/>
        <v>27.327855620175097</v>
      </c>
      <c r="AY6" s="57">
        <f t="shared" si="15"/>
        <v>27.650184684251723</v>
      </c>
      <c r="AZ6" s="57">
        <f t="shared" si="15"/>
        <v>27.591923078912391</v>
      </c>
      <c r="BA6" s="57">
        <f t="shared" si="15"/>
        <v>27.683084634968864</v>
      </c>
      <c r="BB6" s="57">
        <f t="shared" si="15"/>
        <v>28.420262771769</v>
      </c>
      <c r="BC6" s="57">
        <f t="shared" si="15"/>
        <v>29.211034891841987</v>
      </c>
      <c r="BD6" s="57">
        <f t="shared" si="15"/>
        <v>29.285135485158776</v>
      </c>
      <c r="BE6" s="57">
        <f t="shared" si="15"/>
        <v>29.513636663805059</v>
      </c>
      <c r="BF6" s="57">
        <f t="shared" si="15"/>
        <v>29.642340998826782</v>
      </c>
      <c r="BG6" s="57">
        <f t="shared" si="15"/>
        <v>29.778101078528302</v>
      </c>
      <c r="BH6" s="57">
        <f t="shared" si="15"/>
        <v>29.938647613403134</v>
      </c>
      <c r="BI6" s="57">
        <f t="shared" si="15"/>
        <v>29.733315557237596</v>
      </c>
      <c r="BJ6" s="57">
        <f t="shared" si="15"/>
        <v>29.226179921773145</v>
      </c>
      <c r="BK6" s="57">
        <f t="shared" si="15"/>
        <v>29.390664914671866</v>
      </c>
      <c r="BL6" s="57">
        <f t="shared" si="15"/>
        <v>29.348761244999118</v>
      </c>
      <c r="BM6" s="57">
        <f t="shared" si="15"/>
        <v>29.525391647537351</v>
      </c>
      <c r="BN6" s="57">
        <f t="shared" si="15"/>
        <v>29.980381914677277</v>
      </c>
      <c r="BO6" s="57">
        <f t="shared" si="15"/>
        <v>29.639052999266895</v>
      </c>
      <c r="BP6" s="57">
        <f t="shared" si="15"/>
        <v>29.550975811044854</v>
      </c>
      <c r="BQ6" s="57">
        <f t="shared" si="15"/>
        <v>29.743496486715511</v>
      </c>
      <c r="BR6" s="57">
        <f t="shared" si="15"/>
        <v>29.861315969670805</v>
      </c>
      <c r="BS6" s="57">
        <f t="shared" ref="BS6:CK6" si="19">(BS5/BS4)*100</f>
        <v>30.468665274915953</v>
      </c>
      <c r="BT6" s="57">
        <f t="shared" si="19"/>
        <v>30.452608691412912</v>
      </c>
      <c r="BU6" s="57">
        <f t="shared" si="19"/>
        <v>31.132497938942048</v>
      </c>
      <c r="BV6" s="57">
        <f t="shared" si="19"/>
        <v>31.451331604996462</v>
      </c>
      <c r="BW6" s="57">
        <f t="shared" si="19"/>
        <v>31.673568979993817</v>
      </c>
      <c r="BX6" s="57">
        <f t="shared" si="19"/>
        <v>31.784980473587549</v>
      </c>
      <c r="BY6" s="57">
        <f t="shared" si="19"/>
        <v>31.837145381368408</v>
      </c>
      <c r="BZ6" s="57">
        <f t="shared" si="19"/>
        <v>32.09595609717897</v>
      </c>
      <c r="CA6" s="57">
        <f t="shared" si="19"/>
        <v>32.078128188602292</v>
      </c>
      <c r="CB6" s="57">
        <f t="shared" si="19"/>
        <v>32.047526847350902</v>
      </c>
      <c r="CC6" s="57">
        <f t="shared" si="19"/>
        <v>31.899434120245235</v>
      </c>
      <c r="CD6" s="57">
        <f t="shared" si="19"/>
        <v>31.942938666752969</v>
      </c>
      <c r="CE6" s="57">
        <f t="shared" si="19"/>
        <v>31.888712266268922</v>
      </c>
      <c r="CF6" s="57">
        <f t="shared" si="19"/>
        <v>32.052265381033259</v>
      </c>
      <c r="CG6" s="57">
        <f t="shared" si="19"/>
        <v>32.128215407310158</v>
      </c>
      <c r="CH6" s="57">
        <f t="shared" si="19"/>
        <v>32.565845238645643</v>
      </c>
      <c r="CI6" s="57">
        <f t="shared" si="19"/>
        <v>32.299346287063848</v>
      </c>
      <c r="CJ6" s="57">
        <f t="shared" si="19"/>
        <v>32.509355841768595</v>
      </c>
      <c r="CK6" s="57">
        <f t="shared" si="19"/>
        <v>32.791989302756463</v>
      </c>
      <c r="CL6" s="57">
        <f t="shared" ref="CL6:CM6" si="20">(CL5/CL4)*100</f>
        <v>32.810225691177237</v>
      </c>
      <c r="CM6" s="57">
        <f t="shared" si="20"/>
        <v>33.48214705498237</v>
      </c>
      <c r="CN6" s="57">
        <f t="shared" ref="CN6:CO6" si="21">(CN5/CN4)*100</f>
        <v>32.741346243917349</v>
      </c>
      <c r="CO6" s="57">
        <f t="shared" si="21"/>
        <v>32.970209388632199</v>
      </c>
      <c r="CP6" s="57" t="e">
        <f t="shared" ref="CP6:CS6" si="22">(CP5/CP4)*100</f>
        <v>#DIV/0!</v>
      </c>
      <c r="CQ6" s="57">
        <f t="shared" si="22"/>
        <v>33.385431124117261</v>
      </c>
      <c r="CR6" s="57">
        <f t="shared" si="22"/>
        <v>33.776637423186024</v>
      </c>
      <c r="CS6" s="57">
        <f t="shared" si="22"/>
        <v>33.955422376043749</v>
      </c>
    </row>
    <row r="7" spans="1:97" s="7" customFormat="1">
      <c r="A7" s="72" t="s">
        <v>12</v>
      </c>
      <c r="B7" s="9">
        <v>7241</v>
      </c>
      <c r="C7" s="7">
        <v>7255</v>
      </c>
      <c r="D7" s="7">
        <v>7623</v>
      </c>
      <c r="E7" s="7">
        <v>7575</v>
      </c>
      <c r="F7" s="7">
        <v>7753</v>
      </c>
      <c r="G7" s="7">
        <v>7741</v>
      </c>
      <c r="H7" s="7">
        <v>7867</v>
      </c>
      <c r="I7" s="7">
        <v>8063</v>
      </c>
      <c r="J7" s="7">
        <v>8489</v>
      </c>
      <c r="K7" s="7">
        <v>8379</v>
      </c>
      <c r="L7" s="7">
        <v>8126</v>
      </c>
      <c r="M7" s="7">
        <v>8197</v>
      </c>
      <c r="N7" s="7">
        <v>8188</v>
      </c>
      <c r="O7" s="7">
        <v>7920</v>
      </c>
      <c r="P7" s="7">
        <v>7687</v>
      </c>
      <c r="Q7" s="7">
        <v>7925</v>
      </c>
      <c r="R7" s="7">
        <v>7732</v>
      </c>
      <c r="S7" s="7">
        <v>7525</v>
      </c>
      <c r="T7" s="7">
        <v>7672</v>
      </c>
      <c r="U7" s="7">
        <v>7585</v>
      </c>
      <c r="V7" s="7">
        <v>7745</v>
      </c>
      <c r="W7" s="7">
        <v>8153</v>
      </c>
      <c r="X7" s="7">
        <v>8767</v>
      </c>
      <c r="Y7" s="7">
        <v>8946</v>
      </c>
      <c r="Z7" s="7">
        <v>9288</v>
      </c>
      <c r="AA7" s="7">
        <v>8684</v>
      </c>
      <c r="AB7" s="7">
        <v>8783</v>
      </c>
      <c r="AC7" s="7">
        <v>8750</v>
      </c>
      <c r="AD7" s="7">
        <v>8574</v>
      </c>
      <c r="AE7" s="7">
        <v>8616</v>
      </c>
      <c r="AF7" s="7">
        <v>8781</v>
      </c>
      <c r="AG7" s="7">
        <v>8733</v>
      </c>
      <c r="AH7" s="7">
        <v>8446</v>
      </c>
      <c r="AI7" s="7">
        <v>8354</v>
      </c>
      <c r="AJ7" s="7">
        <v>8624</v>
      </c>
      <c r="AK7" s="7">
        <v>8815</v>
      </c>
      <c r="AL7" s="7">
        <v>8969</v>
      </c>
      <c r="AM7" s="7">
        <v>9003</v>
      </c>
      <c r="AN7" s="7">
        <v>9610</v>
      </c>
      <c r="AO7" s="7">
        <v>9977</v>
      </c>
      <c r="AP7" s="7">
        <v>11021</v>
      </c>
      <c r="AQ7" s="7">
        <v>10595</v>
      </c>
      <c r="AR7" s="7">
        <v>11997</v>
      </c>
      <c r="AS7" s="7">
        <v>13121</v>
      </c>
      <c r="AU7" s="7">
        <v>11064</v>
      </c>
      <c r="AV7" s="7">
        <v>11598</v>
      </c>
      <c r="AW7" s="7">
        <v>11830</v>
      </c>
      <c r="AX7" s="79">
        <v>5627</v>
      </c>
      <c r="AY7" s="7">
        <v>5745</v>
      </c>
      <c r="AZ7" s="7">
        <v>6169</v>
      </c>
      <c r="BA7" s="7">
        <v>6215</v>
      </c>
      <c r="BB7" s="7">
        <v>6612</v>
      </c>
      <c r="BC7" s="7">
        <v>6495</v>
      </c>
      <c r="BD7" s="7">
        <v>6925</v>
      </c>
      <c r="BE7" s="7">
        <v>7217</v>
      </c>
      <c r="BF7" s="7">
        <v>7611</v>
      </c>
      <c r="BG7" s="7">
        <v>7966</v>
      </c>
      <c r="BH7" s="7">
        <v>8180</v>
      </c>
      <c r="BI7" s="7">
        <v>8337</v>
      </c>
      <c r="BJ7" s="7">
        <v>8435</v>
      </c>
      <c r="BK7" s="7">
        <v>8297</v>
      </c>
      <c r="BL7" s="7">
        <v>8222</v>
      </c>
      <c r="BM7" s="7">
        <v>8409</v>
      </c>
      <c r="BN7" s="7">
        <v>8336</v>
      </c>
      <c r="BO7" s="7">
        <v>8450</v>
      </c>
      <c r="BP7" s="7">
        <v>8598</v>
      </c>
      <c r="BQ7" s="7">
        <v>8923</v>
      </c>
      <c r="BR7" s="7">
        <v>9366</v>
      </c>
      <c r="BS7" s="7">
        <v>10155</v>
      </c>
      <c r="BT7" s="7">
        <v>10861</v>
      </c>
      <c r="BU7" s="7">
        <v>11579</v>
      </c>
      <c r="BV7" s="7">
        <v>11862</v>
      </c>
      <c r="BW7" s="7">
        <v>11240</v>
      </c>
      <c r="BX7" s="7">
        <v>11325</v>
      </c>
      <c r="BY7" s="7">
        <v>11897</v>
      </c>
      <c r="BZ7" s="7">
        <v>11761</v>
      </c>
      <c r="CA7" s="7">
        <v>11831</v>
      </c>
      <c r="CB7" s="7">
        <v>12512</v>
      </c>
      <c r="CC7" s="7">
        <v>12090</v>
      </c>
      <c r="CD7" s="7">
        <v>11868</v>
      </c>
      <c r="CE7" s="7">
        <v>12125</v>
      </c>
      <c r="CF7" s="7">
        <v>12762</v>
      </c>
      <c r="CG7" s="7">
        <v>12801</v>
      </c>
      <c r="CH7" s="7">
        <v>13026</v>
      </c>
      <c r="CI7" s="7">
        <v>12978</v>
      </c>
      <c r="CJ7" s="7">
        <v>13838</v>
      </c>
      <c r="CK7" s="7">
        <v>14268</v>
      </c>
      <c r="CL7" s="7">
        <v>14641</v>
      </c>
      <c r="CM7" s="7">
        <v>14889</v>
      </c>
      <c r="CN7" s="7">
        <v>15442</v>
      </c>
      <c r="CO7" s="7">
        <v>16756</v>
      </c>
      <c r="CQ7" s="7">
        <v>15704</v>
      </c>
      <c r="CR7" s="7">
        <v>16163</v>
      </c>
      <c r="CS7" s="7">
        <v>16731</v>
      </c>
    </row>
    <row r="8" spans="1:97" s="7" customFormat="1">
      <c r="A8" s="72" t="s">
        <v>13</v>
      </c>
      <c r="B8" s="9">
        <v>4177</v>
      </c>
      <c r="C8" s="7">
        <v>4050</v>
      </c>
      <c r="D8" s="7">
        <v>3894</v>
      </c>
      <c r="E8" s="7">
        <v>3962</v>
      </c>
      <c r="F8" s="7">
        <v>3841</v>
      </c>
      <c r="G8" s="7">
        <v>3735</v>
      </c>
      <c r="H8" s="7">
        <v>3714</v>
      </c>
      <c r="I8" s="7">
        <v>3422</v>
      </c>
      <c r="J8" s="7">
        <v>3348</v>
      </c>
      <c r="K8" s="7">
        <v>3296</v>
      </c>
      <c r="L8" s="7">
        <v>3394</v>
      </c>
      <c r="M8" s="7">
        <v>3404</v>
      </c>
      <c r="N8" s="7">
        <v>3519</v>
      </c>
      <c r="O8" s="7">
        <v>3497</v>
      </c>
      <c r="P8" s="7">
        <v>3588</v>
      </c>
      <c r="Q8" s="7">
        <v>3541</v>
      </c>
      <c r="R8" s="7">
        <v>3435</v>
      </c>
      <c r="S8" s="7">
        <v>3382</v>
      </c>
      <c r="T8" s="7">
        <v>3164</v>
      </c>
      <c r="U8" s="7">
        <v>3360</v>
      </c>
      <c r="V8" s="7">
        <v>3309</v>
      </c>
      <c r="W8" s="7">
        <v>3352</v>
      </c>
      <c r="X8" s="7">
        <v>3528</v>
      </c>
      <c r="Y8" s="7">
        <v>3688</v>
      </c>
      <c r="Z8" s="7">
        <v>3729</v>
      </c>
      <c r="AA8" s="7">
        <v>3690</v>
      </c>
      <c r="AB8" s="7">
        <v>3874</v>
      </c>
      <c r="AC8" s="7">
        <v>4041</v>
      </c>
      <c r="AD8" s="7">
        <v>4052</v>
      </c>
      <c r="AE8" s="7">
        <v>3889</v>
      </c>
      <c r="AF8" s="7">
        <v>3941</v>
      </c>
      <c r="AG8" s="7">
        <v>3966</v>
      </c>
      <c r="AH8" s="7">
        <v>4198</v>
      </c>
      <c r="AI8" s="7">
        <v>4410</v>
      </c>
      <c r="AJ8" s="7">
        <v>4534</v>
      </c>
      <c r="AK8" s="7">
        <v>4673</v>
      </c>
      <c r="AL8" s="7">
        <v>4616</v>
      </c>
      <c r="AM8" s="7">
        <v>4657</v>
      </c>
      <c r="AN8" s="7">
        <v>4746</v>
      </c>
      <c r="AO8" s="7">
        <v>4930</v>
      </c>
      <c r="AP8" s="7">
        <v>5154</v>
      </c>
      <c r="AQ8" s="7">
        <v>5683</v>
      </c>
      <c r="AR8" s="7">
        <v>5981</v>
      </c>
      <c r="AS8" s="7">
        <v>5990</v>
      </c>
      <c r="AU8" s="7">
        <v>6750</v>
      </c>
      <c r="AV8" s="7">
        <v>6665</v>
      </c>
      <c r="AW8" s="7">
        <v>6771</v>
      </c>
      <c r="AX8" s="79">
        <v>3110</v>
      </c>
      <c r="AY8" s="7">
        <v>3234</v>
      </c>
      <c r="AZ8" s="7">
        <v>3217</v>
      </c>
      <c r="BA8" s="7">
        <v>3162</v>
      </c>
      <c r="BB8" s="7">
        <v>3194</v>
      </c>
      <c r="BC8" s="7">
        <v>3262</v>
      </c>
      <c r="BD8" s="7">
        <v>3245</v>
      </c>
      <c r="BE8" s="7">
        <v>3159</v>
      </c>
      <c r="BF8" s="7">
        <v>3174</v>
      </c>
      <c r="BG8" s="7">
        <v>3412</v>
      </c>
      <c r="BH8" s="7">
        <v>3571</v>
      </c>
      <c r="BI8" s="7">
        <v>3551</v>
      </c>
      <c r="BJ8" s="7">
        <v>3724</v>
      </c>
      <c r="BK8" s="7">
        <v>3785</v>
      </c>
      <c r="BL8" s="7">
        <v>3843</v>
      </c>
      <c r="BM8" s="7">
        <v>3612</v>
      </c>
      <c r="BN8" s="7">
        <v>3848</v>
      </c>
      <c r="BO8" s="7">
        <v>3654</v>
      </c>
      <c r="BP8" s="7">
        <v>3853</v>
      </c>
      <c r="BQ8" s="7">
        <v>3940</v>
      </c>
      <c r="BR8" s="7">
        <v>4177</v>
      </c>
      <c r="BS8" s="7">
        <v>4377</v>
      </c>
      <c r="BT8" s="7">
        <v>4605</v>
      </c>
      <c r="BU8" s="7">
        <v>4761</v>
      </c>
      <c r="BV8" s="7">
        <v>4820</v>
      </c>
      <c r="BW8" s="7">
        <v>4933</v>
      </c>
      <c r="BX8" s="7">
        <v>5225</v>
      </c>
      <c r="BY8" s="7">
        <v>5173</v>
      </c>
      <c r="BZ8" s="7">
        <v>5170</v>
      </c>
      <c r="CA8" s="7">
        <v>5359</v>
      </c>
      <c r="CB8" s="7">
        <v>5464</v>
      </c>
      <c r="CC8" s="7">
        <v>5662</v>
      </c>
      <c r="CD8" s="7">
        <v>5880</v>
      </c>
      <c r="CE8" s="7">
        <v>6181</v>
      </c>
      <c r="CF8" s="7">
        <v>6250</v>
      </c>
      <c r="CG8" s="7">
        <v>6518</v>
      </c>
      <c r="CH8" s="7">
        <v>6724</v>
      </c>
      <c r="CI8" s="7">
        <v>6822</v>
      </c>
      <c r="CJ8" s="7">
        <v>6828</v>
      </c>
      <c r="CK8" s="7">
        <v>7097</v>
      </c>
      <c r="CL8" s="7">
        <v>7369</v>
      </c>
      <c r="CM8" s="7">
        <v>7576</v>
      </c>
      <c r="CN8" s="7">
        <v>8208</v>
      </c>
      <c r="CO8" s="7">
        <v>8328</v>
      </c>
      <c r="CQ8" s="7">
        <v>9131</v>
      </c>
      <c r="CR8" s="7">
        <v>9354</v>
      </c>
      <c r="CS8" s="7">
        <v>9336</v>
      </c>
    </row>
    <row r="9" spans="1:97" s="7" customFormat="1">
      <c r="A9" s="72" t="s">
        <v>55</v>
      </c>
      <c r="B9" s="9">
        <v>808</v>
      </c>
      <c r="C9" s="7">
        <v>836</v>
      </c>
      <c r="D9" s="7">
        <v>1175</v>
      </c>
      <c r="E9" s="7">
        <v>1299</v>
      </c>
      <c r="F9" s="7">
        <v>1373</v>
      </c>
      <c r="G9" s="7">
        <v>1419</v>
      </c>
      <c r="H9" s="7">
        <v>1380</v>
      </c>
      <c r="I9" s="7">
        <v>1509</v>
      </c>
      <c r="J9" s="7">
        <v>1460</v>
      </c>
      <c r="K9" s="7">
        <v>1463</v>
      </c>
      <c r="L9" s="7">
        <v>1507</v>
      </c>
      <c r="M9" s="7">
        <v>1497</v>
      </c>
      <c r="N9" s="7">
        <v>1412</v>
      </c>
      <c r="O9" s="7">
        <v>1414</v>
      </c>
      <c r="P9" s="7">
        <v>1409</v>
      </c>
      <c r="Q9" s="7">
        <v>1341</v>
      </c>
      <c r="R9" s="7">
        <v>1387</v>
      </c>
      <c r="S9" s="7">
        <v>1314</v>
      </c>
      <c r="T9" s="7">
        <v>1417</v>
      </c>
      <c r="U9" s="7">
        <v>1397</v>
      </c>
      <c r="V9" s="7">
        <v>1423</v>
      </c>
      <c r="W9" s="7">
        <v>1642</v>
      </c>
      <c r="X9" s="7">
        <v>1678</v>
      </c>
      <c r="Y9" s="7">
        <v>1760</v>
      </c>
      <c r="Z9" s="7">
        <v>1730</v>
      </c>
      <c r="AA9" s="7">
        <v>1773</v>
      </c>
      <c r="AB9" s="7">
        <v>1796</v>
      </c>
      <c r="AC9" s="7">
        <v>1723</v>
      </c>
      <c r="AD9" s="7">
        <v>1825</v>
      </c>
      <c r="AE9" s="7">
        <v>1797</v>
      </c>
      <c r="AF9" s="7">
        <v>1780</v>
      </c>
      <c r="AG9" s="7">
        <v>1685</v>
      </c>
      <c r="AH9" s="7">
        <v>1928</v>
      </c>
      <c r="AI9" s="7">
        <v>1948</v>
      </c>
      <c r="AJ9" s="7">
        <v>1930</v>
      </c>
      <c r="AK9" s="7">
        <v>2024</v>
      </c>
      <c r="AL9" s="7">
        <v>2052</v>
      </c>
      <c r="AM9" s="7">
        <v>2018</v>
      </c>
      <c r="AN9" s="7">
        <v>2048</v>
      </c>
      <c r="AO9" s="7">
        <v>2090</v>
      </c>
      <c r="AP9" s="7">
        <v>2086</v>
      </c>
      <c r="AQ9" s="7">
        <v>2222</v>
      </c>
      <c r="AR9" s="7">
        <v>2282</v>
      </c>
      <c r="AS9" s="7">
        <v>2391</v>
      </c>
      <c r="AU9" s="7">
        <v>2540</v>
      </c>
      <c r="AV9" s="7">
        <v>2670</v>
      </c>
      <c r="AW9" s="7">
        <v>2556</v>
      </c>
      <c r="AX9" s="79">
        <v>725</v>
      </c>
      <c r="AY9" s="7">
        <v>766</v>
      </c>
      <c r="AZ9" s="7">
        <v>928</v>
      </c>
      <c r="BA9" s="7">
        <v>1118</v>
      </c>
      <c r="BB9" s="7">
        <v>1178</v>
      </c>
      <c r="BC9" s="7">
        <v>1357</v>
      </c>
      <c r="BD9" s="7">
        <v>1428</v>
      </c>
      <c r="BE9" s="7">
        <v>1507</v>
      </c>
      <c r="BF9" s="7">
        <v>1537</v>
      </c>
      <c r="BG9" s="7">
        <v>1590</v>
      </c>
      <c r="BH9" s="7">
        <v>1769</v>
      </c>
      <c r="BI9" s="7">
        <v>1697</v>
      </c>
      <c r="BJ9" s="7">
        <v>1812</v>
      </c>
      <c r="BK9" s="7">
        <v>1867</v>
      </c>
      <c r="BL9" s="7">
        <v>1915</v>
      </c>
      <c r="BM9" s="7">
        <v>1796</v>
      </c>
      <c r="BN9" s="7">
        <v>1811</v>
      </c>
      <c r="BO9" s="7">
        <v>1932</v>
      </c>
      <c r="BP9" s="7">
        <v>2068</v>
      </c>
      <c r="BQ9" s="7">
        <v>2017</v>
      </c>
      <c r="BR9" s="7">
        <v>2116</v>
      </c>
      <c r="BS9" s="7">
        <v>2366</v>
      </c>
      <c r="BT9" s="7">
        <v>2443</v>
      </c>
      <c r="BU9" s="7">
        <v>2359</v>
      </c>
      <c r="BV9" s="7">
        <v>2457</v>
      </c>
      <c r="BW9" s="7">
        <v>2693</v>
      </c>
      <c r="BX9" s="7">
        <v>2588</v>
      </c>
      <c r="BY9" s="7">
        <v>2611</v>
      </c>
      <c r="BZ9" s="7">
        <v>2593</v>
      </c>
      <c r="CA9" s="7">
        <v>2757</v>
      </c>
      <c r="CB9" s="7">
        <v>2885</v>
      </c>
      <c r="CC9" s="7">
        <v>2819</v>
      </c>
      <c r="CD9" s="7">
        <v>3008</v>
      </c>
      <c r="CE9" s="7">
        <v>3216</v>
      </c>
      <c r="CF9" s="7">
        <v>3171</v>
      </c>
      <c r="CG9" s="7">
        <v>3223</v>
      </c>
      <c r="CH9" s="7">
        <v>3358</v>
      </c>
      <c r="CI9" s="7">
        <v>3095</v>
      </c>
      <c r="CJ9" s="7">
        <v>3274</v>
      </c>
      <c r="CK9" s="7">
        <v>3382</v>
      </c>
      <c r="CL9" s="7">
        <v>3406</v>
      </c>
      <c r="CM9" s="7">
        <v>3655</v>
      </c>
      <c r="CN9" s="7">
        <v>3603</v>
      </c>
      <c r="CO9" s="7">
        <v>3839</v>
      </c>
      <c r="CQ9" s="7">
        <v>4355</v>
      </c>
      <c r="CR9" s="7">
        <v>4318</v>
      </c>
      <c r="CS9" s="7">
        <v>4317</v>
      </c>
    </row>
    <row r="10" spans="1:97" s="7" customFormat="1">
      <c r="A10" s="72" t="s">
        <v>14</v>
      </c>
      <c r="B10" s="9">
        <v>11837</v>
      </c>
      <c r="C10" s="7">
        <v>12355</v>
      </c>
      <c r="D10" s="7">
        <v>13297</v>
      </c>
      <c r="E10" s="7">
        <v>14431</v>
      </c>
      <c r="F10" s="7">
        <v>15598</v>
      </c>
      <c r="G10" s="7">
        <v>14923</v>
      </c>
      <c r="H10" s="7">
        <v>15773</v>
      </c>
      <c r="I10" s="7">
        <v>16117</v>
      </c>
      <c r="J10" s="7">
        <v>15415</v>
      </c>
      <c r="K10" s="7">
        <v>15738</v>
      </c>
      <c r="L10" s="7">
        <v>15432</v>
      </c>
      <c r="M10" s="7">
        <v>15970</v>
      </c>
      <c r="N10" s="7">
        <v>15344</v>
      </c>
      <c r="O10" s="7">
        <v>16386</v>
      </c>
      <c r="P10" s="7">
        <v>15768</v>
      </c>
      <c r="Q10" s="7">
        <v>16037</v>
      </c>
      <c r="R10" s="7">
        <v>16471</v>
      </c>
      <c r="S10" s="7">
        <v>15577</v>
      </c>
      <c r="T10" s="7">
        <v>16137</v>
      </c>
      <c r="U10" s="7">
        <v>16527</v>
      </c>
      <c r="V10" s="7">
        <v>17094</v>
      </c>
      <c r="W10" s="7">
        <v>18289</v>
      </c>
      <c r="X10" s="7">
        <v>19033</v>
      </c>
      <c r="Y10" s="7">
        <v>20175</v>
      </c>
      <c r="Z10" s="7">
        <v>20312</v>
      </c>
      <c r="AA10" s="7">
        <v>20773</v>
      </c>
      <c r="AB10" s="7">
        <v>21230</v>
      </c>
      <c r="AC10" s="7">
        <v>21548</v>
      </c>
      <c r="AD10" s="7">
        <v>21442</v>
      </c>
      <c r="AE10" s="7">
        <v>21870</v>
      </c>
      <c r="AF10" s="7">
        <v>22394</v>
      </c>
      <c r="AG10" s="7">
        <v>22664</v>
      </c>
      <c r="AH10" s="7">
        <v>24160</v>
      </c>
      <c r="AI10" s="7">
        <v>25149</v>
      </c>
      <c r="AJ10" s="7">
        <v>27223</v>
      </c>
      <c r="AK10" s="7">
        <v>27683</v>
      </c>
      <c r="AL10" s="7">
        <v>29401</v>
      </c>
      <c r="AM10" s="7">
        <v>31224</v>
      </c>
      <c r="AN10" s="7">
        <v>32863</v>
      </c>
      <c r="AO10" s="7">
        <v>34448</v>
      </c>
      <c r="AP10" s="7">
        <v>35400</v>
      </c>
      <c r="AQ10" s="7">
        <v>36643</v>
      </c>
      <c r="AR10" s="7">
        <v>38500</v>
      </c>
      <c r="AS10" s="7">
        <v>39823</v>
      </c>
      <c r="AU10" s="7">
        <v>42547</v>
      </c>
      <c r="AV10" s="7">
        <v>43093</v>
      </c>
      <c r="AW10" s="7">
        <v>43640</v>
      </c>
      <c r="AX10" s="79">
        <v>7936</v>
      </c>
      <c r="AY10" s="7">
        <v>8578</v>
      </c>
      <c r="AZ10" s="7">
        <v>9520</v>
      </c>
      <c r="BA10" s="7">
        <v>9821</v>
      </c>
      <c r="BB10" s="7">
        <v>11239</v>
      </c>
      <c r="BC10" s="7">
        <v>11390</v>
      </c>
      <c r="BD10" s="7">
        <v>11767</v>
      </c>
      <c r="BE10" s="7">
        <v>12183</v>
      </c>
      <c r="BF10" s="7">
        <v>12355</v>
      </c>
      <c r="BG10" s="7">
        <v>12785</v>
      </c>
      <c r="BH10" s="7">
        <v>13197</v>
      </c>
      <c r="BI10" s="7">
        <v>14018</v>
      </c>
      <c r="BJ10" s="7">
        <v>13212</v>
      </c>
      <c r="BK10" s="7">
        <v>14798</v>
      </c>
      <c r="BL10" s="7">
        <v>14334</v>
      </c>
      <c r="BM10" s="7">
        <v>15252</v>
      </c>
      <c r="BN10" s="7">
        <v>15585</v>
      </c>
      <c r="BO10" s="7">
        <v>15853</v>
      </c>
      <c r="BP10" s="7">
        <v>16208</v>
      </c>
      <c r="BQ10" s="7">
        <v>17512</v>
      </c>
      <c r="BR10" s="7">
        <v>18506</v>
      </c>
      <c r="BS10" s="7">
        <v>20638</v>
      </c>
      <c r="BT10" s="7">
        <v>22057</v>
      </c>
      <c r="BU10" s="7">
        <v>23037</v>
      </c>
      <c r="BV10" s="7">
        <v>23763</v>
      </c>
      <c r="BW10" s="7">
        <v>24151</v>
      </c>
      <c r="BX10" s="7">
        <v>25081</v>
      </c>
      <c r="BY10" s="7">
        <v>25982</v>
      </c>
      <c r="BZ10" s="7">
        <v>27021</v>
      </c>
      <c r="CA10" s="7">
        <v>27661</v>
      </c>
      <c r="CB10" s="7">
        <v>28939</v>
      </c>
      <c r="CC10" s="7">
        <v>29893</v>
      </c>
      <c r="CD10" s="7">
        <v>32191</v>
      </c>
      <c r="CE10" s="7">
        <v>34024</v>
      </c>
      <c r="CF10" s="7">
        <v>36476</v>
      </c>
      <c r="CG10" s="7">
        <v>38156</v>
      </c>
      <c r="CH10" s="7">
        <v>40498</v>
      </c>
      <c r="CI10" s="7">
        <v>42650</v>
      </c>
      <c r="CJ10" s="7">
        <v>44597</v>
      </c>
      <c r="CK10" s="7">
        <v>45827</v>
      </c>
      <c r="CL10" s="7">
        <v>47970</v>
      </c>
      <c r="CM10" s="7">
        <v>49555</v>
      </c>
      <c r="CN10" s="7">
        <v>52083</v>
      </c>
      <c r="CO10" s="7">
        <v>54007</v>
      </c>
      <c r="CQ10" s="7">
        <v>57301</v>
      </c>
      <c r="CR10" s="7">
        <v>58148</v>
      </c>
      <c r="CS10" s="7">
        <v>59378</v>
      </c>
    </row>
    <row r="11" spans="1:97" s="7" customFormat="1">
      <c r="A11" s="72" t="s">
        <v>15</v>
      </c>
      <c r="B11" s="9">
        <v>7765</v>
      </c>
      <c r="C11" s="7">
        <v>8564</v>
      </c>
      <c r="D11" s="7">
        <v>8825</v>
      </c>
      <c r="E11" s="7">
        <v>8863</v>
      </c>
      <c r="F11" s="7">
        <v>9305</v>
      </c>
      <c r="G11" s="7">
        <v>8814</v>
      </c>
      <c r="H11" s="7">
        <v>8926</v>
      </c>
      <c r="I11" s="7">
        <v>8697</v>
      </c>
      <c r="J11" s="7">
        <v>8476</v>
      </c>
      <c r="K11" s="7">
        <v>8294</v>
      </c>
      <c r="L11" s="7">
        <v>8217</v>
      </c>
      <c r="M11" s="7">
        <v>8388</v>
      </c>
      <c r="N11" s="7">
        <v>8416</v>
      </c>
      <c r="O11" s="7">
        <v>8606</v>
      </c>
      <c r="P11" s="7">
        <v>8581</v>
      </c>
      <c r="Q11" s="7">
        <v>8890</v>
      </c>
      <c r="R11" s="7">
        <v>9008</v>
      </c>
      <c r="S11" s="7">
        <v>8841</v>
      </c>
      <c r="T11" s="7">
        <v>8941</v>
      </c>
      <c r="U11" s="7">
        <v>9150</v>
      </c>
      <c r="V11" s="7">
        <v>9758</v>
      </c>
      <c r="W11" s="7">
        <v>9998</v>
      </c>
      <c r="X11" s="7">
        <v>10401</v>
      </c>
      <c r="Y11" s="7">
        <v>11304</v>
      </c>
      <c r="Z11" s="7">
        <v>11613</v>
      </c>
      <c r="AA11" s="7">
        <v>11519</v>
      </c>
      <c r="AB11" s="7">
        <v>11712</v>
      </c>
      <c r="AC11" s="7">
        <v>11650</v>
      </c>
      <c r="AD11" s="7">
        <v>12255</v>
      </c>
      <c r="AE11" s="7">
        <v>11938</v>
      </c>
      <c r="AF11" s="7">
        <v>11921</v>
      </c>
      <c r="AG11" s="7">
        <v>11944</v>
      </c>
      <c r="AH11" s="7">
        <v>12338</v>
      </c>
      <c r="AI11" s="7">
        <v>13195</v>
      </c>
      <c r="AJ11" s="7">
        <v>15092</v>
      </c>
      <c r="AK11" s="7">
        <v>14153</v>
      </c>
      <c r="AL11" s="7">
        <v>14553</v>
      </c>
      <c r="AM11" s="7">
        <v>15290</v>
      </c>
      <c r="AN11" s="7">
        <v>15787</v>
      </c>
      <c r="AO11" s="7">
        <v>16154</v>
      </c>
      <c r="AP11" s="7">
        <v>17050</v>
      </c>
      <c r="AQ11" s="7">
        <v>18067</v>
      </c>
      <c r="AR11" s="7">
        <v>18405</v>
      </c>
      <c r="AS11" s="7">
        <v>19014</v>
      </c>
      <c r="AU11" s="7">
        <v>19738</v>
      </c>
      <c r="AV11" s="7">
        <v>20414</v>
      </c>
      <c r="AW11" s="7">
        <v>20709</v>
      </c>
      <c r="AX11" s="79">
        <v>6146</v>
      </c>
      <c r="AY11" s="7">
        <v>6553</v>
      </c>
      <c r="AZ11" s="7">
        <v>7088</v>
      </c>
      <c r="BA11" s="7">
        <v>7169</v>
      </c>
      <c r="BB11" s="7">
        <v>7616</v>
      </c>
      <c r="BC11" s="7">
        <v>7945</v>
      </c>
      <c r="BD11" s="7">
        <v>7865</v>
      </c>
      <c r="BE11" s="7">
        <v>7680</v>
      </c>
      <c r="BF11" s="7">
        <v>7875</v>
      </c>
      <c r="BG11" s="7">
        <v>7841</v>
      </c>
      <c r="BH11" s="7">
        <v>8362</v>
      </c>
      <c r="BI11" s="7">
        <v>8626</v>
      </c>
      <c r="BJ11" s="7">
        <v>8909</v>
      </c>
      <c r="BK11" s="7">
        <v>9314</v>
      </c>
      <c r="BL11" s="7">
        <v>9160</v>
      </c>
      <c r="BM11" s="7">
        <v>9511</v>
      </c>
      <c r="BN11" s="7">
        <v>9726</v>
      </c>
      <c r="BO11" s="7">
        <v>10262</v>
      </c>
      <c r="BP11" s="7">
        <v>10540</v>
      </c>
      <c r="BQ11" s="7">
        <v>10733</v>
      </c>
      <c r="BR11" s="7">
        <v>11657</v>
      </c>
      <c r="BS11" s="7">
        <v>12324</v>
      </c>
      <c r="BT11" s="7">
        <v>13092</v>
      </c>
      <c r="BU11" s="7">
        <v>14086</v>
      </c>
      <c r="BV11" s="7">
        <v>14670</v>
      </c>
      <c r="BW11" s="7">
        <v>14793</v>
      </c>
      <c r="BX11" s="7">
        <v>15734</v>
      </c>
      <c r="BY11" s="7">
        <v>15869</v>
      </c>
      <c r="BZ11" s="7">
        <v>17153</v>
      </c>
      <c r="CA11" s="7">
        <v>16977</v>
      </c>
      <c r="CB11" s="7">
        <v>17298</v>
      </c>
      <c r="CC11" s="7">
        <v>16846</v>
      </c>
      <c r="CD11" s="7">
        <v>17661</v>
      </c>
      <c r="CE11" s="7">
        <v>18758</v>
      </c>
      <c r="CF11" s="7">
        <v>21070</v>
      </c>
      <c r="CG11" s="7">
        <v>21362</v>
      </c>
      <c r="CH11" s="7">
        <v>21779</v>
      </c>
      <c r="CI11" s="7">
        <v>22128</v>
      </c>
      <c r="CJ11" s="7">
        <v>23248</v>
      </c>
      <c r="CK11" s="7">
        <v>24307</v>
      </c>
      <c r="CL11" s="7">
        <v>25195</v>
      </c>
      <c r="CM11" s="7">
        <v>26559</v>
      </c>
      <c r="CN11" s="7">
        <v>27409</v>
      </c>
      <c r="CO11" s="7">
        <v>28175</v>
      </c>
      <c r="CQ11" s="7">
        <v>29205</v>
      </c>
      <c r="CR11" s="7">
        <v>29324</v>
      </c>
      <c r="CS11" s="7">
        <v>30277</v>
      </c>
    </row>
    <row r="12" spans="1:97" s="7" customFormat="1">
      <c r="A12" s="72" t="s">
        <v>16</v>
      </c>
      <c r="B12" s="9">
        <v>6826</v>
      </c>
      <c r="C12" s="7">
        <v>6858</v>
      </c>
      <c r="D12" s="7">
        <v>6630</v>
      </c>
      <c r="E12" s="7">
        <v>6864</v>
      </c>
      <c r="F12" s="7">
        <v>6807</v>
      </c>
      <c r="G12" s="7">
        <v>6414</v>
      </c>
      <c r="H12" s="7">
        <v>6352</v>
      </c>
      <c r="I12" s="7">
        <v>5956</v>
      </c>
      <c r="J12" s="7">
        <v>5747</v>
      </c>
      <c r="K12" s="7">
        <v>5659</v>
      </c>
      <c r="L12" s="7">
        <v>5686</v>
      </c>
      <c r="M12" s="7">
        <v>5655</v>
      </c>
      <c r="N12" s="7">
        <v>5534</v>
      </c>
      <c r="O12" s="7">
        <v>5560</v>
      </c>
      <c r="P12" s="7">
        <v>5611</v>
      </c>
      <c r="Q12" s="7">
        <v>5575</v>
      </c>
      <c r="R12" s="7">
        <v>5526</v>
      </c>
      <c r="S12" s="7">
        <v>5406</v>
      </c>
      <c r="T12" s="7">
        <v>5476</v>
      </c>
      <c r="U12" s="7">
        <v>5480</v>
      </c>
      <c r="V12" s="7">
        <v>5453</v>
      </c>
      <c r="W12" s="7">
        <v>5623</v>
      </c>
      <c r="X12" s="7">
        <v>5991</v>
      </c>
      <c r="Y12" s="7">
        <v>6040</v>
      </c>
      <c r="Z12" s="7">
        <v>6319</v>
      </c>
      <c r="AA12" s="7">
        <v>6211</v>
      </c>
      <c r="AB12" s="7">
        <v>6421</v>
      </c>
      <c r="AC12" s="7">
        <v>6427</v>
      </c>
      <c r="AD12" s="7">
        <v>6335</v>
      </c>
      <c r="AE12" s="7">
        <v>6498</v>
      </c>
      <c r="AF12" s="7">
        <v>6529</v>
      </c>
      <c r="AG12" s="7">
        <v>6344</v>
      </c>
      <c r="AH12" s="7">
        <v>6778</v>
      </c>
      <c r="AI12" s="7">
        <v>6604</v>
      </c>
      <c r="AJ12" s="7">
        <v>7061</v>
      </c>
      <c r="AK12" s="7">
        <v>7371</v>
      </c>
      <c r="AL12" s="7">
        <v>7563</v>
      </c>
      <c r="AM12" s="7">
        <v>7874</v>
      </c>
      <c r="AN12" s="7">
        <v>8117</v>
      </c>
      <c r="AO12" s="7">
        <v>8327</v>
      </c>
      <c r="AP12" s="7">
        <v>8389</v>
      </c>
      <c r="AQ12" s="7">
        <v>8826</v>
      </c>
      <c r="AR12" s="7">
        <v>9164</v>
      </c>
      <c r="AS12" s="7">
        <v>9313</v>
      </c>
      <c r="AU12" s="7">
        <v>9611</v>
      </c>
      <c r="AV12" s="7">
        <v>9830</v>
      </c>
      <c r="AW12" s="7">
        <v>9922</v>
      </c>
      <c r="AX12" s="79">
        <v>5192</v>
      </c>
      <c r="AY12" s="7">
        <v>5601</v>
      </c>
      <c r="AZ12" s="7">
        <v>5679</v>
      </c>
      <c r="BA12" s="7">
        <v>5852</v>
      </c>
      <c r="BB12" s="7">
        <v>5732</v>
      </c>
      <c r="BC12" s="7">
        <v>5586</v>
      </c>
      <c r="BD12" s="7">
        <v>5467</v>
      </c>
      <c r="BE12" s="7">
        <v>5381</v>
      </c>
      <c r="BF12" s="7">
        <v>5479</v>
      </c>
      <c r="BG12" s="7">
        <v>5561</v>
      </c>
      <c r="BH12" s="7">
        <v>5805</v>
      </c>
      <c r="BI12" s="7">
        <v>5854</v>
      </c>
      <c r="BJ12" s="7">
        <v>6052</v>
      </c>
      <c r="BK12" s="7">
        <v>6031</v>
      </c>
      <c r="BL12" s="7">
        <v>6106</v>
      </c>
      <c r="BM12" s="7">
        <v>5997</v>
      </c>
      <c r="BN12" s="7">
        <v>6247</v>
      </c>
      <c r="BO12" s="7">
        <v>6301</v>
      </c>
      <c r="BP12" s="7">
        <v>6598</v>
      </c>
      <c r="BQ12" s="7">
        <v>6857</v>
      </c>
      <c r="BR12" s="7">
        <v>6772</v>
      </c>
      <c r="BS12" s="7">
        <v>7350</v>
      </c>
      <c r="BT12" s="7">
        <v>7870</v>
      </c>
      <c r="BU12" s="7">
        <v>8356</v>
      </c>
      <c r="BV12" s="7">
        <v>8310</v>
      </c>
      <c r="BW12" s="7">
        <v>8359</v>
      </c>
      <c r="BX12" s="7">
        <v>8259</v>
      </c>
      <c r="BY12" s="7">
        <v>8247</v>
      </c>
      <c r="BZ12" s="7">
        <v>8642</v>
      </c>
      <c r="CA12" s="7">
        <v>9018</v>
      </c>
      <c r="CB12" s="7">
        <v>9114</v>
      </c>
      <c r="CC12" s="7">
        <v>9090</v>
      </c>
      <c r="CD12" s="7">
        <v>9623</v>
      </c>
      <c r="CE12" s="7">
        <v>9650</v>
      </c>
      <c r="CF12" s="7">
        <v>10182</v>
      </c>
      <c r="CG12" s="7">
        <v>10491</v>
      </c>
      <c r="CH12" s="7">
        <v>11083</v>
      </c>
      <c r="CI12" s="7">
        <v>11205</v>
      </c>
      <c r="CJ12" s="7">
        <v>11522</v>
      </c>
      <c r="CK12" s="7">
        <v>11669</v>
      </c>
      <c r="CL12" s="7">
        <v>11975</v>
      </c>
      <c r="CM12" s="7">
        <v>12251</v>
      </c>
      <c r="CN12" s="7">
        <v>12361</v>
      </c>
      <c r="CO12" s="7">
        <v>12552</v>
      </c>
      <c r="CQ12" s="7">
        <v>12997</v>
      </c>
      <c r="CR12" s="7">
        <v>13391</v>
      </c>
      <c r="CS12" s="7">
        <v>13830</v>
      </c>
    </row>
    <row r="13" spans="1:97" s="7" customFormat="1">
      <c r="A13" s="72" t="s">
        <v>17</v>
      </c>
      <c r="B13" s="9">
        <v>7528</v>
      </c>
      <c r="C13" s="7">
        <v>7670</v>
      </c>
      <c r="D13" s="7">
        <v>7662</v>
      </c>
      <c r="E13" s="7">
        <v>8055</v>
      </c>
      <c r="F13" s="7">
        <v>8570</v>
      </c>
      <c r="G13" s="7">
        <v>8359</v>
      </c>
      <c r="H13" s="7">
        <v>8348</v>
      </c>
      <c r="I13" s="7">
        <v>8035</v>
      </c>
      <c r="J13" s="7">
        <v>7710</v>
      </c>
      <c r="K13" s="7">
        <v>7431</v>
      </c>
      <c r="L13" s="7">
        <v>7295</v>
      </c>
      <c r="M13" s="7">
        <v>7243</v>
      </c>
      <c r="N13" s="7">
        <v>7551</v>
      </c>
      <c r="O13" s="7">
        <v>7610</v>
      </c>
      <c r="P13" s="7">
        <v>8031</v>
      </c>
      <c r="Q13" s="7">
        <v>7925</v>
      </c>
      <c r="R13" s="7">
        <v>8101</v>
      </c>
      <c r="S13" s="7">
        <v>7932</v>
      </c>
      <c r="T13" s="7">
        <v>7894</v>
      </c>
      <c r="U13" s="7">
        <v>7627</v>
      </c>
      <c r="V13" s="7">
        <v>7268</v>
      </c>
      <c r="W13" s="7">
        <v>7171</v>
      </c>
      <c r="X13" s="7">
        <v>7327</v>
      </c>
      <c r="Y13" s="7">
        <v>7531</v>
      </c>
      <c r="Z13" s="7">
        <v>7456</v>
      </c>
      <c r="AA13" s="7">
        <v>7536</v>
      </c>
      <c r="AB13" s="7">
        <v>7515</v>
      </c>
      <c r="AC13" s="7">
        <v>7218</v>
      </c>
      <c r="AD13" s="7">
        <v>7616</v>
      </c>
      <c r="AE13" s="7">
        <v>7417</v>
      </c>
      <c r="AF13" s="7">
        <v>7982</v>
      </c>
      <c r="AG13" s="7">
        <v>8091</v>
      </c>
      <c r="AH13" s="7">
        <v>8038</v>
      </c>
      <c r="AI13" s="7">
        <v>8317</v>
      </c>
      <c r="AJ13" s="7">
        <v>8450</v>
      </c>
      <c r="AK13" s="7">
        <v>8525</v>
      </c>
      <c r="AL13" s="7">
        <v>7747</v>
      </c>
      <c r="AM13" s="7">
        <v>8674</v>
      </c>
      <c r="AN13" s="7">
        <v>8455</v>
      </c>
      <c r="AO13" s="7">
        <v>8450</v>
      </c>
      <c r="AP13" s="7">
        <v>8391</v>
      </c>
      <c r="AQ13" s="7">
        <v>8521</v>
      </c>
      <c r="AR13" s="7">
        <v>8969</v>
      </c>
      <c r="AS13" s="7">
        <v>9024</v>
      </c>
      <c r="AU13" s="7">
        <v>8885</v>
      </c>
      <c r="AV13" s="7">
        <v>8857</v>
      </c>
      <c r="AW13" s="7">
        <v>8774</v>
      </c>
      <c r="AX13" s="79">
        <v>3089</v>
      </c>
      <c r="AY13" s="7">
        <v>6381</v>
      </c>
      <c r="AZ13" s="7">
        <v>6597</v>
      </c>
      <c r="BA13" s="7">
        <v>7173</v>
      </c>
      <c r="BB13" s="7">
        <v>7405</v>
      </c>
      <c r="BC13" s="7">
        <v>7702</v>
      </c>
      <c r="BD13" s="7">
        <v>7621</v>
      </c>
      <c r="BE13" s="7">
        <v>7335</v>
      </c>
      <c r="BF13" s="7">
        <v>7597</v>
      </c>
      <c r="BG13" s="7">
        <v>7334</v>
      </c>
      <c r="BH13" s="7">
        <v>7479</v>
      </c>
      <c r="BI13" s="7">
        <v>7578</v>
      </c>
      <c r="BJ13" s="7">
        <v>7762</v>
      </c>
      <c r="BK13" s="7">
        <v>7923</v>
      </c>
      <c r="BL13" s="7">
        <v>7989</v>
      </c>
      <c r="BM13" s="7">
        <v>8145</v>
      </c>
      <c r="BN13" s="7">
        <v>8434</v>
      </c>
      <c r="BO13" s="7">
        <v>8289</v>
      </c>
      <c r="BP13" s="7">
        <v>8473</v>
      </c>
      <c r="BQ13" s="7">
        <v>8583</v>
      </c>
      <c r="BR13" s="7">
        <v>8637</v>
      </c>
      <c r="BS13" s="7">
        <v>9138</v>
      </c>
      <c r="BT13" s="7">
        <v>9658</v>
      </c>
      <c r="BU13" s="7">
        <v>10294</v>
      </c>
      <c r="BV13" s="7">
        <v>10331</v>
      </c>
      <c r="BW13" s="7">
        <v>10384</v>
      </c>
      <c r="BX13" s="7">
        <v>10470</v>
      </c>
      <c r="BY13" s="7">
        <v>10289</v>
      </c>
      <c r="BZ13" s="7">
        <v>10937</v>
      </c>
      <c r="CA13" s="7">
        <v>11350</v>
      </c>
      <c r="CB13" s="7">
        <v>11862</v>
      </c>
      <c r="CC13" s="7">
        <v>11899</v>
      </c>
      <c r="CD13" s="7">
        <v>12274</v>
      </c>
      <c r="CE13" s="7">
        <v>12865</v>
      </c>
      <c r="CF13" s="7">
        <v>12886</v>
      </c>
      <c r="CG13" s="7">
        <v>12969</v>
      </c>
      <c r="CH13" s="7">
        <v>12189</v>
      </c>
      <c r="CI13" s="7">
        <v>12997</v>
      </c>
      <c r="CJ13" s="7">
        <v>12708</v>
      </c>
      <c r="CK13" s="7">
        <v>12975</v>
      </c>
      <c r="CL13" s="7">
        <v>12502</v>
      </c>
      <c r="CM13" s="7">
        <v>12988</v>
      </c>
      <c r="CN13" s="7">
        <v>13046</v>
      </c>
      <c r="CO13" s="7">
        <v>13310</v>
      </c>
      <c r="CQ13" s="7">
        <v>13362</v>
      </c>
      <c r="CR13" s="7">
        <v>13745</v>
      </c>
      <c r="CS13" s="7">
        <v>13768</v>
      </c>
    </row>
    <row r="14" spans="1:97" s="7" customFormat="1">
      <c r="A14" s="72" t="s">
        <v>18</v>
      </c>
      <c r="B14" s="9">
        <v>6858</v>
      </c>
      <c r="C14" s="7">
        <v>7043</v>
      </c>
      <c r="D14" s="7">
        <v>7485</v>
      </c>
      <c r="E14" s="7">
        <v>8098</v>
      </c>
      <c r="F14" s="7">
        <v>8676</v>
      </c>
      <c r="G14" s="7">
        <v>8528</v>
      </c>
      <c r="H14" s="7">
        <v>8656</v>
      </c>
      <c r="I14" s="7">
        <v>8568</v>
      </c>
      <c r="J14" s="7">
        <v>8340</v>
      </c>
      <c r="K14" s="7">
        <v>7707</v>
      </c>
      <c r="L14" s="7">
        <v>7472</v>
      </c>
      <c r="M14" s="7">
        <v>7590</v>
      </c>
      <c r="N14" s="7">
        <v>7472</v>
      </c>
      <c r="O14" s="7">
        <v>7245</v>
      </c>
      <c r="P14" s="7">
        <v>7253</v>
      </c>
      <c r="Q14" s="7">
        <v>7217</v>
      </c>
      <c r="R14" s="7">
        <v>7702</v>
      </c>
      <c r="S14" s="7">
        <v>7507</v>
      </c>
      <c r="T14" s="7">
        <v>7643</v>
      </c>
      <c r="U14" s="7">
        <v>7908</v>
      </c>
      <c r="V14" s="7">
        <v>8245</v>
      </c>
      <c r="W14" s="7">
        <v>8414</v>
      </c>
      <c r="X14" s="7">
        <v>8819</v>
      </c>
      <c r="Y14" s="7">
        <v>9037</v>
      </c>
      <c r="Z14" s="7">
        <v>9051</v>
      </c>
      <c r="AA14" s="7">
        <v>8643</v>
      </c>
      <c r="AB14" s="7">
        <v>8545</v>
      </c>
      <c r="AC14" s="7">
        <v>8711</v>
      </c>
      <c r="AD14" s="7">
        <v>8749</v>
      </c>
      <c r="AE14" s="7">
        <v>8733</v>
      </c>
      <c r="AF14" s="7">
        <v>8664</v>
      </c>
      <c r="AG14" s="7">
        <v>9167</v>
      </c>
      <c r="AH14" s="7">
        <v>9245</v>
      </c>
      <c r="AI14" s="7">
        <v>9662</v>
      </c>
      <c r="AJ14" s="7">
        <v>9987</v>
      </c>
      <c r="AK14" s="7">
        <v>10428</v>
      </c>
      <c r="AL14" s="7">
        <v>10577</v>
      </c>
      <c r="AM14" s="7">
        <v>10602</v>
      </c>
      <c r="AN14" s="7">
        <v>10806</v>
      </c>
      <c r="AO14" s="7">
        <v>11344</v>
      </c>
      <c r="AP14" s="7">
        <v>11512</v>
      </c>
      <c r="AQ14" s="7">
        <v>12255</v>
      </c>
      <c r="AR14" s="7">
        <v>13106</v>
      </c>
      <c r="AS14" s="7">
        <v>13668</v>
      </c>
      <c r="AU14" s="7">
        <v>14503</v>
      </c>
      <c r="AV14" s="7">
        <v>14952</v>
      </c>
      <c r="AW14" s="7">
        <v>14929</v>
      </c>
      <c r="AX14" s="79">
        <v>5218</v>
      </c>
      <c r="AY14" s="7">
        <v>5555</v>
      </c>
      <c r="AZ14" s="7">
        <v>6330</v>
      </c>
      <c r="BA14" s="7">
        <v>6694</v>
      </c>
      <c r="BB14" s="7">
        <v>7505</v>
      </c>
      <c r="BC14" s="7">
        <v>7711</v>
      </c>
      <c r="BD14" s="7">
        <v>7474</v>
      </c>
      <c r="BE14" s="7">
        <v>7769</v>
      </c>
      <c r="BF14" s="7">
        <v>8061</v>
      </c>
      <c r="BG14" s="7">
        <v>7843</v>
      </c>
      <c r="BH14" s="7">
        <v>8226</v>
      </c>
      <c r="BI14" s="7">
        <v>8269</v>
      </c>
      <c r="BJ14" s="7">
        <v>8639</v>
      </c>
      <c r="BK14" s="7">
        <v>8811</v>
      </c>
      <c r="BL14" s="7">
        <v>8587</v>
      </c>
      <c r="BM14" s="7">
        <v>8473</v>
      </c>
      <c r="BN14" s="7">
        <v>8880</v>
      </c>
      <c r="BO14" s="7">
        <v>9253</v>
      </c>
      <c r="BP14" s="7">
        <v>9691</v>
      </c>
      <c r="BQ14" s="7">
        <v>10020</v>
      </c>
      <c r="BR14" s="7">
        <v>10248</v>
      </c>
      <c r="BS14" s="7">
        <v>10821</v>
      </c>
      <c r="BT14" s="7">
        <v>11505</v>
      </c>
      <c r="BU14" s="7">
        <v>11390</v>
      </c>
      <c r="BV14" s="7">
        <v>11669</v>
      </c>
      <c r="BW14" s="7">
        <v>11265</v>
      </c>
      <c r="BX14" s="7">
        <v>11397</v>
      </c>
      <c r="BY14" s="7">
        <v>11673</v>
      </c>
      <c r="BZ14" s="7">
        <v>12060</v>
      </c>
      <c r="CA14" s="7">
        <v>12215</v>
      </c>
      <c r="CB14" s="7">
        <v>12472</v>
      </c>
      <c r="CC14" s="7">
        <v>12918</v>
      </c>
      <c r="CD14" s="7">
        <v>13085</v>
      </c>
      <c r="CE14" s="7">
        <v>13894</v>
      </c>
      <c r="CF14" s="7">
        <v>14012</v>
      </c>
      <c r="CG14" s="7">
        <v>14590</v>
      </c>
      <c r="CH14" s="7">
        <v>15116</v>
      </c>
      <c r="CI14" s="7">
        <v>15092</v>
      </c>
      <c r="CJ14" s="7">
        <v>15279</v>
      </c>
      <c r="CK14" s="7">
        <v>15510</v>
      </c>
      <c r="CL14" s="7">
        <v>16060</v>
      </c>
      <c r="CM14" s="7">
        <v>16992</v>
      </c>
      <c r="CN14" s="7">
        <v>17757</v>
      </c>
      <c r="CO14" s="7">
        <v>18061</v>
      </c>
      <c r="CQ14" s="7">
        <v>18716</v>
      </c>
      <c r="CR14" s="7">
        <v>18930</v>
      </c>
      <c r="CS14" s="7">
        <v>19221</v>
      </c>
    </row>
    <row r="15" spans="1:97" s="7" customFormat="1">
      <c r="A15" s="72" t="s">
        <v>19</v>
      </c>
      <c r="B15" s="9">
        <v>4657</v>
      </c>
      <c r="C15" s="7">
        <v>4591</v>
      </c>
      <c r="D15" s="7">
        <v>4703</v>
      </c>
      <c r="E15" s="7">
        <v>4771</v>
      </c>
      <c r="F15" s="7">
        <v>4936</v>
      </c>
      <c r="G15" s="7">
        <v>4830</v>
      </c>
      <c r="H15" s="7">
        <v>4610</v>
      </c>
      <c r="I15" s="7">
        <v>4384</v>
      </c>
      <c r="J15" s="7">
        <v>4320</v>
      </c>
      <c r="K15" s="7">
        <v>4054</v>
      </c>
      <c r="L15" s="7">
        <v>4044</v>
      </c>
      <c r="M15" s="7">
        <v>4149</v>
      </c>
      <c r="N15" s="7">
        <v>3891</v>
      </c>
      <c r="O15" s="7">
        <v>4116</v>
      </c>
      <c r="P15" s="7">
        <v>4079</v>
      </c>
      <c r="Q15" s="7">
        <v>4075</v>
      </c>
      <c r="R15" s="7">
        <v>4143</v>
      </c>
      <c r="S15" s="7">
        <v>4275</v>
      </c>
      <c r="T15" s="7">
        <v>3859</v>
      </c>
      <c r="U15" s="7">
        <v>3749</v>
      </c>
      <c r="V15" s="7">
        <v>3875</v>
      </c>
      <c r="W15" s="7">
        <v>3834</v>
      </c>
      <c r="X15" s="7">
        <v>4120</v>
      </c>
      <c r="Y15" s="7">
        <v>4550</v>
      </c>
      <c r="Z15" s="7">
        <v>4398</v>
      </c>
      <c r="AA15" s="7">
        <v>4392</v>
      </c>
      <c r="AB15" s="7">
        <v>4276</v>
      </c>
      <c r="AC15" s="7">
        <v>4315</v>
      </c>
      <c r="AD15" s="7">
        <v>4229</v>
      </c>
      <c r="AE15" s="7">
        <v>4328</v>
      </c>
      <c r="AF15" s="7">
        <v>4449</v>
      </c>
      <c r="AG15" s="7">
        <v>4523</v>
      </c>
      <c r="AH15" s="7">
        <v>4803</v>
      </c>
      <c r="AI15" s="7">
        <v>4649</v>
      </c>
      <c r="AJ15" s="7">
        <v>4528</v>
      </c>
      <c r="AK15" s="7">
        <v>4703</v>
      </c>
      <c r="AL15" s="7">
        <v>4609</v>
      </c>
      <c r="AM15" s="7">
        <v>4590</v>
      </c>
      <c r="AN15" s="7">
        <v>4753</v>
      </c>
      <c r="AO15" s="7">
        <v>4928</v>
      </c>
      <c r="AP15" s="7">
        <v>5097</v>
      </c>
      <c r="AQ15" s="7">
        <v>5159</v>
      </c>
      <c r="AR15" s="7">
        <v>5245</v>
      </c>
      <c r="AS15" s="7">
        <v>5364</v>
      </c>
      <c r="AU15" s="7">
        <v>5647</v>
      </c>
      <c r="AV15" s="7">
        <v>5619</v>
      </c>
      <c r="AW15" s="7">
        <v>5862</v>
      </c>
      <c r="AX15" s="79">
        <v>4127</v>
      </c>
      <c r="AY15" s="7">
        <v>4225</v>
      </c>
      <c r="AZ15" s="7">
        <v>4351</v>
      </c>
      <c r="BA15" s="7">
        <v>4444</v>
      </c>
      <c r="BB15" s="7">
        <v>4907</v>
      </c>
      <c r="BC15" s="7">
        <v>4813</v>
      </c>
      <c r="BD15" s="7">
        <v>4451</v>
      </c>
      <c r="BE15" s="7">
        <v>4671</v>
      </c>
      <c r="BF15" s="7">
        <v>4464</v>
      </c>
      <c r="BG15" s="7">
        <v>4633</v>
      </c>
      <c r="BH15" s="7">
        <v>4761</v>
      </c>
      <c r="BI15" s="7">
        <v>4833</v>
      </c>
      <c r="BJ15" s="7">
        <v>4686</v>
      </c>
      <c r="BK15" s="7">
        <v>4904</v>
      </c>
      <c r="BL15" s="7">
        <v>4908</v>
      </c>
      <c r="BM15" s="7">
        <v>4569</v>
      </c>
      <c r="BN15" s="7">
        <v>4768</v>
      </c>
      <c r="BO15" s="7">
        <v>4898</v>
      </c>
      <c r="BP15" s="7">
        <v>4627</v>
      </c>
      <c r="BQ15" s="7">
        <v>4478</v>
      </c>
      <c r="BR15" s="7">
        <v>4933</v>
      </c>
      <c r="BS15" s="7">
        <v>5272</v>
      </c>
      <c r="BT15" s="7">
        <v>5934</v>
      </c>
      <c r="BU15" s="7">
        <v>6123</v>
      </c>
      <c r="BV15" s="7">
        <v>6126</v>
      </c>
      <c r="BW15" s="7">
        <v>5943</v>
      </c>
      <c r="BX15" s="7">
        <v>5707</v>
      </c>
      <c r="BY15" s="7">
        <v>5937</v>
      </c>
      <c r="BZ15" s="7">
        <v>6061</v>
      </c>
      <c r="CA15" s="7">
        <v>6422</v>
      </c>
      <c r="CB15" s="7">
        <v>6539</v>
      </c>
      <c r="CC15" s="7">
        <v>6709</v>
      </c>
      <c r="CD15" s="7">
        <v>7096</v>
      </c>
      <c r="CE15" s="7">
        <v>7148</v>
      </c>
      <c r="CF15" s="7">
        <v>7135</v>
      </c>
      <c r="CG15" s="7">
        <v>6978</v>
      </c>
      <c r="CH15" s="7">
        <v>7194</v>
      </c>
      <c r="CI15" s="7">
        <v>7462</v>
      </c>
      <c r="CJ15" s="7">
        <v>7433</v>
      </c>
      <c r="CK15" s="7">
        <v>7502</v>
      </c>
      <c r="CL15" s="7">
        <v>7856</v>
      </c>
      <c r="CM15" s="7">
        <v>8071</v>
      </c>
      <c r="CN15" s="7">
        <v>8271</v>
      </c>
      <c r="CO15" s="7">
        <v>8712</v>
      </c>
      <c r="CQ15" s="7">
        <v>8649</v>
      </c>
      <c r="CR15" s="7">
        <v>9083</v>
      </c>
      <c r="CS15" s="7">
        <v>9357</v>
      </c>
    </row>
    <row r="16" spans="1:97" s="7" customFormat="1">
      <c r="A16" s="72" t="s">
        <v>20</v>
      </c>
      <c r="B16" s="9">
        <v>10134</v>
      </c>
      <c r="C16" s="7">
        <v>10753</v>
      </c>
      <c r="D16" s="7">
        <v>11404</v>
      </c>
      <c r="E16" s="7">
        <v>11882</v>
      </c>
      <c r="F16" s="7">
        <v>12393</v>
      </c>
      <c r="G16" s="7">
        <v>12141</v>
      </c>
      <c r="H16" s="7">
        <v>12175</v>
      </c>
      <c r="I16" s="7">
        <v>11780</v>
      </c>
      <c r="J16" s="7">
        <v>11941</v>
      </c>
      <c r="K16" s="7">
        <v>11367</v>
      </c>
      <c r="L16" s="7">
        <v>11137</v>
      </c>
      <c r="M16" s="7">
        <v>11071</v>
      </c>
      <c r="N16" s="7">
        <v>11228</v>
      </c>
      <c r="O16" s="7">
        <v>11374</v>
      </c>
      <c r="P16" s="7">
        <v>12011</v>
      </c>
      <c r="Q16" s="7">
        <v>11754</v>
      </c>
      <c r="R16" s="7">
        <v>11831</v>
      </c>
      <c r="S16" s="7">
        <v>11459</v>
      </c>
      <c r="T16" s="7">
        <v>11799</v>
      </c>
      <c r="U16" s="7">
        <v>12080</v>
      </c>
      <c r="V16" s="7">
        <v>12236</v>
      </c>
      <c r="W16" s="7">
        <v>12695</v>
      </c>
      <c r="X16" s="7">
        <v>13643</v>
      </c>
      <c r="Y16" s="7">
        <v>14045</v>
      </c>
      <c r="Z16" s="7">
        <v>14566</v>
      </c>
      <c r="AA16" s="7">
        <v>14069</v>
      </c>
      <c r="AB16" s="7">
        <v>14241</v>
      </c>
      <c r="AC16" s="7">
        <v>14511</v>
      </c>
      <c r="AD16" s="7">
        <v>14535</v>
      </c>
      <c r="AE16" s="7">
        <v>14471</v>
      </c>
      <c r="AF16" s="7">
        <v>14587</v>
      </c>
      <c r="AG16" s="7">
        <v>14559</v>
      </c>
      <c r="AH16" s="7">
        <v>14867</v>
      </c>
      <c r="AI16" s="7">
        <v>15252</v>
      </c>
      <c r="AJ16" s="7">
        <v>16034</v>
      </c>
      <c r="AK16" s="7">
        <v>16156</v>
      </c>
      <c r="AL16" s="7">
        <v>16106</v>
      </c>
      <c r="AM16" s="7">
        <v>16911</v>
      </c>
      <c r="AN16" s="7">
        <v>17547</v>
      </c>
      <c r="AO16" s="7">
        <v>18309</v>
      </c>
      <c r="AP16" s="7">
        <v>18702</v>
      </c>
      <c r="AQ16" s="7">
        <v>19922</v>
      </c>
      <c r="AR16" s="7">
        <v>20686</v>
      </c>
      <c r="AS16" s="7">
        <v>21085</v>
      </c>
      <c r="AU16" s="7">
        <v>21804</v>
      </c>
      <c r="AV16" s="7">
        <v>22054</v>
      </c>
      <c r="AW16" s="7">
        <v>22394</v>
      </c>
      <c r="AX16" s="79">
        <v>8453</v>
      </c>
      <c r="AY16" s="7">
        <v>9094</v>
      </c>
      <c r="AZ16" s="7">
        <v>9372</v>
      </c>
      <c r="BA16" s="7">
        <v>10212</v>
      </c>
      <c r="BB16" s="7">
        <v>10550</v>
      </c>
      <c r="BC16" s="7">
        <v>11265</v>
      </c>
      <c r="BD16" s="7">
        <v>11235</v>
      </c>
      <c r="BE16" s="7">
        <v>11464</v>
      </c>
      <c r="BF16" s="7">
        <v>11851</v>
      </c>
      <c r="BG16" s="7">
        <v>12273</v>
      </c>
      <c r="BH16" s="7">
        <v>12552</v>
      </c>
      <c r="BI16" s="7">
        <v>12641</v>
      </c>
      <c r="BJ16" s="7">
        <v>12885</v>
      </c>
      <c r="BK16" s="7">
        <v>13074</v>
      </c>
      <c r="BL16" s="7">
        <v>13214</v>
      </c>
      <c r="BM16" s="7">
        <v>13254</v>
      </c>
      <c r="BN16" s="7">
        <v>13294</v>
      </c>
      <c r="BO16" s="7">
        <v>13460</v>
      </c>
      <c r="BP16" s="7">
        <v>13889</v>
      </c>
      <c r="BQ16" s="7">
        <v>14901</v>
      </c>
      <c r="BR16" s="7">
        <v>15052</v>
      </c>
      <c r="BS16" s="7">
        <v>16100</v>
      </c>
      <c r="BT16" s="7">
        <v>17183</v>
      </c>
      <c r="BU16" s="7">
        <v>17807</v>
      </c>
      <c r="BV16" s="7">
        <v>18164</v>
      </c>
      <c r="BW16" s="7">
        <v>18252</v>
      </c>
      <c r="BX16" s="7">
        <v>18520</v>
      </c>
      <c r="BY16" s="7">
        <v>19691</v>
      </c>
      <c r="BZ16" s="7">
        <v>19594</v>
      </c>
      <c r="CA16" s="7">
        <v>20158</v>
      </c>
      <c r="CB16" s="7">
        <v>20670</v>
      </c>
      <c r="CC16" s="7">
        <v>20208</v>
      </c>
      <c r="CD16" s="7">
        <v>21204</v>
      </c>
      <c r="CE16" s="7">
        <v>22020</v>
      </c>
      <c r="CF16" s="7">
        <v>22769</v>
      </c>
      <c r="CG16" s="7">
        <v>23147</v>
      </c>
      <c r="CH16" s="7">
        <v>23863</v>
      </c>
      <c r="CI16" s="7">
        <v>24352</v>
      </c>
      <c r="CJ16" s="7">
        <v>25905</v>
      </c>
      <c r="CK16" s="7">
        <v>26525</v>
      </c>
      <c r="CL16" s="7">
        <v>27826</v>
      </c>
      <c r="CM16" s="7">
        <v>28748</v>
      </c>
      <c r="CN16" s="7">
        <v>30036</v>
      </c>
      <c r="CO16" s="7">
        <v>30697</v>
      </c>
      <c r="CQ16" s="7">
        <v>31085</v>
      </c>
      <c r="CR16" s="7">
        <v>31472</v>
      </c>
      <c r="CS16" s="7">
        <v>32553</v>
      </c>
    </row>
    <row r="17" spans="1:97" s="7" customFormat="1">
      <c r="A17" s="72" t="s">
        <v>21</v>
      </c>
      <c r="B17" s="9">
        <v>7079</v>
      </c>
      <c r="C17" s="7">
        <v>7348</v>
      </c>
      <c r="D17" s="7">
        <v>7823</v>
      </c>
      <c r="E17" s="7">
        <v>8149</v>
      </c>
      <c r="F17" s="7">
        <v>8417</v>
      </c>
      <c r="G17" s="7">
        <v>7923</v>
      </c>
      <c r="H17" s="7">
        <v>7727</v>
      </c>
      <c r="I17" s="7">
        <v>7349</v>
      </c>
      <c r="J17" s="7">
        <v>7096</v>
      </c>
      <c r="K17" s="7">
        <v>6974</v>
      </c>
      <c r="L17" s="7">
        <v>6776</v>
      </c>
      <c r="M17" s="7">
        <v>6621</v>
      </c>
      <c r="N17" s="7">
        <v>6370</v>
      </c>
      <c r="O17" s="7">
        <v>6354</v>
      </c>
      <c r="P17" s="7">
        <v>6440</v>
      </c>
      <c r="Q17" s="7">
        <v>6931</v>
      </c>
      <c r="R17" s="7">
        <v>6774</v>
      </c>
      <c r="S17" s="7">
        <v>6885</v>
      </c>
      <c r="T17" s="7">
        <v>6637</v>
      </c>
      <c r="U17" s="7">
        <v>6682</v>
      </c>
      <c r="V17" s="7">
        <v>6558</v>
      </c>
      <c r="W17" s="7">
        <v>6647</v>
      </c>
      <c r="X17" s="7">
        <v>6645</v>
      </c>
      <c r="Y17" s="7">
        <v>6686</v>
      </c>
      <c r="Z17" s="7">
        <v>7021</v>
      </c>
      <c r="AA17" s="7">
        <v>6869</v>
      </c>
      <c r="AB17" s="7">
        <v>6395</v>
      </c>
      <c r="AC17" s="7">
        <v>6778</v>
      </c>
      <c r="AD17" s="7">
        <v>7123</v>
      </c>
      <c r="AE17" s="7">
        <v>6850</v>
      </c>
      <c r="AF17" s="7">
        <v>7083</v>
      </c>
      <c r="AG17" s="7">
        <v>7056</v>
      </c>
      <c r="AH17" s="7">
        <v>7086</v>
      </c>
      <c r="AI17" s="7">
        <v>7277</v>
      </c>
      <c r="AJ17" s="7">
        <v>7444</v>
      </c>
      <c r="AK17" s="7">
        <v>7859</v>
      </c>
      <c r="AL17" s="7">
        <v>8199</v>
      </c>
      <c r="AM17" s="7">
        <v>8240</v>
      </c>
      <c r="AN17" s="7">
        <v>8149</v>
      </c>
      <c r="AO17" s="7">
        <v>8396</v>
      </c>
      <c r="AP17" s="7">
        <v>8234</v>
      </c>
      <c r="AQ17" s="7">
        <v>8280</v>
      </c>
      <c r="AR17" s="7">
        <v>8438</v>
      </c>
      <c r="AS17" s="7">
        <v>8577</v>
      </c>
      <c r="AU17" s="7">
        <v>8974</v>
      </c>
      <c r="AV17" s="7">
        <v>9057</v>
      </c>
      <c r="AW17" s="7">
        <v>9223</v>
      </c>
      <c r="AX17" s="79">
        <v>4933</v>
      </c>
      <c r="AY17" s="7">
        <v>5140</v>
      </c>
      <c r="AZ17" s="7">
        <v>5341</v>
      </c>
      <c r="BA17" s="7">
        <v>5308</v>
      </c>
      <c r="BB17" s="7">
        <v>5456</v>
      </c>
      <c r="BC17" s="7">
        <v>5571</v>
      </c>
      <c r="BD17" s="7">
        <v>5601</v>
      </c>
      <c r="BE17" s="7">
        <v>5429</v>
      </c>
      <c r="BF17" s="7">
        <v>5648</v>
      </c>
      <c r="BG17" s="7">
        <v>5881</v>
      </c>
      <c r="BH17" s="7">
        <v>5965</v>
      </c>
      <c r="BI17" s="7">
        <v>6197</v>
      </c>
      <c r="BJ17" s="7">
        <v>6049</v>
      </c>
      <c r="BK17" s="7">
        <v>6050</v>
      </c>
      <c r="BL17" s="7">
        <v>6158</v>
      </c>
      <c r="BM17" s="7">
        <v>6356</v>
      </c>
      <c r="BN17" s="7">
        <v>6724</v>
      </c>
      <c r="BO17" s="7">
        <v>6660</v>
      </c>
      <c r="BP17" s="7">
        <v>6536</v>
      </c>
      <c r="BQ17" s="7">
        <v>6935</v>
      </c>
      <c r="BR17" s="7">
        <v>7043</v>
      </c>
      <c r="BS17" s="7">
        <v>7420</v>
      </c>
      <c r="BT17" s="7">
        <v>7897</v>
      </c>
      <c r="BU17" s="7">
        <v>8316</v>
      </c>
      <c r="BV17" s="7">
        <v>8713</v>
      </c>
      <c r="BW17" s="7">
        <v>8438</v>
      </c>
      <c r="BX17" s="7">
        <v>8027</v>
      </c>
      <c r="BY17" s="7">
        <v>8345</v>
      </c>
      <c r="BZ17" s="7">
        <v>8764</v>
      </c>
      <c r="CA17" s="7">
        <v>8906</v>
      </c>
      <c r="CB17" s="7">
        <v>8495</v>
      </c>
      <c r="CC17" s="7">
        <v>8876</v>
      </c>
      <c r="CD17" s="7">
        <v>9146</v>
      </c>
      <c r="CE17" s="7">
        <v>9386</v>
      </c>
      <c r="CF17" s="7">
        <v>9980</v>
      </c>
      <c r="CG17" s="7">
        <v>10407</v>
      </c>
      <c r="CH17" s="7">
        <v>10710</v>
      </c>
      <c r="CI17" s="7">
        <v>10652</v>
      </c>
      <c r="CJ17" s="7">
        <v>11069</v>
      </c>
      <c r="CK17" s="7">
        <v>11238</v>
      </c>
      <c r="CL17" s="7">
        <v>11301</v>
      </c>
      <c r="CM17" s="7">
        <v>11231</v>
      </c>
      <c r="CN17" s="7">
        <v>11408</v>
      </c>
      <c r="CO17" s="7">
        <v>11470</v>
      </c>
      <c r="CQ17" s="7">
        <v>11756</v>
      </c>
      <c r="CR17" s="7">
        <v>11967</v>
      </c>
      <c r="CS17" s="7">
        <v>11918</v>
      </c>
    </row>
    <row r="18" spans="1:97" s="7" customFormat="1">
      <c r="A18" s="72" t="s">
        <v>22</v>
      </c>
      <c r="B18" s="9">
        <v>4272</v>
      </c>
      <c r="C18" s="7">
        <v>4383</v>
      </c>
      <c r="D18" s="7">
        <v>4811</v>
      </c>
      <c r="E18" s="7">
        <v>5215</v>
      </c>
      <c r="F18" s="7">
        <v>5634</v>
      </c>
      <c r="G18" s="7">
        <v>5706</v>
      </c>
      <c r="H18" s="7">
        <v>5858</v>
      </c>
      <c r="I18" s="7">
        <v>5899</v>
      </c>
      <c r="J18" s="7">
        <v>5900</v>
      </c>
      <c r="K18" s="7">
        <v>5736</v>
      </c>
      <c r="L18" s="7">
        <v>5908</v>
      </c>
      <c r="M18" s="7">
        <v>5605</v>
      </c>
      <c r="N18" s="7">
        <v>5611</v>
      </c>
      <c r="O18" s="7">
        <v>6031</v>
      </c>
      <c r="P18" s="7">
        <v>5971</v>
      </c>
      <c r="Q18" s="7">
        <v>5894</v>
      </c>
      <c r="R18" s="7">
        <v>6138</v>
      </c>
      <c r="S18" s="7">
        <v>5873</v>
      </c>
      <c r="T18" s="7">
        <v>5524</v>
      </c>
      <c r="U18" s="7">
        <v>5866</v>
      </c>
      <c r="V18" s="7">
        <v>5873</v>
      </c>
      <c r="W18" s="7">
        <v>6297</v>
      </c>
      <c r="X18" s="7">
        <v>6241</v>
      </c>
      <c r="Y18" s="7">
        <v>6679</v>
      </c>
      <c r="Z18" s="7">
        <v>6732</v>
      </c>
      <c r="AA18" s="7">
        <v>6608</v>
      </c>
      <c r="AB18" s="7">
        <v>6510</v>
      </c>
      <c r="AC18" s="7">
        <v>6602</v>
      </c>
      <c r="AD18" s="7">
        <v>6326</v>
      </c>
      <c r="AE18" s="7">
        <v>6601</v>
      </c>
      <c r="AF18" s="7">
        <v>6673</v>
      </c>
      <c r="AG18" s="7">
        <v>6865</v>
      </c>
      <c r="AH18" s="7">
        <v>7061</v>
      </c>
      <c r="AI18" s="7">
        <v>7335</v>
      </c>
      <c r="AJ18" s="7">
        <v>7362</v>
      </c>
      <c r="AK18" s="7">
        <v>7671</v>
      </c>
      <c r="AL18" s="7">
        <v>7809</v>
      </c>
      <c r="AM18" s="7">
        <v>8019</v>
      </c>
      <c r="AN18" s="7">
        <v>8381</v>
      </c>
      <c r="AO18" s="7">
        <v>8687</v>
      </c>
      <c r="AP18" s="7">
        <v>8990</v>
      </c>
      <c r="AQ18" s="7">
        <v>9453</v>
      </c>
      <c r="AR18" s="7">
        <v>9571</v>
      </c>
      <c r="AS18" s="7">
        <v>9971</v>
      </c>
      <c r="AU18" s="7">
        <v>10236</v>
      </c>
      <c r="AV18" s="7">
        <v>10542</v>
      </c>
      <c r="AW18" s="7">
        <v>10733</v>
      </c>
      <c r="AX18" s="79">
        <v>3563</v>
      </c>
      <c r="AY18" s="7">
        <v>3656</v>
      </c>
      <c r="AZ18" s="7">
        <v>3904</v>
      </c>
      <c r="BA18" s="7">
        <v>4310</v>
      </c>
      <c r="BB18" s="7">
        <v>4744</v>
      </c>
      <c r="BC18" s="7">
        <v>5090</v>
      </c>
      <c r="BD18" s="7">
        <v>5278</v>
      </c>
      <c r="BE18" s="7">
        <v>5269</v>
      </c>
      <c r="BF18" s="7">
        <v>5443</v>
      </c>
      <c r="BG18" s="7">
        <v>5670</v>
      </c>
      <c r="BH18" s="7">
        <v>6016</v>
      </c>
      <c r="BI18" s="7">
        <v>5753</v>
      </c>
      <c r="BJ18" s="7">
        <v>5979</v>
      </c>
      <c r="BK18" s="7">
        <v>6258</v>
      </c>
      <c r="BL18" s="7">
        <v>6416</v>
      </c>
      <c r="BM18" s="7">
        <v>6528</v>
      </c>
      <c r="BN18" s="7">
        <v>6676</v>
      </c>
      <c r="BO18" s="7">
        <v>6674</v>
      </c>
      <c r="BP18" s="7">
        <v>6612</v>
      </c>
      <c r="BQ18" s="7">
        <v>6658</v>
      </c>
      <c r="BR18" s="7">
        <v>7342</v>
      </c>
      <c r="BS18" s="7">
        <v>7953</v>
      </c>
      <c r="BT18" s="7">
        <v>7978</v>
      </c>
      <c r="BU18" s="7">
        <v>8575</v>
      </c>
      <c r="BV18" s="7">
        <v>8586</v>
      </c>
      <c r="BW18" s="7">
        <v>8568</v>
      </c>
      <c r="BX18" s="7">
        <v>8578</v>
      </c>
      <c r="BY18" s="7">
        <v>8665</v>
      </c>
      <c r="BZ18" s="7">
        <v>8848</v>
      </c>
      <c r="CA18" s="7">
        <v>9163</v>
      </c>
      <c r="CB18" s="7">
        <v>9360</v>
      </c>
      <c r="CC18" s="7">
        <v>9451</v>
      </c>
      <c r="CD18" s="7">
        <v>9825</v>
      </c>
      <c r="CE18" s="7">
        <v>10482</v>
      </c>
      <c r="CF18" s="7">
        <v>10529</v>
      </c>
      <c r="CG18" s="7">
        <v>11124</v>
      </c>
      <c r="CH18" s="7">
        <v>11504</v>
      </c>
      <c r="CI18" s="7">
        <v>11465</v>
      </c>
      <c r="CJ18" s="7">
        <v>11876</v>
      </c>
      <c r="CK18" s="7">
        <v>12371</v>
      </c>
      <c r="CL18" s="7">
        <v>12730</v>
      </c>
      <c r="CM18" s="7">
        <v>13581</v>
      </c>
      <c r="CN18" s="7">
        <v>13402</v>
      </c>
      <c r="CO18" s="7">
        <v>14033</v>
      </c>
      <c r="CQ18" s="7">
        <v>14587</v>
      </c>
      <c r="CR18" s="7">
        <v>14565</v>
      </c>
      <c r="CS18" s="7">
        <v>15098</v>
      </c>
    </row>
    <row r="19" spans="1:97" s="7" customFormat="1">
      <c r="A19" s="72" t="s">
        <v>23</v>
      </c>
      <c r="B19" s="9">
        <v>9237</v>
      </c>
      <c r="C19" s="7">
        <v>9567</v>
      </c>
      <c r="D19" s="7">
        <v>9965</v>
      </c>
      <c r="E19" s="7">
        <v>9986</v>
      </c>
      <c r="F19" s="7">
        <v>9898</v>
      </c>
      <c r="G19" s="7">
        <v>9562</v>
      </c>
      <c r="H19" s="7">
        <v>9757</v>
      </c>
      <c r="I19" s="7">
        <v>9550</v>
      </c>
      <c r="J19" s="7">
        <v>9224</v>
      </c>
      <c r="K19" s="7">
        <v>9033</v>
      </c>
      <c r="L19" s="7">
        <v>9049</v>
      </c>
      <c r="M19" s="7">
        <v>8923</v>
      </c>
      <c r="N19" s="7">
        <v>8829</v>
      </c>
      <c r="O19" s="7">
        <v>8439</v>
      </c>
      <c r="P19" s="7">
        <v>8560</v>
      </c>
      <c r="Q19" s="7">
        <v>8471</v>
      </c>
      <c r="R19" s="7">
        <v>8593</v>
      </c>
      <c r="S19" s="7">
        <v>8553</v>
      </c>
      <c r="T19" s="7">
        <v>8389</v>
      </c>
      <c r="U19" s="7">
        <v>8353</v>
      </c>
      <c r="V19" s="7">
        <v>8273</v>
      </c>
      <c r="W19" s="7">
        <v>8228</v>
      </c>
      <c r="X19" s="7">
        <v>8738</v>
      </c>
      <c r="Y19" s="7">
        <v>8943</v>
      </c>
      <c r="Z19" s="7">
        <v>9108</v>
      </c>
      <c r="AA19" s="7">
        <v>9285</v>
      </c>
      <c r="AB19" s="7">
        <v>9115</v>
      </c>
      <c r="AC19" s="7">
        <v>9396</v>
      </c>
      <c r="AD19" s="7">
        <v>9409</v>
      </c>
      <c r="AE19" s="7">
        <v>9342</v>
      </c>
      <c r="AF19" s="7">
        <v>9498</v>
      </c>
      <c r="AG19" s="7">
        <v>9486</v>
      </c>
      <c r="AH19" s="7">
        <v>9856</v>
      </c>
      <c r="AI19" s="7">
        <v>10125</v>
      </c>
      <c r="AJ19" s="7">
        <v>10526</v>
      </c>
      <c r="AK19" s="7">
        <v>10836</v>
      </c>
      <c r="AL19" s="7">
        <v>10846</v>
      </c>
      <c r="AM19" s="7">
        <v>11185</v>
      </c>
      <c r="AN19" s="7">
        <v>11656</v>
      </c>
      <c r="AO19" s="7">
        <v>12363</v>
      </c>
      <c r="AP19" s="7">
        <v>12401</v>
      </c>
      <c r="AQ19" s="7">
        <v>13022</v>
      </c>
      <c r="AR19" s="7">
        <v>13592</v>
      </c>
      <c r="AS19" s="7">
        <v>14408</v>
      </c>
      <c r="AU19" s="7">
        <v>14410</v>
      </c>
      <c r="AV19" s="7">
        <v>14671</v>
      </c>
      <c r="AW19" s="7">
        <v>14969</v>
      </c>
      <c r="AX19" s="79">
        <v>6679</v>
      </c>
      <c r="AY19" s="7">
        <v>7008</v>
      </c>
      <c r="AZ19" s="7">
        <v>7246</v>
      </c>
      <c r="BA19" s="7">
        <v>7737</v>
      </c>
      <c r="BB19" s="7">
        <v>8087</v>
      </c>
      <c r="BC19" s="7">
        <v>8061</v>
      </c>
      <c r="BD19" s="7">
        <v>8050</v>
      </c>
      <c r="BE19" s="7">
        <v>8256</v>
      </c>
      <c r="BF19" s="7">
        <v>8577</v>
      </c>
      <c r="BG19" s="7">
        <v>8566</v>
      </c>
      <c r="BH19" s="7">
        <v>8845</v>
      </c>
      <c r="BI19" s="7">
        <v>8486</v>
      </c>
      <c r="BJ19" s="7">
        <v>8856</v>
      </c>
      <c r="BK19" s="7">
        <v>8538</v>
      </c>
      <c r="BL19" s="7">
        <v>8658</v>
      </c>
      <c r="BM19" s="7">
        <v>8558</v>
      </c>
      <c r="BN19" s="7">
        <v>8919</v>
      </c>
      <c r="BO19" s="7">
        <v>8776</v>
      </c>
      <c r="BP19" s="7">
        <v>8770</v>
      </c>
      <c r="BQ19" s="7">
        <v>9045</v>
      </c>
      <c r="BR19" s="7">
        <v>9304</v>
      </c>
      <c r="BS19" s="7">
        <v>9835</v>
      </c>
      <c r="BT19" s="7">
        <v>10401</v>
      </c>
      <c r="BU19" s="7">
        <v>11428</v>
      </c>
      <c r="BV19" s="7">
        <v>10884</v>
      </c>
      <c r="BW19" s="7">
        <v>11178</v>
      </c>
      <c r="BX19" s="7">
        <v>11493</v>
      </c>
      <c r="BY19" s="7">
        <v>11751</v>
      </c>
      <c r="BZ19" s="7">
        <v>12129</v>
      </c>
      <c r="CA19" s="7">
        <v>12646</v>
      </c>
      <c r="CB19" s="7">
        <v>13460</v>
      </c>
      <c r="CC19" s="7">
        <v>13337</v>
      </c>
      <c r="CD19" s="7">
        <v>13624</v>
      </c>
      <c r="CE19" s="7">
        <v>14244</v>
      </c>
      <c r="CF19" s="7">
        <v>14457</v>
      </c>
      <c r="CG19" s="7">
        <v>15196</v>
      </c>
      <c r="CH19" s="7">
        <v>15484</v>
      </c>
      <c r="CI19" s="7">
        <v>16087</v>
      </c>
      <c r="CJ19" s="7">
        <v>15993</v>
      </c>
      <c r="CK19" s="7">
        <v>17025</v>
      </c>
      <c r="CL19" s="7">
        <v>17308</v>
      </c>
      <c r="CM19" s="7">
        <v>18004</v>
      </c>
      <c r="CN19" s="7">
        <v>18717</v>
      </c>
      <c r="CO19" s="7">
        <v>19358</v>
      </c>
      <c r="CQ19" s="7">
        <v>19787</v>
      </c>
      <c r="CR19" s="7">
        <v>20583</v>
      </c>
      <c r="CS19" s="7">
        <v>20830</v>
      </c>
    </row>
    <row r="20" spans="1:97" s="7" customFormat="1">
      <c r="A20" s="72" t="s">
        <v>24</v>
      </c>
      <c r="B20" s="9">
        <v>22574</v>
      </c>
      <c r="C20" s="7">
        <v>24714</v>
      </c>
      <c r="D20" s="7">
        <v>26187</v>
      </c>
      <c r="E20" s="7">
        <v>27342</v>
      </c>
      <c r="F20" s="7">
        <v>27881</v>
      </c>
      <c r="G20" s="7">
        <v>27631</v>
      </c>
      <c r="H20" s="7">
        <v>28282</v>
      </c>
      <c r="I20" s="7">
        <v>27703</v>
      </c>
      <c r="J20" s="7">
        <v>27591</v>
      </c>
      <c r="K20" s="7">
        <v>27615</v>
      </c>
      <c r="L20" s="7">
        <v>27152</v>
      </c>
      <c r="M20" s="7">
        <v>26877</v>
      </c>
      <c r="N20" s="7">
        <v>26494</v>
      </c>
      <c r="O20" s="7">
        <v>26701</v>
      </c>
      <c r="P20" s="7">
        <v>27132</v>
      </c>
      <c r="Q20" s="7">
        <v>27486</v>
      </c>
      <c r="R20" s="7">
        <v>28110</v>
      </c>
      <c r="S20" s="7">
        <v>27804</v>
      </c>
      <c r="T20" s="7">
        <v>27168</v>
      </c>
      <c r="U20" s="7">
        <v>27053</v>
      </c>
      <c r="V20" s="7">
        <v>28271</v>
      </c>
      <c r="W20" s="7">
        <v>29479</v>
      </c>
      <c r="X20" s="7">
        <v>30020</v>
      </c>
      <c r="Y20" s="7">
        <v>30721</v>
      </c>
      <c r="Z20" s="7">
        <v>31447</v>
      </c>
      <c r="AA20" s="7">
        <v>31478</v>
      </c>
      <c r="AB20" s="7">
        <v>31406</v>
      </c>
      <c r="AC20" s="7">
        <v>31482</v>
      </c>
      <c r="AD20" s="7">
        <v>31480</v>
      </c>
      <c r="AE20" s="7">
        <v>31648</v>
      </c>
      <c r="AF20" s="7">
        <v>32382</v>
      </c>
      <c r="AG20" s="7">
        <v>32509</v>
      </c>
      <c r="AH20" s="7">
        <v>33333</v>
      </c>
      <c r="AI20" s="7">
        <v>34797</v>
      </c>
      <c r="AJ20" s="7">
        <v>35595</v>
      </c>
      <c r="AK20" s="7">
        <v>37145</v>
      </c>
      <c r="AL20" s="7">
        <v>38092</v>
      </c>
      <c r="AM20" s="7">
        <v>39578</v>
      </c>
      <c r="AN20" s="7">
        <v>40856</v>
      </c>
      <c r="AO20" s="7">
        <v>42091</v>
      </c>
      <c r="AP20" s="7">
        <v>43484</v>
      </c>
      <c r="AQ20" s="7">
        <v>44600</v>
      </c>
      <c r="AR20" s="7">
        <v>46319</v>
      </c>
      <c r="AS20" s="7">
        <v>48341</v>
      </c>
      <c r="AU20" s="7">
        <v>51506</v>
      </c>
      <c r="AV20" s="7">
        <v>52143</v>
      </c>
      <c r="AW20" s="7">
        <v>53853</v>
      </c>
      <c r="AX20" s="79">
        <v>17604</v>
      </c>
      <c r="AY20" s="7">
        <v>18615</v>
      </c>
      <c r="AZ20" s="7">
        <v>19669</v>
      </c>
      <c r="BA20" s="7">
        <v>20547</v>
      </c>
      <c r="BB20" s="7">
        <v>21518</v>
      </c>
      <c r="BC20" s="7">
        <v>22600</v>
      </c>
      <c r="BD20" s="7">
        <v>23157</v>
      </c>
      <c r="BE20" s="7">
        <v>23996</v>
      </c>
      <c r="BF20" s="7">
        <v>24715</v>
      </c>
      <c r="BG20" s="7">
        <v>26041</v>
      </c>
      <c r="BH20" s="7">
        <v>26452</v>
      </c>
      <c r="BI20" s="7">
        <v>26712</v>
      </c>
      <c r="BJ20" s="7">
        <v>27068</v>
      </c>
      <c r="BK20" s="7">
        <v>28194</v>
      </c>
      <c r="BL20" s="7">
        <v>28145</v>
      </c>
      <c r="BM20" s="7">
        <v>29019</v>
      </c>
      <c r="BN20" s="7">
        <v>29853</v>
      </c>
      <c r="BO20" s="7">
        <v>29634</v>
      </c>
      <c r="BP20" s="7">
        <v>28407</v>
      </c>
      <c r="BQ20" s="7">
        <v>29934</v>
      </c>
      <c r="BR20" s="7">
        <v>32759</v>
      </c>
      <c r="BS20" s="7">
        <v>35633</v>
      </c>
      <c r="BT20" s="7">
        <v>34293</v>
      </c>
      <c r="BU20" s="7">
        <v>36877</v>
      </c>
      <c r="BV20" s="7">
        <v>37851</v>
      </c>
      <c r="BW20" s="7">
        <v>38570</v>
      </c>
      <c r="BX20" s="7">
        <v>39298</v>
      </c>
      <c r="BY20" s="7">
        <v>39690</v>
      </c>
      <c r="BZ20" s="7">
        <v>40291</v>
      </c>
      <c r="CA20" s="7">
        <v>41928</v>
      </c>
      <c r="CB20" s="7">
        <v>43452</v>
      </c>
      <c r="CC20" s="7">
        <v>43565</v>
      </c>
      <c r="CD20" s="7">
        <v>46262</v>
      </c>
      <c r="CE20" s="7">
        <v>47717</v>
      </c>
      <c r="CF20" s="7">
        <v>49815</v>
      </c>
      <c r="CG20" s="7">
        <v>51612</v>
      </c>
      <c r="CH20" s="7">
        <v>53935</v>
      </c>
      <c r="CI20" s="7">
        <v>56169</v>
      </c>
      <c r="CJ20" s="7">
        <v>57349</v>
      </c>
      <c r="CK20" s="7">
        <v>60066</v>
      </c>
      <c r="CL20" s="7">
        <v>61173</v>
      </c>
      <c r="CM20" s="7">
        <v>62838</v>
      </c>
      <c r="CN20" s="7">
        <v>65005</v>
      </c>
      <c r="CO20" s="7">
        <v>66773</v>
      </c>
      <c r="CQ20" s="7">
        <v>70651</v>
      </c>
      <c r="CR20" s="7">
        <v>73932</v>
      </c>
      <c r="CS20" s="7">
        <v>76953</v>
      </c>
    </row>
    <row r="21" spans="1:97" s="7" customFormat="1">
      <c r="A21" s="72" t="s">
        <v>25</v>
      </c>
      <c r="B21" s="9">
        <v>7130</v>
      </c>
      <c r="C21" s="7">
        <v>7598</v>
      </c>
      <c r="D21" s="7">
        <v>7944</v>
      </c>
      <c r="E21" s="7">
        <v>8397</v>
      </c>
      <c r="F21" s="7">
        <v>9085</v>
      </c>
      <c r="G21" s="7">
        <v>9462</v>
      </c>
      <c r="H21" s="7">
        <v>9791</v>
      </c>
      <c r="I21" s="7">
        <v>9678</v>
      </c>
      <c r="J21" s="7">
        <v>9911</v>
      </c>
      <c r="K21" s="7">
        <v>9934</v>
      </c>
      <c r="L21" s="7">
        <v>10105</v>
      </c>
      <c r="M21" s="7">
        <v>10108</v>
      </c>
      <c r="N21" s="7">
        <v>10414</v>
      </c>
      <c r="O21" s="7">
        <v>10614</v>
      </c>
      <c r="P21" s="7">
        <v>10793</v>
      </c>
      <c r="Q21" s="7">
        <v>10700</v>
      </c>
      <c r="R21" s="7">
        <v>11008</v>
      </c>
      <c r="S21" s="7">
        <v>10685</v>
      </c>
      <c r="T21" s="7">
        <v>11200</v>
      </c>
      <c r="U21" s="7">
        <v>11484</v>
      </c>
      <c r="V21" s="7">
        <v>11889</v>
      </c>
      <c r="W21" s="7">
        <v>12593</v>
      </c>
      <c r="X21" s="7">
        <v>13026</v>
      </c>
      <c r="Y21" s="7">
        <v>13671</v>
      </c>
      <c r="Z21" s="7">
        <v>13913</v>
      </c>
      <c r="AA21" s="7">
        <v>13706</v>
      </c>
      <c r="AB21" s="7">
        <v>13675</v>
      </c>
      <c r="AC21" s="7">
        <v>13459</v>
      </c>
      <c r="AD21" s="7">
        <v>13349</v>
      </c>
      <c r="AE21" s="7">
        <v>13350</v>
      </c>
      <c r="AF21" s="7">
        <v>14184</v>
      </c>
      <c r="AG21" s="7">
        <v>13848</v>
      </c>
      <c r="AH21" s="7">
        <v>13699</v>
      </c>
      <c r="AI21" s="7">
        <v>14379</v>
      </c>
      <c r="AJ21" s="7">
        <v>14767</v>
      </c>
      <c r="AK21" s="7">
        <v>15558</v>
      </c>
      <c r="AL21" s="7">
        <v>16165</v>
      </c>
      <c r="AM21" s="7">
        <v>16598</v>
      </c>
      <c r="AN21" s="7">
        <v>17483</v>
      </c>
      <c r="AO21" s="7">
        <v>17913</v>
      </c>
      <c r="AP21" s="7">
        <v>18853</v>
      </c>
      <c r="AQ21" s="7">
        <v>21206</v>
      </c>
      <c r="AR21" s="7">
        <v>23131</v>
      </c>
      <c r="AS21" s="7">
        <v>24073</v>
      </c>
      <c r="AU21" s="7">
        <v>25026</v>
      </c>
      <c r="AV21" s="7">
        <v>25282</v>
      </c>
      <c r="AW21" s="7">
        <v>25595</v>
      </c>
      <c r="AX21" s="79">
        <v>6614</v>
      </c>
      <c r="AY21" s="7">
        <v>7164</v>
      </c>
      <c r="AZ21" s="7">
        <v>7789</v>
      </c>
      <c r="BA21" s="7">
        <v>8328</v>
      </c>
      <c r="BB21" s="7">
        <v>9287</v>
      </c>
      <c r="BC21" s="7">
        <v>9594</v>
      </c>
      <c r="BD21" s="7">
        <v>10278</v>
      </c>
      <c r="BE21" s="7">
        <v>10339</v>
      </c>
      <c r="BF21" s="7">
        <v>10798</v>
      </c>
      <c r="BG21" s="7">
        <v>11317</v>
      </c>
      <c r="BH21" s="7">
        <v>11631</v>
      </c>
      <c r="BI21" s="7">
        <v>11970</v>
      </c>
      <c r="BJ21" s="7">
        <v>12364</v>
      </c>
      <c r="BK21" s="7">
        <v>12476</v>
      </c>
      <c r="BL21" s="7">
        <v>12903</v>
      </c>
      <c r="BM21" s="7">
        <v>13258</v>
      </c>
      <c r="BN21" s="7">
        <v>13383</v>
      </c>
      <c r="BO21" s="7">
        <v>13325</v>
      </c>
      <c r="BP21" s="7">
        <v>13949</v>
      </c>
      <c r="BQ21" s="7">
        <v>14544</v>
      </c>
      <c r="BR21" s="7">
        <v>15230</v>
      </c>
      <c r="BS21" s="7">
        <v>16367</v>
      </c>
      <c r="BT21" s="7">
        <v>17294</v>
      </c>
      <c r="BU21" s="7">
        <v>17187</v>
      </c>
      <c r="BV21" s="7">
        <v>17313</v>
      </c>
      <c r="BW21" s="7">
        <v>17400</v>
      </c>
      <c r="BX21" s="7">
        <v>17889</v>
      </c>
      <c r="BY21" s="7">
        <v>17388</v>
      </c>
      <c r="BZ21" s="7">
        <v>17651</v>
      </c>
      <c r="CA21" s="7">
        <v>17617</v>
      </c>
      <c r="CB21" s="7">
        <v>19415</v>
      </c>
      <c r="CC21" s="7">
        <v>18974</v>
      </c>
      <c r="CD21" s="7">
        <v>19249</v>
      </c>
      <c r="CE21" s="7">
        <v>20278</v>
      </c>
      <c r="CF21" s="7">
        <v>20893</v>
      </c>
      <c r="CG21" s="7">
        <v>21412</v>
      </c>
      <c r="CH21" s="7">
        <v>22610</v>
      </c>
      <c r="CI21" s="7">
        <v>23146</v>
      </c>
      <c r="CJ21" s="7">
        <v>23753</v>
      </c>
      <c r="CK21" s="7">
        <v>24570</v>
      </c>
      <c r="CL21" s="7">
        <v>25280</v>
      </c>
      <c r="CM21" s="7">
        <v>27871</v>
      </c>
      <c r="CN21" s="7">
        <v>29867</v>
      </c>
      <c r="CO21" s="7">
        <v>30676</v>
      </c>
      <c r="CQ21" s="7">
        <v>31852</v>
      </c>
      <c r="CR21" s="7">
        <v>33360</v>
      </c>
      <c r="CS21" s="7">
        <v>32968</v>
      </c>
    </row>
    <row r="22" spans="1:97" s="7" customFormat="1">
      <c r="A22" s="73" t="s">
        <v>26</v>
      </c>
      <c r="B22" s="11">
        <v>4584</v>
      </c>
      <c r="C22" s="8">
        <v>4532</v>
      </c>
      <c r="D22" s="8">
        <v>4584</v>
      </c>
      <c r="E22" s="8">
        <v>4758</v>
      </c>
      <c r="F22" s="8">
        <v>5061</v>
      </c>
      <c r="G22" s="8">
        <v>4726</v>
      </c>
      <c r="H22" s="8">
        <v>4438</v>
      </c>
      <c r="I22" s="8">
        <v>4224</v>
      </c>
      <c r="J22" s="8">
        <v>4220</v>
      </c>
      <c r="K22" s="8">
        <v>3871</v>
      </c>
      <c r="L22" s="8">
        <v>3844</v>
      </c>
      <c r="M22" s="8">
        <v>3969</v>
      </c>
      <c r="N22" s="8">
        <v>3794</v>
      </c>
      <c r="O22" s="8">
        <v>3764</v>
      </c>
      <c r="P22" s="8">
        <v>3937</v>
      </c>
      <c r="Q22" s="8">
        <v>4005</v>
      </c>
      <c r="R22" s="8">
        <v>3971</v>
      </c>
      <c r="S22" s="8">
        <v>3733</v>
      </c>
      <c r="T22" s="8">
        <v>3541</v>
      </c>
      <c r="U22" s="8">
        <v>3460</v>
      </c>
      <c r="V22" s="8">
        <v>3533</v>
      </c>
      <c r="W22" s="8">
        <v>3473</v>
      </c>
      <c r="X22" s="8">
        <v>3867</v>
      </c>
      <c r="Y22" s="8">
        <v>4037</v>
      </c>
      <c r="Z22" s="8">
        <v>4392</v>
      </c>
      <c r="AA22" s="8">
        <v>4138</v>
      </c>
      <c r="AB22" s="8">
        <v>4129</v>
      </c>
      <c r="AC22" s="8">
        <v>3812</v>
      </c>
      <c r="AD22" s="8">
        <v>3844</v>
      </c>
      <c r="AE22" s="8">
        <v>3998</v>
      </c>
      <c r="AF22" s="8">
        <v>3889</v>
      </c>
      <c r="AG22" s="8">
        <v>3977</v>
      </c>
      <c r="AH22" s="8">
        <v>4133</v>
      </c>
      <c r="AI22" s="8">
        <v>4174</v>
      </c>
      <c r="AJ22" s="8">
        <v>4066</v>
      </c>
      <c r="AK22" s="8">
        <v>4286</v>
      </c>
      <c r="AL22" s="8">
        <v>4403</v>
      </c>
      <c r="AM22" s="8">
        <v>5131</v>
      </c>
      <c r="AN22" s="7">
        <v>5409</v>
      </c>
      <c r="AO22" s="7">
        <v>5528</v>
      </c>
      <c r="AP22" s="7">
        <v>6032</v>
      </c>
      <c r="AQ22" s="7">
        <v>4830</v>
      </c>
      <c r="AR22" s="7">
        <v>4804</v>
      </c>
      <c r="AS22" s="7">
        <v>4783</v>
      </c>
      <c r="AU22" s="7">
        <v>5075</v>
      </c>
      <c r="AV22" s="7">
        <v>5067</v>
      </c>
      <c r="AW22" s="7">
        <v>5198</v>
      </c>
      <c r="AX22" s="80">
        <v>3412</v>
      </c>
      <c r="AY22" s="8">
        <v>3369</v>
      </c>
      <c r="AZ22" s="8">
        <v>3493</v>
      </c>
      <c r="BA22" s="8">
        <v>3797</v>
      </c>
      <c r="BB22" s="8">
        <v>3898</v>
      </c>
      <c r="BC22" s="8">
        <v>3687</v>
      </c>
      <c r="BD22" s="8">
        <v>3396</v>
      </c>
      <c r="BE22" s="8">
        <v>3484</v>
      </c>
      <c r="BF22" s="8">
        <v>3418</v>
      </c>
      <c r="BG22" s="8">
        <v>3511</v>
      </c>
      <c r="BH22" s="8">
        <v>3579</v>
      </c>
      <c r="BI22" s="8">
        <v>3751</v>
      </c>
      <c r="BJ22" s="8">
        <v>3671</v>
      </c>
      <c r="BK22" s="8">
        <v>3726</v>
      </c>
      <c r="BL22" s="8">
        <v>3739</v>
      </c>
      <c r="BM22" s="8">
        <v>3892</v>
      </c>
      <c r="BN22" s="8">
        <v>3891</v>
      </c>
      <c r="BO22" s="8">
        <v>3785</v>
      </c>
      <c r="BP22" s="8">
        <v>3719</v>
      </c>
      <c r="BQ22" s="8">
        <v>3573</v>
      </c>
      <c r="BR22" s="8">
        <v>3881</v>
      </c>
      <c r="BS22" s="8">
        <v>4060</v>
      </c>
      <c r="BT22" s="8">
        <v>4324</v>
      </c>
      <c r="BU22" s="8">
        <v>4569</v>
      </c>
      <c r="BV22" s="8">
        <v>4653</v>
      </c>
      <c r="BW22" s="8">
        <v>4518</v>
      </c>
      <c r="BX22" s="8">
        <v>4453</v>
      </c>
      <c r="BY22" s="8">
        <v>4360</v>
      </c>
      <c r="BZ22" s="8">
        <v>4446</v>
      </c>
      <c r="CA22" s="8">
        <v>4488</v>
      </c>
      <c r="CB22" s="8">
        <v>4656</v>
      </c>
      <c r="CC22" s="8">
        <v>4727</v>
      </c>
      <c r="CD22" s="8">
        <v>4889</v>
      </c>
      <c r="CE22" s="8">
        <v>5161</v>
      </c>
      <c r="CF22" s="8">
        <v>5035</v>
      </c>
      <c r="CG22" s="8">
        <v>5288</v>
      </c>
      <c r="CH22" s="8">
        <v>5630</v>
      </c>
      <c r="CI22" s="8">
        <v>5974</v>
      </c>
      <c r="CJ22" s="8">
        <v>6079</v>
      </c>
      <c r="CK22" s="7">
        <v>5838</v>
      </c>
      <c r="CL22" s="7">
        <v>5999</v>
      </c>
      <c r="CM22" s="7">
        <v>5657</v>
      </c>
      <c r="CN22" s="7">
        <v>5433</v>
      </c>
      <c r="CO22" s="7">
        <v>5554</v>
      </c>
      <c r="CQ22" s="7">
        <v>5664</v>
      </c>
      <c r="CR22" s="7">
        <v>5918</v>
      </c>
      <c r="CS22" s="7">
        <v>5593</v>
      </c>
    </row>
    <row r="23" spans="1:97">
      <c r="A23" s="54" t="s">
        <v>245</v>
      </c>
      <c r="B23" s="68">
        <f t="shared" ref="B23:BR23" si="23">SUM(B25:B37)</f>
        <v>80002</v>
      </c>
      <c r="C23" s="55">
        <f t="shared" si="23"/>
        <v>86807</v>
      </c>
      <c r="D23" s="55">
        <f t="shared" si="23"/>
        <v>91899</v>
      </c>
      <c r="E23" s="55">
        <f t="shared" si="23"/>
        <v>94795</v>
      </c>
      <c r="F23" s="55">
        <f t="shared" si="23"/>
        <v>96345</v>
      </c>
      <c r="G23" s="55">
        <f t="shared" si="23"/>
        <v>91539</v>
      </c>
      <c r="H23" s="55">
        <f t="shared" si="23"/>
        <v>91396</v>
      </c>
      <c r="I23" s="55">
        <f t="shared" si="23"/>
        <v>89751</v>
      </c>
      <c r="J23" s="55">
        <f t="shared" si="23"/>
        <v>87597</v>
      </c>
      <c r="K23" s="55">
        <f t="shared" si="23"/>
        <v>84595</v>
      </c>
      <c r="L23" s="55">
        <f t="shared" si="23"/>
        <v>84541</v>
      </c>
      <c r="M23" s="55">
        <f t="shared" si="23"/>
        <v>83402</v>
      </c>
      <c r="N23" s="55">
        <f t="shared" si="23"/>
        <v>86079</v>
      </c>
      <c r="O23" s="55">
        <f t="shared" si="23"/>
        <v>87040</v>
      </c>
      <c r="P23" s="55">
        <f t="shared" si="23"/>
        <v>87629</v>
      </c>
      <c r="Q23" s="55">
        <f t="shared" si="23"/>
        <v>87832</v>
      </c>
      <c r="R23" s="55">
        <f t="shared" si="23"/>
        <v>88407</v>
      </c>
      <c r="S23" s="55">
        <f t="shared" si="23"/>
        <v>88801</v>
      </c>
      <c r="T23" s="55">
        <f t="shared" si="23"/>
        <v>86643</v>
      </c>
      <c r="U23" s="55">
        <f t="shared" si="23"/>
        <v>88706</v>
      </c>
      <c r="V23" s="55">
        <f t="shared" si="23"/>
        <v>91925</v>
      </c>
      <c r="W23" s="55">
        <f t="shared" si="23"/>
        <v>95193</v>
      </c>
      <c r="X23" s="55">
        <f t="shared" si="23"/>
        <v>96946</v>
      </c>
      <c r="Y23" s="55">
        <f t="shared" si="23"/>
        <v>100913</v>
      </c>
      <c r="Z23" s="55">
        <f t="shared" si="23"/>
        <v>102255</v>
      </c>
      <c r="AA23" s="55">
        <f t="shared" si="23"/>
        <v>102504</v>
      </c>
      <c r="AB23" s="55">
        <f t="shared" si="23"/>
        <v>102696</v>
      </c>
      <c r="AC23" s="55">
        <f t="shared" si="23"/>
        <v>103229</v>
      </c>
      <c r="AD23" s="55">
        <f t="shared" si="23"/>
        <v>104488</v>
      </c>
      <c r="AE23" s="55">
        <f t="shared" si="23"/>
        <v>105462</v>
      </c>
      <c r="AF23" s="55">
        <f t="shared" si="23"/>
        <v>108144</v>
      </c>
      <c r="AG23" s="55">
        <f t="shared" si="23"/>
        <v>107373</v>
      </c>
      <c r="AH23" s="55">
        <f t="shared" si="23"/>
        <v>113420</v>
      </c>
      <c r="AI23" s="55">
        <f t="shared" si="23"/>
        <v>118936</v>
      </c>
      <c r="AJ23" s="55">
        <f t="shared" si="23"/>
        <v>125058</v>
      </c>
      <c r="AK23" s="55">
        <f t="shared" si="23"/>
        <v>131089</v>
      </c>
      <c r="AL23" s="55">
        <f t="shared" si="23"/>
        <v>131223</v>
      </c>
      <c r="AM23" s="55">
        <f t="shared" si="23"/>
        <v>140345</v>
      </c>
      <c r="AN23" s="55">
        <f t="shared" si="23"/>
        <v>144523</v>
      </c>
      <c r="AO23" s="55">
        <f>SUM(AO25:AO37)</f>
        <v>146557</v>
      </c>
      <c r="AP23" s="55">
        <f>SUM(AP25:AP37)</f>
        <v>150066</v>
      </c>
      <c r="AQ23" s="55">
        <f>SUM(AQ25:AQ37)</f>
        <v>147253</v>
      </c>
      <c r="AR23" s="55">
        <f>SUM(AR25:AR37)</f>
        <v>162820</v>
      </c>
      <c r="AS23" s="55">
        <f>SUM(AS25:AS37)</f>
        <v>168960</v>
      </c>
      <c r="AT23" s="55">
        <f t="shared" ref="AT23:AW23" si="24">SUM(AT25:AT37)</f>
        <v>0</v>
      </c>
      <c r="AU23" s="55">
        <f t="shared" si="24"/>
        <v>176624</v>
      </c>
      <c r="AV23" s="55">
        <f t="shared" si="24"/>
        <v>178960</v>
      </c>
      <c r="AW23" s="55">
        <f t="shared" si="24"/>
        <v>183761</v>
      </c>
      <c r="AX23" s="77">
        <f t="shared" si="23"/>
        <v>56887</v>
      </c>
      <c r="AY23" s="55">
        <f t="shared" si="23"/>
        <v>60798</v>
      </c>
      <c r="AZ23" s="55">
        <f t="shared" si="23"/>
        <v>63948</v>
      </c>
      <c r="BA23" s="55">
        <f t="shared" si="23"/>
        <v>65524</v>
      </c>
      <c r="BB23" s="55">
        <f t="shared" si="23"/>
        <v>69520</v>
      </c>
      <c r="BC23" s="55">
        <f t="shared" si="23"/>
        <v>69129</v>
      </c>
      <c r="BD23" s="55">
        <f t="shared" si="23"/>
        <v>70156</v>
      </c>
      <c r="BE23" s="55">
        <f t="shared" si="23"/>
        <v>70861</v>
      </c>
      <c r="BF23" s="55">
        <f t="shared" si="23"/>
        <v>73765</v>
      </c>
      <c r="BG23" s="55">
        <f t="shared" si="23"/>
        <v>74673</v>
      </c>
      <c r="BH23" s="55">
        <f t="shared" si="23"/>
        <v>76780</v>
      </c>
      <c r="BI23" s="55">
        <f t="shared" si="23"/>
        <v>77349</v>
      </c>
      <c r="BJ23" s="55">
        <f t="shared" si="23"/>
        <v>81712</v>
      </c>
      <c r="BK23" s="55">
        <f t="shared" si="23"/>
        <v>83672</v>
      </c>
      <c r="BL23" s="55">
        <f t="shared" si="23"/>
        <v>85053</v>
      </c>
      <c r="BM23" s="55">
        <f t="shared" si="23"/>
        <v>85093</v>
      </c>
      <c r="BN23" s="55">
        <f t="shared" si="23"/>
        <v>86167</v>
      </c>
      <c r="BO23" s="55">
        <f t="shared" si="23"/>
        <v>88357</v>
      </c>
      <c r="BP23" s="55">
        <f t="shared" si="23"/>
        <v>89206</v>
      </c>
      <c r="BQ23" s="55">
        <f t="shared" si="23"/>
        <v>92925</v>
      </c>
      <c r="BR23" s="55">
        <f t="shared" si="23"/>
        <v>99481</v>
      </c>
      <c r="BS23" s="55">
        <f t="shared" ref="BS23:CK23" si="25">SUM(BS25:BS37)</f>
        <v>104714</v>
      </c>
      <c r="BT23" s="55">
        <f t="shared" si="25"/>
        <v>110571</v>
      </c>
      <c r="BU23" s="55">
        <f t="shared" si="25"/>
        <v>115813</v>
      </c>
      <c r="BV23" s="55">
        <f t="shared" si="25"/>
        <v>118882</v>
      </c>
      <c r="BW23" s="55">
        <f t="shared" si="25"/>
        <v>118726</v>
      </c>
      <c r="BX23" s="55">
        <f t="shared" si="25"/>
        <v>122066</v>
      </c>
      <c r="BY23" s="55">
        <f t="shared" si="25"/>
        <v>124314</v>
      </c>
      <c r="BZ23" s="55">
        <f t="shared" si="25"/>
        <v>128067</v>
      </c>
      <c r="CA23" s="55">
        <f t="shared" si="25"/>
        <v>133220</v>
      </c>
      <c r="CB23" s="55">
        <f t="shared" si="25"/>
        <v>140403</v>
      </c>
      <c r="CC23" s="55">
        <f t="shared" si="25"/>
        <v>141343</v>
      </c>
      <c r="CD23" s="55">
        <f t="shared" si="25"/>
        <v>148165</v>
      </c>
      <c r="CE23" s="55">
        <f t="shared" si="25"/>
        <v>155326</v>
      </c>
      <c r="CF23" s="55">
        <f t="shared" ref="CF23" si="26">SUM(CF25:CF37)</f>
        <v>163553</v>
      </c>
      <c r="CG23" s="55">
        <f t="shared" si="25"/>
        <v>170008</v>
      </c>
      <c r="CH23" s="55">
        <f t="shared" si="25"/>
        <v>171169</v>
      </c>
      <c r="CI23" s="55">
        <f t="shared" si="25"/>
        <v>182765</v>
      </c>
      <c r="CJ23" s="55">
        <f t="shared" si="25"/>
        <v>187647</v>
      </c>
      <c r="CK23" s="55">
        <f t="shared" si="25"/>
        <v>191117</v>
      </c>
      <c r="CL23" s="55">
        <f t="shared" ref="CL23:CM23" si="27">SUM(CL25:CL37)</f>
        <v>196853</v>
      </c>
      <c r="CM23" s="55">
        <f t="shared" si="27"/>
        <v>190299</v>
      </c>
      <c r="CN23" s="55">
        <f t="shared" ref="CN23:CO23" si="28">SUM(CN25:CN37)</f>
        <v>217856</v>
      </c>
      <c r="CO23" s="55">
        <f t="shared" si="28"/>
        <v>226087</v>
      </c>
      <c r="CP23" s="55">
        <f t="shared" ref="CP23:CS23" si="29">SUM(CP25:CP37)</f>
        <v>0</v>
      </c>
      <c r="CQ23" s="55">
        <f t="shared" si="29"/>
        <v>235984</v>
      </c>
      <c r="CR23" s="55">
        <f t="shared" si="29"/>
        <v>237494</v>
      </c>
      <c r="CS23" s="55">
        <f t="shared" si="29"/>
        <v>242764</v>
      </c>
    </row>
    <row r="24" spans="1:97">
      <c r="A24" s="56" t="s">
        <v>244</v>
      </c>
      <c r="B24" s="69">
        <f t="shared" ref="B24:BR24" si="30">(B23/B4)*100</f>
        <v>17.846833381667299</v>
      </c>
      <c r="C24" s="57">
        <f t="shared" si="30"/>
        <v>18.363767907460844</v>
      </c>
      <c r="D24" s="57">
        <f t="shared" si="30"/>
        <v>18.475280248323337</v>
      </c>
      <c r="E24" s="57">
        <f t="shared" si="30"/>
        <v>18.409226849370402</v>
      </c>
      <c r="F24" s="57">
        <f t="shared" si="30"/>
        <v>18.381048317860781</v>
      </c>
      <c r="G24" s="57">
        <f t="shared" si="30"/>
        <v>18.241401299270656</v>
      </c>
      <c r="H24" s="57">
        <f t="shared" si="30"/>
        <v>18.214211692680514</v>
      </c>
      <c r="I24" s="57">
        <f t="shared" si="30"/>
        <v>18.213346429209214</v>
      </c>
      <c r="J24" s="57">
        <f t="shared" si="30"/>
        <v>18.10057320444843</v>
      </c>
      <c r="K24" s="57">
        <f t="shared" si="30"/>
        <v>17.842228259035533</v>
      </c>
      <c r="L24" s="57">
        <f t="shared" si="30"/>
        <v>17.961116575913184</v>
      </c>
      <c r="M24" s="57">
        <f t="shared" si="30"/>
        <v>17.865718992260515</v>
      </c>
      <c r="N24" s="57">
        <f t="shared" si="30"/>
        <v>18.300157534552365</v>
      </c>
      <c r="O24" s="57">
        <f t="shared" si="30"/>
        <v>18.288019498256084</v>
      </c>
      <c r="P24" s="57">
        <f t="shared" si="30"/>
        <v>18.301031702936385</v>
      </c>
      <c r="Q24" s="57">
        <f t="shared" si="30"/>
        <v>18.334084798690782</v>
      </c>
      <c r="R24" s="57">
        <f t="shared" si="30"/>
        <v>18.320643907210385</v>
      </c>
      <c r="S24" s="57">
        <f t="shared" si="30"/>
        <v>18.588581548109971</v>
      </c>
      <c r="T24" s="57">
        <f t="shared" si="30"/>
        <v>18.290072532910013</v>
      </c>
      <c r="U24" s="57">
        <f t="shared" si="30"/>
        <v>18.485731314419564</v>
      </c>
      <c r="V24" s="57">
        <f t="shared" si="30"/>
        <v>18.80895381908211</v>
      </c>
      <c r="W24" s="57">
        <f t="shared" si="30"/>
        <v>18.996162572812338</v>
      </c>
      <c r="X24" s="57">
        <f t="shared" si="30"/>
        <v>18.722998275365928</v>
      </c>
      <c r="Y24" s="57">
        <f t="shared" si="30"/>
        <v>19.048239255836428</v>
      </c>
      <c r="Z24" s="57">
        <f t="shared" si="30"/>
        <v>19.31559093373329</v>
      </c>
      <c r="AA24" s="57">
        <f t="shared" si="30"/>
        <v>19.590020755055939</v>
      </c>
      <c r="AB24" s="57">
        <f t="shared" si="30"/>
        <v>19.762874753916645</v>
      </c>
      <c r="AC24" s="57">
        <f t="shared" si="30"/>
        <v>19.934420277960694</v>
      </c>
      <c r="AD24" s="57">
        <f t="shared" si="30"/>
        <v>20.199387955915814</v>
      </c>
      <c r="AE24" s="57">
        <f t="shared" si="30"/>
        <v>20.430769946066579</v>
      </c>
      <c r="AF24" s="57">
        <f t="shared" si="30"/>
        <v>20.490161713576551</v>
      </c>
      <c r="AG24" s="57">
        <f t="shared" si="30"/>
        <v>20.28630915494022</v>
      </c>
      <c r="AH24" s="57">
        <f t="shared" si="30"/>
        <v>20.732378301012492</v>
      </c>
      <c r="AI24" s="57">
        <f t="shared" si="30"/>
        <v>20.852575363889152</v>
      </c>
      <c r="AJ24" s="57">
        <f t="shared" si="30"/>
        <v>21.117456543544264</v>
      </c>
      <c r="AK24" s="57">
        <f t="shared" si="30"/>
        <v>21.48499857410242</v>
      </c>
      <c r="AL24" s="57">
        <f t="shared" si="30"/>
        <v>21.189333557246385</v>
      </c>
      <c r="AM24" s="57">
        <f t="shared" si="30"/>
        <v>21.701112385924006</v>
      </c>
      <c r="AN24" s="57">
        <f t="shared" si="30"/>
        <v>21.732128357041894</v>
      </c>
      <c r="AO24" s="57">
        <f>(AO23/AO4)*100</f>
        <v>21.474308254063146</v>
      </c>
      <c r="AP24" s="57">
        <f>(AP23/AP4)*100</f>
        <v>21.361343293780035</v>
      </c>
      <c r="AQ24" s="57">
        <f>(AQ23/AQ4)*100</f>
        <v>20.608919946648825</v>
      </c>
      <c r="AR24" s="57">
        <f>(AR23/AR4)*100</f>
        <v>21.636059212799317</v>
      </c>
      <c r="AS24" s="57">
        <f>(AS23/AS4)*100</f>
        <v>21.863410619592702</v>
      </c>
      <c r="AT24" s="57" t="e">
        <f t="shared" ref="AT24:AW24" si="31">(AT23/AT4)*100</f>
        <v>#DIV/0!</v>
      </c>
      <c r="AU24" s="57">
        <f t="shared" si="31"/>
        <v>22.239038437082524</v>
      </c>
      <c r="AV24" s="57">
        <f t="shared" si="31"/>
        <v>22.275135765558428</v>
      </c>
      <c r="AW24" s="57">
        <f t="shared" si="31"/>
        <v>22.491781046591612</v>
      </c>
      <c r="AX24" s="78">
        <f t="shared" si="30"/>
        <v>16.819575482158012</v>
      </c>
      <c r="AY24" s="57">
        <f t="shared" si="30"/>
        <v>16.696554849163086</v>
      </c>
      <c r="AZ24" s="57">
        <f t="shared" si="30"/>
        <v>16.537620059894177</v>
      </c>
      <c r="BA24" s="57">
        <f t="shared" si="30"/>
        <v>16.211949892495998</v>
      </c>
      <c r="BB24" s="57">
        <f t="shared" si="30"/>
        <v>16.613216970716575</v>
      </c>
      <c r="BC24" s="57">
        <f t="shared" si="30"/>
        <v>16.53439912746477</v>
      </c>
      <c r="BD24" s="57">
        <f t="shared" si="30"/>
        <v>16.671221255593231</v>
      </c>
      <c r="BE24" s="57">
        <f t="shared" si="30"/>
        <v>16.712342336393053</v>
      </c>
      <c r="BF24" s="57">
        <f t="shared" si="30"/>
        <v>17.002459381028885</v>
      </c>
      <c r="BG24" s="57">
        <f t="shared" si="30"/>
        <v>16.817069078510286</v>
      </c>
      <c r="BH24" s="57">
        <f t="shared" si="30"/>
        <v>16.853796933478208</v>
      </c>
      <c r="BI24" s="57">
        <f t="shared" si="30"/>
        <v>16.632619709102794</v>
      </c>
      <c r="BJ24" s="57">
        <f t="shared" si="30"/>
        <v>17.045528031290743</v>
      </c>
      <c r="BK24" s="57">
        <f t="shared" si="30"/>
        <v>17.072155524904716</v>
      </c>
      <c r="BL24" s="57">
        <f t="shared" si="30"/>
        <v>17.299044264058917</v>
      </c>
      <c r="BM24" s="57">
        <f t="shared" si="30"/>
        <v>17.13442873827071</v>
      </c>
      <c r="BN24" s="57">
        <f t="shared" si="30"/>
        <v>17.179182500029906</v>
      </c>
      <c r="BO24" s="57">
        <f t="shared" si="30"/>
        <v>17.319536300518664</v>
      </c>
      <c r="BP24" s="57">
        <f t="shared" si="30"/>
        <v>17.281755026288973</v>
      </c>
      <c r="BQ24" s="57">
        <f t="shared" si="30"/>
        <v>17.42112920038095</v>
      </c>
      <c r="BR24" s="57">
        <f t="shared" si="30"/>
        <v>17.785775455948109</v>
      </c>
      <c r="BS24" s="57">
        <f t="shared" ref="BS24:CK24" si="32">(BS23/BS4)*100</f>
        <v>17.743804901854464</v>
      </c>
      <c r="BT24" s="57">
        <f t="shared" si="32"/>
        <v>17.968331042014022</v>
      </c>
      <c r="BU24" s="57">
        <f t="shared" si="32"/>
        <v>18.326088642106978</v>
      </c>
      <c r="BV24" s="57">
        <f t="shared" si="32"/>
        <v>18.678922146280147</v>
      </c>
      <c r="BW24" s="57">
        <f t="shared" si="32"/>
        <v>18.738202410338321</v>
      </c>
      <c r="BX24" s="57">
        <f t="shared" si="32"/>
        <v>19.014846927569238</v>
      </c>
      <c r="BY24" s="57">
        <f t="shared" si="32"/>
        <v>19.06750024541082</v>
      </c>
      <c r="BZ24" s="57">
        <f t="shared" si="32"/>
        <v>19.286850237646309</v>
      </c>
      <c r="CA24" s="57">
        <f t="shared" si="32"/>
        <v>19.558473552310328</v>
      </c>
      <c r="CB24" s="57">
        <f t="shared" si="32"/>
        <v>19.857493002646194</v>
      </c>
      <c r="CC24" s="57">
        <f t="shared" si="32"/>
        <v>19.856788028299608</v>
      </c>
      <c r="CD24" s="57">
        <f t="shared" si="32"/>
        <v>19.979422536502746</v>
      </c>
      <c r="CE24" s="57">
        <f t="shared" si="32"/>
        <v>20.041133573150148</v>
      </c>
      <c r="CF24" s="57">
        <f t="shared" si="32"/>
        <v>20.364398380340965</v>
      </c>
      <c r="CG24" s="57">
        <f t="shared" si="32"/>
        <v>20.590233663932331</v>
      </c>
      <c r="CH24" s="57">
        <f t="shared" si="32"/>
        <v>20.291963188074892</v>
      </c>
      <c r="CI24" s="57">
        <f t="shared" si="32"/>
        <v>20.912978255720418</v>
      </c>
      <c r="CJ24" s="57">
        <f t="shared" si="32"/>
        <v>20.981125071419708</v>
      </c>
      <c r="CK24" s="57">
        <f t="shared" si="32"/>
        <v>20.878524234849941</v>
      </c>
      <c r="CL24" s="57">
        <f t="shared" ref="CL24:CM24" si="33">(CL23/CL4)*100</f>
        <v>20.929940788893106</v>
      </c>
      <c r="CM24" s="57">
        <f t="shared" si="33"/>
        <v>19.88235601410474</v>
      </c>
      <c r="CN24" s="57">
        <f t="shared" ref="CN24:CO24" si="34">(CN23/CN4)*100</f>
        <v>21.4815289576051</v>
      </c>
      <c r="CO24" s="57">
        <f t="shared" si="34"/>
        <v>21.776552595661968</v>
      </c>
      <c r="CP24" s="57" t="e">
        <f t="shared" ref="CP24:CS24" si="35">(CP23/CP4)*100</f>
        <v>#DIV/0!</v>
      </c>
      <c r="CQ24" s="57">
        <f t="shared" si="35"/>
        <v>22.205138579809834</v>
      </c>
      <c r="CR24" s="57">
        <f t="shared" si="35"/>
        <v>22.022464408480207</v>
      </c>
      <c r="CS24" s="57">
        <f t="shared" si="35"/>
        <v>22.151394567723699</v>
      </c>
    </row>
    <row r="25" spans="1:97" s="7" customFormat="1">
      <c r="A25" s="72" t="s">
        <v>167</v>
      </c>
      <c r="B25" s="9">
        <v>195</v>
      </c>
      <c r="C25" s="7">
        <v>206</v>
      </c>
      <c r="D25" s="7">
        <v>326</v>
      </c>
      <c r="E25" s="7">
        <v>300</v>
      </c>
      <c r="F25" s="7">
        <v>375</v>
      </c>
      <c r="G25" s="7">
        <v>329</v>
      </c>
      <c r="H25" s="7">
        <v>232</v>
      </c>
      <c r="I25" s="7">
        <v>191</v>
      </c>
      <c r="J25" s="7">
        <v>157</v>
      </c>
      <c r="K25" s="7">
        <v>180</v>
      </c>
      <c r="L25" s="7">
        <v>179</v>
      </c>
      <c r="M25" s="7">
        <v>214</v>
      </c>
      <c r="N25" s="7">
        <v>224</v>
      </c>
      <c r="O25" s="7">
        <v>278</v>
      </c>
      <c r="P25" s="7">
        <v>294</v>
      </c>
      <c r="Q25" s="7">
        <v>344</v>
      </c>
      <c r="R25" s="7">
        <v>332</v>
      </c>
      <c r="S25" s="7">
        <v>419</v>
      </c>
      <c r="T25" s="7">
        <v>428</v>
      </c>
      <c r="U25" s="7">
        <v>412</v>
      </c>
      <c r="V25" s="7">
        <v>422</v>
      </c>
      <c r="W25" s="7">
        <v>443</v>
      </c>
      <c r="X25" s="7">
        <v>438</v>
      </c>
      <c r="Y25" s="7">
        <v>503</v>
      </c>
      <c r="Z25" s="7">
        <v>551</v>
      </c>
      <c r="AA25" s="7">
        <v>613</v>
      </c>
      <c r="AB25" s="7">
        <v>595</v>
      </c>
      <c r="AC25" s="7">
        <v>614</v>
      </c>
      <c r="AD25" s="7">
        <v>589</v>
      </c>
      <c r="AE25" s="7">
        <v>515</v>
      </c>
      <c r="AF25" s="7">
        <v>537</v>
      </c>
      <c r="AG25" s="7">
        <v>514</v>
      </c>
      <c r="AH25" s="7">
        <v>505</v>
      </c>
      <c r="AI25" s="7">
        <v>489</v>
      </c>
      <c r="AJ25" s="7">
        <v>536</v>
      </c>
      <c r="AK25" s="7">
        <v>563</v>
      </c>
      <c r="AL25" s="7">
        <v>595</v>
      </c>
      <c r="AM25" s="7">
        <v>563</v>
      </c>
      <c r="AN25" s="7">
        <v>551</v>
      </c>
      <c r="AO25" s="7">
        <v>615</v>
      </c>
      <c r="AP25" s="7">
        <v>608</v>
      </c>
      <c r="AQ25" s="7">
        <v>686</v>
      </c>
      <c r="AR25" s="7">
        <v>729</v>
      </c>
      <c r="AS25" s="7">
        <v>772</v>
      </c>
      <c r="AU25" s="7">
        <v>781</v>
      </c>
      <c r="AV25" s="7">
        <v>797</v>
      </c>
      <c r="AW25" s="7">
        <v>841</v>
      </c>
      <c r="AX25" s="79">
        <v>120</v>
      </c>
      <c r="AY25" s="7">
        <v>163</v>
      </c>
      <c r="AZ25" s="7">
        <v>194</v>
      </c>
      <c r="BA25" s="7">
        <v>208</v>
      </c>
      <c r="BB25" s="7">
        <v>263</v>
      </c>
      <c r="BC25" s="7">
        <v>281</v>
      </c>
      <c r="BD25" s="7">
        <v>243</v>
      </c>
      <c r="BE25" s="7">
        <v>232</v>
      </c>
      <c r="BF25" s="7">
        <v>200</v>
      </c>
      <c r="BG25" s="7">
        <v>190</v>
      </c>
      <c r="BH25" s="7">
        <v>240</v>
      </c>
      <c r="BI25" s="7">
        <v>251</v>
      </c>
      <c r="BJ25" s="7">
        <v>311</v>
      </c>
      <c r="BK25" s="7">
        <v>393</v>
      </c>
      <c r="BL25" s="7">
        <v>391</v>
      </c>
      <c r="BM25" s="7">
        <v>476</v>
      </c>
      <c r="BN25" s="7">
        <v>454</v>
      </c>
      <c r="BO25" s="7">
        <v>479</v>
      </c>
      <c r="BP25" s="7">
        <v>499</v>
      </c>
      <c r="BQ25" s="7">
        <v>599</v>
      </c>
      <c r="BR25" s="7">
        <v>621</v>
      </c>
      <c r="BS25" s="7">
        <v>705</v>
      </c>
      <c r="BT25" s="7">
        <v>676</v>
      </c>
      <c r="BU25" s="7">
        <v>757</v>
      </c>
      <c r="BV25" s="7">
        <v>845</v>
      </c>
      <c r="BW25" s="7">
        <v>913</v>
      </c>
      <c r="BX25" s="7">
        <v>898</v>
      </c>
      <c r="BY25" s="7">
        <v>859</v>
      </c>
      <c r="BZ25" s="7">
        <v>890</v>
      </c>
      <c r="CA25" s="7">
        <v>854</v>
      </c>
      <c r="CB25" s="7">
        <v>827</v>
      </c>
      <c r="CC25" s="7">
        <v>824</v>
      </c>
      <c r="CD25" s="7">
        <v>872</v>
      </c>
      <c r="CE25" s="7">
        <v>874</v>
      </c>
      <c r="CF25" s="7">
        <v>869</v>
      </c>
      <c r="CG25" s="7">
        <v>864</v>
      </c>
      <c r="CH25" s="7">
        <v>978</v>
      </c>
      <c r="CI25" s="7">
        <v>949</v>
      </c>
      <c r="CJ25" s="7">
        <v>947</v>
      </c>
      <c r="CK25" s="7">
        <v>1011</v>
      </c>
      <c r="CL25" s="7">
        <v>1011</v>
      </c>
      <c r="CM25" s="7">
        <v>1084</v>
      </c>
      <c r="CN25" s="7">
        <v>1021</v>
      </c>
      <c r="CO25" s="7">
        <v>1123</v>
      </c>
      <c r="CQ25" s="7">
        <v>1151</v>
      </c>
      <c r="CR25" s="7">
        <v>1160</v>
      </c>
      <c r="CS25" s="7">
        <v>1165</v>
      </c>
    </row>
    <row r="26" spans="1:97" s="7" customFormat="1">
      <c r="A26" s="72" t="s">
        <v>168</v>
      </c>
      <c r="B26" s="9">
        <v>4786</v>
      </c>
      <c r="C26" s="7">
        <v>4991</v>
      </c>
      <c r="D26" s="7">
        <v>4551</v>
      </c>
      <c r="E26" s="7">
        <v>4730</v>
      </c>
      <c r="F26" s="7">
        <v>4874</v>
      </c>
      <c r="G26" s="7">
        <v>5079</v>
      </c>
      <c r="H26" s="7">
        <v>5124</v>
      </c>
      <c r="I26" s="7">
        <v>5150</v>
      </c>
      <c r="J26" s="7">
        <v>5220</v>
      </c>
      <c r="K26" s="7">
        <v>5283</v>
      </c>
      <c r="L26" s="7">
        <v>5430</v>
      </c>
      <c r="M26" s="7">
        <v>5615</v>
      </c>
      <c r="N26" s="7">
        <v>5827</v>
      </c>
      <c r="O26" s="7">
        <v>6072</v>
      </c>
      <c r="P26" s="7">
        <v>5885</v>
      </c>
      <c r="Q26" s="7">
        <v>6339</v>
      </c>
      <c r="R26" s="7">
        <v>6206</v>
      </c>
      <c r="S26" s="7">
        <v>6325</v>
      </c>
      <c r="T26" s="7">
        <v>6223</v>
      </c>
      <c r="U26" s="7">
        <v>7275</v>
      </c>
      <c r="V26" s="7">
        <v>7308</v>
      </c>
      <c r="W26" s="7">
        <v>9430</v>
      </c>
      <c r="X26" s="7">
        <v>7137</v>
      </c>
      <c r="Y26" s="7">
        <v>7593</v>
      </c>
      <c r="Z26" s="7">
        <v>7504</v>
      </c>
      <c r="AA26" s="7">
        <v>7694</v>
      </c>
      <c r="AB26" s="7">
        <v>7976</v>
      </c>
      <c r="AC26" s="7">
        <v>8156</v>
      </c>
      <c r="AD26" s="7">
        <v>8588</v>
      </c>
      <c r="AE26" s="7">
        <v>8704</v>
      </c>
      <c r="AF26" s="7">
        <v>9419</v>
      </c>
      <c r="AG26" s="7">
        <v>9468</v>
      </c>
      <c r="AH26" s="7">
        <v>9926</v>
      </c>
      <c r="AI26" s="7">
        <v>10539</v>
      </c>
      <c r="AJ26" s="7">
        <v>11784</v>
      </c>
      <c r="AK26" s="7">
        <v>12860</v>
      </c>
      <c r="AL26" s="7">
        <v>10066</v>
      </c>
      <c r="AM26" s="7">
        <v>15692</v>
      </c>
      <c r="AN26" s="7">
        <v>16396</v>
      </c>
      <c r="AO26" s="7">
        <v>16592</v>
      </c>
      <c r="AP26" s="7">
        <v>17727</v>
      </c>
      <c r="AQ26" s="7">
        <v>12553</v>
      </c>
      <c r="AR26" s="7">
        <v>23892</v>
      </c>
      <c r="AS26" s="7">
        <v>24271</v>
      </c>
      <c r="AU26" s="7">
        <v>21271</v>
      </c>
      <c r="AV26" s="7">
        <v>21087</v>
      </c>
      <c r="AW26" s="7">
        <v>21622</v>
      </c>
      <c r="AX26" s="79">
        <v>3110</v>
      </c>
      <c r="AY26" s="7">
        <v>3300</v>
      </c>
      <c r="AZ26" s="7">
        <v>3356</v>
      </c>
      <c r="BA26" s="7">
        <v>3621</v>
      </c>
      <c r="BB26" s="7">
        <v>3798</v>
      </c>
      <c r="BC26" s="7">
        <v>3915</v>
      </c>
      <c r="BD26" s="7">
        <v>4106</v>
      </c>
      <c r="BE26" s="7">
        <v>4204</v>
      </c>
      <c r="BF26" s="7">
        <v>4266</v>
      </c>
      <c r="BG26" s="7">
        <v>4622</v>
      </c>
      <c r="BH26" s="7">
        <v>4757</v>
      </c>
      <c r="BI26" s="7">
        <v>5211</v>
      </c>
      <c r="BJ26" s="7">
        <v>5452</v>
      </c>
      <c r="BK26" s="7">
        <v>5725</v>
      </c>
      <c r="BL26" s="7">
        <v>5485</v>
      </c>
      <c r="BM26" s="7">
        <v>5897</v>
      </c>
      <c r="BN26" s="7">
        <v>5781</v>
      </c>
      <c r="BO26" s="7">
        <v>5962</v>
      </c>
      <c r="BP26" s="7">
        <v>6125</v>
      </c>
      <c r="BQ26" s="7">
        <v>6492</v>
      </c>
      <c r="BR26" s="7">
        <v>6957</v>
      </c>
      <c r="BS26" s="7">
        <v>8638</v>
      </c>
      <c r="BT26" s="7">
        <v>7543</v>
      </c>
      <c r="BU26" s="7">
        <v>8214</v>
      </c>
      <c r="BV26" s="7">
        <v>8589</v>
      </c>
      <c r="BW26" s="7">
        <v>8481</v>
      </c>
      <c r="BX26" s="7">
        <v>8987</v>
      </c>
      <c r="BY26" s="7">
        <v>9675</v>
      </c>
      <c r="BZ26" s="7">
        <v>9793</v>
      </c>
      <c r="CA26" s="7">
        <v>10278</v>
      </c>
      <c r="CB26" s="7">
        <v>11446</v>
      </c>
      <c r="CC26" s="7">
        <v>11388</v>
      </c>
      <c r="CD26" s="7">
        <v>12088</v>
      </c>
      <c r="CE26" s="7">
        <v>12836</v>
      </c>
      <c r="CF26" s="7">
        <v>14433</v>
      </c>
      <c r="CG26" s="7">
        <v>16273</v>
      </c>
      <c r="CH26" s="7">
        <v>12605</v>
      </c>
      <c r="CI26" s="7">
        <v>20913</v>
      </c>
      <c r="CJ26" s="7">
        <v>22620</v>
      </c>
      <c r="CK26" s="7">
        <v>23306</v>
      </c>
      <c r="CL26" s="7">
        <v>26612</v>
      </c>
      <c r="CM26" s="7">
        <v>16332</v>
      </c>
      <c r="CN26" s="7">
        <v>40401</v>
      </c>
      <c r="CO26" s="7">
        <v>41456</v>
      </c>
      <c r="CQ26" s="7">
        <v>36451</v>
      </c>
      <c r="CR26" s="7">
        <v>34754</v>
      </c>
      <c r="CS26" s="7">
        <v>34048</v>
      </c>
    </row>
    <row r="27" spans="1:97" s="7" customFormat="1">
      <c r="A27" s="72" t="s">
        <v>169</v>
      </c>
      <c r="B27" s="9">
        <v>39656</v>
      </c>
      <c r="C27" s="7">
        <v>43461</v>
      </c>
      <c r="D27" s="7">
        <v>46781</v>
      </c>
      <c r="E27" s="7">
        <v>49173</v>
      </c>
      <c r="F27" s="7">
        <v>50245</v>
      </c>
      <c r="G27" s="7">
        <v>47331</v>
      </c>
      <c r="H27" s="7">
        <v>47162</v>
      </c>
      <c r="I27" s="7">
        <v>45933</v>
      </c>
      <c r="J27" s="7">
        <v>45273</v>
      </c>
      <c r="K27" s="7">
        <v>43104</v>
      </c>
      <c r="L27" s="7">
        <v>42917</v>
      </c>
      <c r="M27" s="7">
        <v>41589</v>
      </c>
      <c r="N27" s="7">
        <v>42451</v>
      </c>
      <c r="O27" s="7">
        <v>42339</v>
      </c>
      <c r="P27" s="7">
        <v>43217</v>
      </c>
      <c r="Q27" s="7">
        <v>43062</v>
      </c>
      <c r="R27" s="7">
        <v>43494</v>
      </c>
      <c r="S27" s="7">
        <v>43949</v>
      </c>
      <c r="T27" s="7">
        <v>42353</v>
      </c>
      <c r="U27" s="7">
        <v>43267</v>
      </c>
      <c r="V27" s="7">
        <v>46024</v>
      </c>
      <c r="W27" s="7">
        <v>46786</v>
      </c>
      <c r="X27" s="7">
        <v>49372</v>
      </c>
      <c r="Y27" s="7">
        <v>50619</v>
      </c>
      <c r="Z27" s="7">
        <v>51055</v>
      </c>
      <c r="AA27" s="7">
        <v>50200</v>
      </c>
      <c r="AB27" s="7">
        <v>49494</v>
      </c>
      <c r="AC27" s="7">
        <v>49262</v>
      </c>
      <c r="AD27" s="7">
        <v>49490</v>
      </c>
      <c r="AE27" s="7">
        <v>50112</v>
      </c>
      <c r="AF27" s="7">
        <v>51767</v>
      </c>
      <c r="AG27" s="7">
        <v>51863</v>
      </c>
      <c r="AH27" s="7">
        <v>55250</v>
      </c>
      <c r="AI27" s="7">
        <v>57400</v>
      </c>
      <c r="AJ27" s="7">
        <v>59815</v>
      </c>
      <c r="AK27" s="7">
        <v>61897</v>
      </c>
      <c r="AL27" s="7">
        <v>63545</v>
      </c>
      <c r="AM27" s="7">
        <v>64865</v>
      </c>
      <c r="AN27" s="7">
        <v>67994</v>
      </c>
      <c r="AO27" s="7">
        <v>68634</v>
      </c>
      <c r="AP27" s="7">
        <v>70464</v>
      </c>
      <c r="AQ27" s="7">
        <v>71897</v>
      </c>
      <c r="AR27" s="7">
        <v>73637</v>
      </c>
      <c r="AS27" s="7">
        <v>77327</v>
      </c>
      <c r="AU27" s="7">
        <v>85546</v>
      </c>
      <c r="AV27" s="7">
        <v>86772</v>
      </c>
      <c r="AW27" s="7">
        <v>89840</v>
      </c>
      <c r="AX27" s="79">
        <v>28180</v>
      </c>
      <c r="AY27" s="7">
        <v>30353</v>
      </c>
      <c r="AZ27" s="7">
        <v>31888</v>
      </c>
      <c r="BA27" s="7">
        <v>33568</v>
      </c>
      <c r="BB27" s="7">
        <v>35940</v>
      </c>
      <c r="BC27" s="7">
        <v>35547</v>
      </c>
      <c r="BD27" s="7">
        <v>36399</v>
      </c>
      <c r="BE27" s="7">
        <v>36878</v>
      </c>
      <c r="BF27" s="7">
        <v>39002</v>
      </c>
      <c r="BG27" s="7">
        <v>39504</v>
      </c>
      <c r="BH27" s="7">
        <v>40178</v>
      </c>
      <c r="BI27" s="7">
        <v>40259</v>
      </c>
      <c r="BJ27" s="7">
        <v>41925</v>
      </c>
      <c r="BK27" s="7">
        <v>43019</v>
      </c>
      <c r="BL27" s="7">
        <v>44466</v>
      </c>
      <c r="BM27" s="7">
        <v>44335</v>
      </c>
      <c r="BN27" s="7">
        <v>45121</v>
      </c>
      <c r="BO27" s="7">
        <v>46054</v>
      </c>
      <c r="BP27" s="7">
        <v>46165</v>
      </c>
      <c r="BQ27" s="7">
        <v>48241</v>
      </c>
      <c r="BR27" s="7">
        <v>52133</v>
      </c>
      <c r="BS27" s="7">
        <v>53698</v>
      </c>
      <c r="BT27" s="7">
        <v>58090</v>
      </c>
      <c r="BU27" s="7">
        <v>60391</v>
      </c>
      <c r="BV27" s="7">
        <v>60793</v>
      </c>
      <c r="BW27" s="7">
        <v>59514</v>
      </c>
      <c r="BX27" s="7">
        <v>60751</v>
      </c>
      <c r="BY27" s="7">
        <v>61397</v>
      </c>
      <c r="BZ27" s="7">
        <v>62655</v>
      </c>
      <c r="CA27" s="7">
        <v>66229</v>
      </c>
      <c r="CB27" s="7">
        <v>69779</v>
      </c>
      <c r="CC27" s="7">
        <v>71519</v>
      </c>
      <c r="CD27" s="7">
        <v>75902</v>
      </c>
      <c r="CE27" s="7">
        <v>78448</v>
      </c>
      <c r="CF27" s="7">
        <v>82375</v>
      </c>
      <c r="CG27" s="7">
        <v>85062</v>
      </c>
      <c r="CH27" s="7">
        <v>87476</v>
      </c>
      <c r="CI27" s="7">
        <v>88447</v>
      </c>
      <c r="CJ27" s="7">
        <v>90658</v>
      </c>
      <c r="CK27" s="7">
        <v>92296</v>
      </c>
      <c r="CL27" s="7">
        <v>93682</v>
      </c>
      <c r="CM27" s="7">
        <v>96466</v>
      </c>
      <c r="CN27" s="7">
        <v>97273</v>
      </c>
      <c r="CO27" s="7">
        <v>101983</v>
      </c>
      <c r="CQ27" s="7">
        <v>114723</v>
      </c>
      <c r="CR27" s="7">
        <v>116214</v>
      </c>
      <c r="CS27" s="7">
        <v>120533</v>
      </c>
    </row>
    <row r="28" spans="1:97" s="7" customFormat="1">
      <c r="A28" s="72" t="s">
        <v>170</v>
      </c>
      <c r="B28" s="9">
        <v>6792</v>
      </c>
      <c r="C28" s="7">
        <v>7038</v>
      </c>
      <c r="D28" s="7">
        <v>7637</v>
      </c>
      <c r="E28" s="7">
        <v>7615</v>
      </c>
      <c r="F28" s="7">
        <v>7820</v>
      </c>
      <c r="G28" s="7">
        <v>7640</v>
      </c>
      <c r="H28" s="7">
        <v>7715</v>
      </c>
      <c r="I28" s="7">
        <v>7796</v>
      </c>
      <c r="J28" s="7">
        <v>7801</v>
      </c>
      <c r="K28" s="7">
        <v>7342</v>
      </c>
      <c r="L28" s="7">
        <v>7342</v>
      </c>
      <c r="M28" s="7">
        <v>7577</v>
      </c>
      <c r="N28" s="7">
        <v>7713</v>
      </c>
      <c r="O28" s="7">
        <v>7706</v>
      </c>
      <c r="P28" s="7">
        <v>7672</v>
      </c>
      <c r="Q28" s="7">
        <v>7589</v>
      </c>
      <c r="R28" s="7">
        <v>7682</v>
      </c>
      <c r="S28" s="7">
        <v>7612</v>
      </c>
      <c r="T28" s="7">
        <v>7569</v>
      </c>
      <c r="U28" s="7">
        <v>7643</v>
      </c>
      <c r="V28" s="7">
        <v>7940</v>
      </c>
      <c r="W28" s="7">
        <v>7960</v>
      </c>
      <c r="X28" s="7">
        <v>8292</v>
      </c>
      <c r="Y28" s="7">
        <v>8956</v>
      </c>
      <c r="Z28" s="7">
        <v>8918</v>
      </c>
      <c r="AA28" s="7">
        <v>9463</v>
      </c>
      <c r="AB28" s="7">
        <v>9005</v>
      </c>
      <c r="AC28" s="7">
        <v>9326</v>
      </c>
      <c r="AD28" s="7">
        <v>9301</v>
      </c>
      <c r="AE28" s="7">
        <v>9368</v>
      </c>
      <c r="AF28" s="7">
        <v>9633</v>
      </c>
      <c r="AG28" s="7">
        <v>9486</v>
      </c>
      <c r="AH28" s="7">
        <v>9905</v>
      </c>
      <c r="AI28" s="7">
        <v>10338</v>
      </c>
      <c r="AJ28" s="7">
        <v>10778</v>
      </c>
      <c r="AK28" s="7">
        <v>11455</v>
      </c>
      <c r="AL28" s="7">
        <v>11656</v>
      </c>
      <c r="AM28" s="7">
        <v>13107</v>
      </c>
      <c r="AN28" s="7">
        <v>13210</v>
      </c>
      <c r="AO28" s="7">
        <v>12898</v>
      </c>
      <c r="AP28" s="7">
        <v>12682</v>
      </c>
      <c r="AQ28" s="7">
        <v>12186</v>
      </c>
      <c r="AR28" s="7">
        <v>12650</v>
      </c>
      <c r="AS28" s="7">
        <v>12914</v>
      </c>
      <c r="AU28" s="7">
        <v>13320</v>
      </c>
      <c r="AV28" s="7">
        <v>14123</v>
      </c>
      <c r="AW28" s="7">
        <v>14547</v>
      </c>
      <c r="AX28" s="79">
        <v>5131</v>
      </c>
      <c r="AY28" s="7">
        <v>5363</v>
      </c>
      <c r="AZ28" s="7">
        <v>5795</v>
      </c>
      <c r="BA28" s="7">
        <v>5921</v>
      </c>
      <c r="BB28" s="7">
        <v>6221</v>
      </c>
      <c r="BC28" s="7">
        <v>6433</v>
      </c>
      <c r="BD28" s="7">
        <v>6461</v>
      </c>
      <c r="BE28" s="7">
        <v>6412</v>
      </c>
      <c r="BF28" s="7">
        <v>6679</v>
      </c>
      <c r="BG28" s="7">
        <v>6522</v>
      </c>
      <c r="BH28" s="7">
        <v>6786</v>
      </c>
      <c r="BI28" s="7">
        <v>7100</v>
      </c>
      <c r="BJ28" s="7">
        <v>7513</v>
      </c>
      <c r="BK28" s="7">
        <v>7469</v>
      </c>
      <c r="BL28" s="7">
        <v>7214</v>
      </c>
      <c r="BM28" s="7">
        <v>7332</v>
      </c>
      <c r="BN28" s="7">
        <v>7413</v>
      </c>
      <c r="BO28" s="7">
        <v>7606</v>
      </c>
      <c r="BP28" s="7">
        <v>7575</v>
      </c>
      <c r="BQ28" s="7">
        <v>7918</v>
      </c>
      <c r="BR28" s="7">
        <v>8495</v>
      </c>
      <c r="BS28" s="7">
        <v>8768</v>
      </c>
      <c r="BT28" s="7">
        <v>9354</v>
      </c>
      <c r="BU28" s="7">
        <v>9969</v>
      </c>
      <c r="BV28" s="7">
        <v>10036</v>
      </c>
      <c r="BW28" s="7">
        <v>10466</v>
      </c>
      <c r="BX28" s="7">
        <v>10434</v>
      </c>
      <c r="BY28" s="7">
        <v>10566</v>
      </c>
      <c r="BZ28" s="7">
        <v>11073</v>
      </c>
      <c r="CA28" s="7">
        <v>11356</v>
      </c>
      <c r="CB28" s="7">
        <v>11909</v>
      </c>
      <c r="CC28" s="7">
        <v>11924</v>
      </c>
      <c r="CD28" s="7">
        <v>12370</v>
      </c>
      <c r="CE28" s="7">
        <v>12747</v>
      </c>
      <c r="CF28" s="7">
        <v>13319</v>
      </c>
      <c r="CG28" s="7">
        <v>13775</v>
      </c>
      <c r="CH28" s="7">
        <v>14377</v>
      </c>
      <c r="CI28" s="7">
        <v>15758</v>
      </c>
      <c r="CJ28" s="7">
        <v>15975</v>
      </c>
      <c r="CK28" s="7">
        <v>15935</v>
      </c>
      <c r="CL28" s="7">
        <v>15864</v>
      </c>
      <c r="CM28" s="7">
        <v>15145</v>
      </c>
      <c r="CN28" s="7">
        <v>15494</v>
      </c>
      <c r="CO28" s="7">
        <v>16067</v>
      </c>
      <c r="CQ28" s="7">
        <v>16110</v>
      </c>
      <c r="CR28" s="7">
        <v>17195</v>
      </c>
      <c r="CS28" s="7">
        <v>17619</v>
      </c>
    </row>
    <row r="29" spans="1:97" s="7" customFormat="1">
      <c r="A29" s="72" t="s">
        <v>173</v>
      </c>
      <c r="B29" s="9">
        <v>1335</v>
      </c>
      <c r="C29" s="7">
        <v>1561</v>
      </c>
      <c r="D29" s="7">
        <v>1836</v>
      </c>
      <c r="E29" s="7">
        <v>1916</v>
      </c>
      <c r="F29" s="7">
        <v>2043</v>
      </c>
      <c r="G29" s="7">
        <v>2023</v>
      </c>
      <c r="H29" s="7">
        <v>1862</v>
      </c>
      <c r="I29" s="7">
        <v>2028</v>
      </c>
      <c r="J29" s="7">
        <v>2031</v>
      </c>
      <c r="K29" s="7">
        <v>1736</v>
      </c>
      <c r="L29" s="7">
        <v>1640</v>
      </c>
      <c r="M29" s="7">
        <v>1666</v>
      </c>
      <c r="N29" s="7">
        <v>1662</v>
      </c>
      <c r="O29" s="7">
        <v>1630</v>
      </c>
      <c r="P29" s="7">
        <v>1670</v>
      </c>
      <c r="Q29" s="7">
        <v>1669</v>
      </c>
      <c r="R29" s="7">
        <v>1718</v>
      </c>
      <c r="S29" s="7">
        <v>1762</v>
      </c>
      <c r="T29" s="7">
        <v>1747</v>
      </c>
      <c r="U29" s="7">
        <v>1709</v>
      </c>
      <c r="V29" s="7">
        <v>1724</v>
      </c>
      <c r="W29" s="7">
        <v>1661</v>
      </c>
      <c r="X29" s="7">
        <v>1704</v>
      </c>
      <c r="Y29" s="7">
        <v>1843</v>
      </c>
      <c r="Z29" s="7">
        <v>1912</v>
      </c>
      <c r="AA29" s="7">
        <v>1971</v>
      </c>
      <c r="AB29" s="7">
        <v>2066</v>
      </c>
      <c r="AC29" s="7">
        <v>2043</v>
      </c>
      <c r="AD29" s="7">
        <v>2002</v>
      </c>
      <c r="AE29" s="7">
        <v>2079</v>
      </c>
      <c r="AF29" s="7">
        <v>2146</v>
      </c>
      <c r="AG29" s="7">
        <v>1997</v>
      </c>
      <c r="AH29" s="7">
        <v>2093</v>
      </c>
      <c r="AI29" s="7">
        <v>1978</v>
      </c>
      <c r="AJ29" s="7">
        <v>2221</v>
      </c>
      <c r="AK29" s="7">
        <v>2047</v>
      </c>
      <c r="AL29" s="7">
        <v>2255</v>
      </c>
      <c r="AM29" s="7">
        <v>2202</v>
      </c>
      <c r="AN29" s="7">
        <v>2269</v>
      </c>
      <c r="AO29" s="7">
        <v>2330</v>
      </c>
      <c r="AP29" s="7">
        <v>2181</v>
      </c>
      <c r="AQ29" s="7">
        <v>2363</v>
      </c>
      <c r="AR29" s="7">
        <v>2459</v>
      </c>
      <c r="AS29" s="7">
        <v>2765</v>
      </c>
      <c r="AU29" s="7">
        <v>2948</v>
      </c>
      <c r="AV29" s="7">
        <v>2888</v>
      </c>
      <c r="AW29" s="7">
        <v>2839</v>
      </c>
      <c r="AX29" s="79">
        <v>1277</v>
      </c>
      <c r="AY29" s="7">
        <v>1490</v>
      </c>
      <c r="AZ29" s="7">
        <v>1636</v>
      </c>
      <c r="BA29" s="7">
        <v>1630</v>
      </c>
      <c r="BB29" s="7">
        <v>1817</v>
      </c>
      <c r="BC29" s="7">
        <v>1791</v>
      </c>
      <c r="BD29" s="7">
        <v>1686</v>
      </c>
      <c r="BE29" s="7">
        <v>1755</v>
      </c>
      <c r="BF29" s="7">
        <v>1734</v>
      </c>
      <c r="BG29" s="7">
        <v>1626</v>
      </c>
      <c r="BH29" s="7">
        <v>1671</v>
      </c>
      <c r="BI29" s="7">
        <v>1646</v>
      </c>
      <c r="BJ29" s="7">
        <v>1687</v>
      </c>
      <c r="BK29" s="7">
        <v>1762</v>
      </c>
      <c r="BL29" s="7">
        <v>1857</v>
      </c>
      <c r="BM29" s="7">
        <v>1778</v>
      </c>
      <c r="BN29" s="7">
        <v>1821</v>
      </c>
      <c r="BO29" s="7">
        <v>1939</v>
      </c>
      <c r="BP29" s="7">
        <v>1977</v>
      </c>
      <c r="BQ29" s="7">
        <v>1919</v>
      </c>
      <c r="BR29" s="7">
        <v>1996</v>
      </c>
      <c r="BS29" s="7">
        <v>2050</v>
      </c>
      <c r="BT29" s="7">
        <v>2117</v>
      </c>
      <c r="BU29" s="7">
        <v>2343</v>
      </c>
      <c r="BV29" s="7">
        <v>2402</v>
      </c>
      <c r="BW29" s="7">
        <v>2529</v>
      </c>
      <c r="BX29" s="7">
        <v>2673</v>
      </c>
      <c r="BY29" s="7">
        <v>2712</v>
      </c>
      <c r="BZ29" s="7">
        <v>2651</v>
      </c>
      <c r="CA29" s="7">
        <v>2723</v>
      </c>
      <c r="CB29" s="7">
        <v>2945</v>
      </c>
      <c r="CC29" s="7">
        <v>2899</v>
      </c>
      <c r="CD29" s="7">
        <v>2808</v>
      </c>
      <c r="CE29" s="7">
        <v>3069</v>
      </c>
      <c r="CF29" s="7">
        <v>3278</v>
      </c>
      <c r="CG29" s="7">
        <v>3253</v>
      </c>
      <c r="CH29" s="7">
        <v>3558</v>
      </c>
      <c r="CI29" s="7">
        <v>3493</v>
      </c>
      <c r="CJ29" s="7">
        <v>3584</v>
      </c>
      <c r="CK29" s="7">
        <v>3467</v>
      </c>
      <c r="CL29" s="7">
        <v>3207</v>
      </c>
      <c r="CM29" s="7">
        <v>3388</v>
      </c>
      <c r="CN29" s="7">
        <v>3557</v>
      </c>
      <c r="CO29" s="7">
        <v>3598</v>
      </c>
      <c r="CQ29" s="7">
        <v>4018</v>
      </c>
      <c r="CR29" s="7">
        <v>4034</v>
      </c>
      <c r="CS29" s="7">
        <v>3973</v>
      </c>
    </row>
    <row r="30" spans="1:97" s="7" customFormat="1">
      <c r="A30" s="72" t="s">
        <v>175</v>
      </c>
      <c r="B30" s="9">
        <v>1667</v>
      </c>
      <c r="C30" s="7">
        <v>1599</v>
      </c>
      <c r="D30" s="7">
        <v>1785</v>
      </c>
      <c r="E30" s="7">
        <v>1834</v>
      </c>
      <c r="F30" s="7">
        <v>1860</v>
      </c>
      <c r="G30" s="7">
        <v>1734</v>
      </c>
      <c r="H30" s="7">
        <v>1734</v>
      </c>
      <c r="I30" s="7">
        <v>1688</v>
      </c>
      <c r="J30" s="7">
        <v>1754</v>
      </c>
      <c r="K30" s="7">
        <v>1584</v>
      </c>
      <c r="L30" s="7">
        <v>1630</v>
      </c>
      <c r="M30" s="7">
        <v>1541</v>
      </c>
      <c r="N30" s="7">
        <v>1595</v>
      </c>
      <c r="O30" s="7">
        <v>1720</v>
      </c>
      <c r="P30" s="7">
        <v>1730</v>
      </c>
      <c r="Q30" s="7">
        <v>1641</v>
      </c>
      <c r="R30" s="7">
        <v>1644</v>
      </c>
      <c r="S30" s="7">
        <v>1651</v>
      </c>
      <c r="T30" s="7">
        <v>1605</v>
      </c>
      <c r="U30" s="7">
        <v>1531</v>
      </c>
      <c r="V30" s="7">
        <v>1595</v>
      </c>
      <c r="W30" s="7">
        <v>1505</v>
      </c>
      <c r="X30" s="7">
        <v>1685</v>
      </c>
      <c r="Y30" s="7">
        <v>1868</v>
      </c>
      <c r="Z30" s="7">
        <v>2005</v>
      </c>
      <c r="AA30" s="7">
        <v>2042</v>
      </c>
      <c r="AB30" s="7">
        <v>2188</v>
      </c>
      <c r="AC30" s="7">
        <v>2158</v>
      </c>
      <c r="AD30" s="7">
        <v>2062</v>
      </c>
      <c r="AE30" s="7">
        <v>2130</v>
      </c>
      <c r="AF30" s="7">
        <v>2190</v>
      </c>
      <c r="AG30" s="7">
        <v>2090</v>
      </c>
      <c r="AH30" s="7">
        <v>2169</v>
      </c>
      <c r="AI30" s="7">
        <v>2730</v>
      </c>
      <c r="AJ30" s="7">
        <v>2776</v>
      </c>
      <c r="AK30" s="7">
        <v>3383</v>
      </c>
      <c r="AL30" s="7">
        <v>3645</v>
      </c>
      <c r="AM30" s="7">
        <v>3691</v>
      </c>
      <c r="AN30" s="7">
        <v>3701</v>
      </c>
      <c r="AO30" s="7">
        <v>4201</v>
      </c>
      <c r="AP30" s="7">
        <v>4247</v>
      </c>
      <c r="AQ30" s="7">
        <v>4103</v>
      </c>
      <c r="AR30" s="7">
        <v>4362</v>
      </c>
      <c r="AS30" s="7">
        <v>4725</v>
      </c>
      <c r="AU30" s="7">
        <v>4940</v>
      </c>
      <c r="AV30" s="7">
        <v>5069</v>
      </c>
      <c r="AW30" s="7">
        <v>5331</v>
      </c>
      <c r="AX30" s="79">
        <v>1076</v>
      </c>
      <c r="AY30" s="7">
        <v>1145</v>
      </c>
      <c r="AZ30" s="7">
        <v>1165</v>
      </c>
      <c r="BA30" s="7">
        <v>1111</v>
      </c>
      <c r="BB30" s="7">
        <v>1178</v>
      </c>
      <c r="BC30" s="7">
        <v>1071</v>
      </c>
      <c r="BD30" s="7">
        <v>1113</v>
      </c>
      <c r="BE30" s="7">
        <v>1066</v>
      </c>
      <c r="BF30" s="7">
        <v>1123</v>
      </c>
      <c r="BG30" s="7">
        <v>1110</v>
      </c>
      <c r="BH30" s="7">
        <v>1277</v>
      </c>
      <c r="BI30" s="7">
        <v>1218</v>
      </c>
      <c r="BJ30" s="7">
        <v>1288</v>
      </c>
      <c r="BK30" s="7">
        <v>1413</v>
      </c>
      <c r="BL30" s="7">
        <v>1356</v>
      </c>
      <c r="BM30" s="7">
        <v>1345</v>
      </c>
      <c r="BN30" s="7">
        <v>1442</v>
      </c>
      <c r="BO30" s="7">
        <v>1384</v>
      </c>
      <c r="BP30" s="7">
        <v>1438</v>
      </c>
      <c r="BQ30" s="7">
        <v>1486</v>
      </c>
      <c r="BR30" s="7">
        <v>1574</v>
      </c>
      <c r="BS30" s="7">
        <v>1631</v>
      </c>
      <c r="BT30" s="7">
        <v>1844</v>
      </c>
      <c r="BU30" s="7">
        <v>2055</v>
      </c>
      <c r="BV30" s="7">
        <v>2198</v>
      </c>
      <c r="BW30" s="7">
        <v>2193</v>
      </c>
      <c r="BX30" s="7">
        <v>2301</v>
      </c>
      <c r="BY30" s="7">
        <v>2351</v>
      </c>
      <c r="BZ30" s="7">
        <v>2540</v>
      </c>
      <c r="CA30" s="7">
        <v>2532</v>
      </c>
      <c r="CB30" s="7">
        <v>2521</v>
      </c>
      <c r="CC30" s="7">
        <v>2556</v>
      </c>
      <c r="CD30" s="7">
        <v>2744</v>
      </c>
      <c r="CE30" s="7">
        <v>3245</v>
      </c>
      <c r="CF30" s="7">
        <v>3266</v>
      </c>
      <c r="CG30" s="7">
        <v>3912</v>
      </c>
      <c r="CH30" s="7">
        <v>4136</v>
      </c>
      <c r="CI30" s="7">
        <v>4305</v>
      </c>
      <c r="CJ30" s="7">
        <v>4211</v>
      </c>
      <c r="CK30" s="7">
        <v>4865</v>
      </c>
      <c r="CL30" s="7">
        <v>5219</v>
      </c>
      <c r="CM30" s="7">
        <v>5068</v>
      </c>
      <c r="CN30" s="7">
        <v>5419</v>
      </c>
      <c r="CO30" s="7">
        <v>5611</v>
      </c>
      <c r="CQ30" s="7">
        <v>5946</v>
      </c>
      <c r="CR30" s="7">
        <v>6355</v>
      </c>
      <c r="CS30" s="7">
        <v>6428</v>
      </c>
    </row>
    <row r="31" spans="1:97" s="7" customFormat="1">
      <c r="A31" s="72" t="s">
        <v>184</v>
      </c>
      <c r="B31" s="9">
        <v>2193</v>
      </c>
      <c r="C31" s="7">
        <v>2309</v>
      </c>
      <c r="D31" s="7">
        <v>2301</v>
      </c>
      <c r="E31" s="7">
        <v>2663</v>
      </c>
      <c r="F31" s="7">
        <v>2252</v>
      </c>
      <c r="G31" s="7">
        <v>2083</v>
      </c>
      <c r="H31" s="7">
        <v>2208</v>
      </c>
      <c r="I31" s="7">
        <v>2025</v>
      </c>
      <c r="J31" s="7">
        <v>1956</v>
      </c>
      <c r="K31" s="7">
        <v>2081</v>
      </c>
      <c r="L31" s="7">
        <v>2045</v>
      </c>
      <c r="M31" s="7">
        <v>2064</v>
      </c>
      <c r="N31" s="7">
        <v>2129</v>
      </c>
      <c r="O31" s="7">
        <v>2137</v>
      </c>
      <c r="P31" s="7">
        <v>2240</v>
      </c>
      <c r="Q31" s="7">
        <v>2377</v>
      </c>
      <c r="R31" s="7">
        <v>2315</v>
      </c>
      <c r="S31" s="7">
        <v>2170</v>
      </c>
      <c r="T31" s="7">
        <v>2148</v>
      </c>
      <c r="U31" s="7">
        <v>1970</v>
      </c>
      <c r="V31" s="7">
        <v>1966</v>
      </c>
      <c r="W31" s="7">
        <v>1914</v>
      </c>
      <c r="X31" s="7">
        <v>2044</v>
      </c>
      <c r="Y31" s="7">
        <v>2047</v>
      </c>
      <c r="Z31" s="7">
        <v>2080</v>
      </c>
      <c r="AA31" s="7">
        <v>2095</v>
      </c>
      <c r="AB31" s="7">
        <v>2274</v>
      </c>
      <c r="AC31" s="7">
        <v>2231</v>
      </c>
      <c r="AD31" s="7">
        <v>2354</v>
      </c>
      <c r="AE31" s="7">
        <v>2292</v>
      </c>
      <c r="AF31" s="7">
        <v>2426</v>
      </c>
      <c r="AG31" s="7">
        <v>2442</v>
      </c>
      <c r="AH31" s="7">
        <v>2477</v>
      </c>
      <c r="AI31" s="7">
        <v>2421</v>
      </c>
      <c r="AJ31" s="7">
        <v>2472</v>
      </c>
      <c r="AK31" s="7">
        <v>2367</v>
      </c>
      <c r="AL31" s="7">
        <v>2276</v>
      </c>
      <c r="AM31" s="7">
        <v>2395</v>
      </c>
      <c r="AN31" s="7">
        <v>2334</v>
      </c>
      <c r="AO31" s="7">
        <v>2489</v>
      </c>
      <c r="AP31" s="7">
        <v>2405</v>
      </c>
      <c r="AQ31" s="7">
        <v>2564</v>
      </c>
      <c r="AR31" s="7">
        <v>2470</v>
      </c>
      <c r="AS31" s="7">
        <v>2614</v>
      </c>
      <c r="AU31" s="7">
        <v>2782</v>
      </c>
      <c r="AV31" s="7">
        <v>2776</v>
      </c>
      <c r="AW31" s="7">
        <v>2801</v>
      </c>
      <c r="AX31" s="79">
        <v>1553</v>
      </c>
      <c r="AY31" s="7">
        <v>1682</v>
      </c>
      <c r="AZ31" s="7">
        <v>1819</v>
      </c>
      <c r="BA31" s="7">
        <v>1597</v>
      </c>
      <c r="BB31" s="7">
        <v>1621</v>
      </c>
      <c r="BC31" s="7">
        <v>1639</v>
      </c>
      <c r="BD31" s="7">
        <v>1634</v>
      </c>
      <c r="BE31" s="7">
        <v>1635</v>
      </c>
      <c r="BF31" s="7">
        <v>1621</v>
      </c>
      <c r="BG31" s="7">
        <v>1731</v>
      </c>
      <c r="BH31" s="7">
        <v>1835</v>
      </c>
      <c r="BI31" s="7">
        <v>1751</v>
      </c>
      <c r="BJ31" s="7">
        <v>1834</v>
      </c>
      <c r="BK31" s="7">
        <v>1928</v>
      </c>
      <c r="BL31" s="7">
        <v>1954</v>
      </c>
      <c r="BM31" s="7">
        <v>1947</v>
      </c>
      <c r="BN31" s="7">
        <v>2041</v>
      </c>
      <c r="BO31" s="7">
        <v>1970</v>
      </c>
      <c r="BP31" s="7">
        <v>2022</v>
      </c>
      <c r="BQ31" s="7">
        <v>1917</v>
      </c>
      <c r="BR31" s="7">
        <v>1896</v>
      </c>
      <c r="BS31" s="7">
        <v>1958</v>
      </c>
      <c r="BT31" s="7">
        <v>2117</v>
      </c>
      <c r="BU31" s="7">
        <v>2147</v>
      </c>
      <c r="BV31" s="7">
        <v>2277</v>
      </c>
      <c r="BW31" s="7">
        <v>2259</v>
      </c>
      <c r="BX31" s="7">
        <v>2511</v>
      </c>
      <c r="BY31" s="7">
        <v>2521</v>
      </c>
      <c r="BZ31" s="7">
        <v>2578</v>
      </c>
      <c r="CA31" s="7">
        <v>2663</v>
      </c>
      <c r="CB31" s="7">
        <v>2745</v>
      </c>
      <c r="CC31" s="7">
        <v>2741</v>
      </c>
      <c r="CD31" s="7">
        <v>2800</v>
      </c>
      <c r="CE31" s="7">
        <v>2817</v>
      </c>
      <c r="CF31" s="7">
        <v>2897</v>
      </c>
      <c r="CG31" s="7">
        <v>2810</v>
      </c>
      <c r="CH31" s="7">
        <v>2842</v>
      </c>
      <c r="CI31" s="7">
        <v>2822</v>
      </c>
      <c r="CJ31" s="7">
        <v>2864</v>
      </c>
      <c r="CK31" s="7">
        <v>2763</v>
      </c>
      <c r="CL31" s="7">
        <v>2827</v>
      </c>
      <c r="CM31" s="7">
        <v>2948</v>
      </c>
      <c r="CN31" s="7">
        <v>2914</v>
      </c>
      <c r="CO31" s="7">
        <v>3030</v>
      </c>
      <c r="CQ31" s="7">
        <v>3374</v>
      </c>
      <c r="CR31" s="7">
        <v>3235</v>
      </c>
      <c r="CS31" s="7">
        <v>3193</v>
      </c>
    </row>
    <row r="32" spans="1:97" s="7" customFormat="1">
      <c r="A32" s="72" t="s">
        <v>190</v>
      </c>
      <c r="B32" s="9">
        <v>572</v>
      </c>
      <c r="C32" s="7">
        <v>768</v>
      </c>
      <c r="D32" s="7">
        <v>830</v>
      </c>
      <c r="E32" s="7">
        <v>846</v>
      </c>
      <c r="F32" s="7">
        <v>836</v>
      </c>
      <c r="G32" s="7">
        <v>828</v>
      </c>
      <c r="H32" s="7">
        <v>873</v>
      </c>
      <c r="I32" s="7">
        <v>788</v>
      </c>
      <c r="J32" s="7">
        <v>849</v>
      </c>
      <c r="K32" s="7">
        <v>766</v>
      </c>
      <c r="L32" s="7">
        <v>775</v>
      </c>
      <c r="M32" s="7">
        <v>806</v>
      </c>
      <c r="N32" s="7">
        <v>852</v>
      </c>
      <c r="O32" s="7">
        <v>953</v>
      </c>
      <c r="P32" s="7">
        <v>1018</v>
      </c>
      <c r="Q32" s="7">
        <v>996</v>
      </c>
      <c r="R32" s="7">
        <v>1012</v>
      </c>
      <c r="S32" s="7">
        <v>985</v>
      </c>
      <c r="T32" s="7">
        <v>928</v>
      </c>
      <c r="U32" s="7">
        <v>1017</v>
      </c>
      <c r="V32" s="7">
        <v>1078</v>
      </c>
      <c r="W32" s="7">
        <v>1062</v>
      </c>
      <c r="X32" s="7">
        <v>1155</v>
      </c>
      <c r="Y32" s="7">
        <v>1391</v>
      </c>
      <c r="Z32" s="7">
        <v>1420</v>
      </c>
      <c r="AA32" s="7">
        <v>1546</v>
      </c>
      <c r="AB32" s="7">
        <v>1525</v>
      </c>
      <c r="AC32" s="7">
        <v>1678</v>
      </c>
      <c r="AD32" s="7">
        <v>1784</v>
      </c>
      <c r="AE32" s="7">
        <v>1731</v>
      </c>
      <c r="AF32" s="7">
        <v>1790</v>
      </c>
      <c r="AG32" s="7">
        <v>1852</v>
      </c>
      <c r="AH32" s="7">
        <v>1844</v>
      </c>
      <c r="AI32" s="7">
        <v>1977</v>
      </c>
      <c r="AJ32" s="7">
        <v>2058</v>
      </c>
      <c r="AK32" s="7">
        <v>2249</v>
      </c>
      <c r="AL32" s="7">
        <v>2581</v>
      </c>
      <c r="AM32" s="7">
        <v>2507</v>
      </c>
      <c r="AN32" s="7">
        <v>2758</v>
      </c>
      <c r="AO32" s="7">
        <v>2883</v>
      </c>
      <c r="AP32" s="7">
        <v>2993</v>
      </c>
      <c r="AQ32" s="7">
        <v>3130</v>
      </c>
      <c r="AR32" s="7">
        <v>3258</v>
      </c>
      <c r="AS32" s="7">
        <v>3340</v>
      </c>
      <c r="AU32" s="7">
        <v>3616</v>
      </c>
      <c r="AV32" s="7">
        <v>3611</v>
      </c>
      <c r="AW32" s="7">
        <v>3682</v>
      </c>
      <c r="AX32" s="79">
        <v>434</v>
      </c>
      <c r="AY32" s="7">
        <v>485</v>
      </c>
      <c r="AZ32" s="7">
        <v>516</v>
      </c>
      <c r="BA32" s="7">
        <v>536</v>
      </c>
      <c r="BB32" s="7">
        <v>557</v>
      </c>
      <c r="BC32" s="7">
        <v>600</v>
      </c>
      <c r="BD32" s="7">
        <v>617</v>
      </c>
      <c r="BE32" s="7">
        <v>582</v>
      </c>
      <c r="BF32" s="7">
        <v>694</v>
      </c>
      <c r="BG32" s="7">
        <v>625</v>
      </c>
      <c r="BH32" s="7">
        <v>648</v>
      </c>
      <c r="BI32" s="7">
        <v>671</v>
      </c>
      <c r="BJ32" s="7">
        <v>680</v>
      </c>
      <c r="BK32" s="7">
        <v>846</v>
      </c>
      <c r="BL32" s="7">
        <v>931</v>
      </c>
      <c r="BM32" s="7">
        <v>966</v>
      </c>
      <c r="BN32" s="7">
        <v>931</v>
      </c>
      <c r="BO32" s="7">
        <v>944</v>
      </c>
      <c r="BP32" s="7">
        <v>1015</v>
      </c>
      <c r="BQ32" s="7">
        <v>1006</v>
      </c>
      <c r="BR32" s="7">
        <v>1157</v>
      </c>
      <c r="BS32" s="7">
        <v>1311</v>
      </c>
      <c r="BT32" s="7">
        <v>1539</v>
      </c>
      <c r="BU32" s="7">
        <v>1638</v>
      </c>
      <c r="BV32" s="7">
        <v>1856</v>
      </c>
      <c r="BW32" s="7">
        <v>1825</v>
      </c>
      <c r="BX32" s="7">
        <v>1896</v>
      </c>
      <c r="BY32" s="7">
        <v>2027</v>
      </c>
      <c r="BZ32" s="7">
        <v>2153</v>
      </c>
      <c r="CA32" s="7">
        <v>2246</v>
      </c>
      <c r="CB32" s="7">
        <v>2455</v>
      </c>
      <c r="CC32" s="7">
        <v>2506</v>
      </c>
      <c r="CD32" s="7">
        <v>2645</v>
      </c>
      <c r="CE32" s="7">
        <v>2900</v>
      </c>
      <c r="CF32" s="7">
        <v>3078</v>
      </c>
      <c r="CG32" s="7">
        <v>3359</v>
      </c>
      <c r="CH32" s="7">
        <v>4014</v>
      </c>
      <c r="CI32" s="7">
        <v>3883</v>
      </c>
      <c r="CJ32" s="7">
        <v>4102</v>
      </c>
      <c r="CK32" s="7">
        <v>4236</v>
      </c>
      <c r="CL32" s="7">
        <v>4276</v>
      </c>
      <c r="CM32" s="7">
        <v>4426</v>
      </c>
      <c r="CN32" s="7">
        <v>4381</v>
      </c>
      <c r="CO32" s="7">
        <v>4625</v>
      </c>
      <c r="CQ32" s="7">
        <v>4903</v>
      </c>
      <c r="CR32" s="7">
        <v>5027</v>
      </c>
      <c r="CS32" s="7">
        <v>5262</v>
      </c>
    </row>
    <row r="33" spans="1:97" s="7" customFormat="1">
      <c r="A33" s="72" t="s">
        <v>189</v>
      </c>
      <c r="B33" s="9">
        <v>2617</v>
      </c>
      <c r="C33" s="7">
        <v>2756</v>
      </c>
      <c r="D33" s="7">
        <v>2946</v>
      </c>
      <c r="E33" s="7">
        <v>3131</v>
      </c>
      <c r="F33" s="7">
        <v>3218</v>
      </c>
      <c r="G33" s="7">
        <v>2767</v>
      </c>
      <c r="H33" s="7">
        <v>2916</v>
      </c>
      <c r="I33" s="7">
        <v>2816</v>
      </c>
      <c r="J33" s="7">
        <v>2698</v>
      </c>
      <c r="K33" s="7">
        <v>2595</v>
      </c>
      <c r="L33" s="7">
        <v>2561</v>
      </c>
      <c r="M33" s="7">
        <v>2408</v>
      </c>
      <c r="N33" s="7">
        <v>2341</v>
      </c>
      <c r="O33" s="7">
        <v>2396</v>
      </c>
      <c r="P33" s="7">
        <v>2277</v>
      </c>
      <c r="Q33" s="7">
        <v>2375</v>
      </c>
      <c r="R33" s="7">
        <v>2476</v>
      </c>
      <c r="S33" s="7">
        <v>2325</v>
      </c>
      <c r="T33" s="7">
        <v>2356</v>
      </c>
      <c r="U33" s="7">
        <v>2467</v>
      </c>
      <c r="V33" s="7">
        <v>2365</v>
      </c>
      <c r="W33" s="7">
        <v>2439</v>
      </c>
      <c r="X33" s="7">
        <v>2443</v>
      </c>
      <c r="Y33" s="7">
        <v>2577</v>
      </c>
      <c r="Z33" s="7">
        <v>2770</v>
      </c>
      <c r="AA33" s="7">
        <v>2845</v>
      </c>
      <c r="AB33" s="7">
        <v>2713</v>
      </c>
      <c r="AC33" s="7">
        <v>2742</v>
      </c>
      <c r="AD33" s="7">
        <v>2746</v>
      </c>
      <c r="AE33" s="7">
        <v>2674</v>
      </c>
      <c r="AF33" s="7">
        <v>2774</v>
      </c>
      <c r="AG33" s="7">
        <v>2693</v>
      </c>
      <c r="AH33" s="7">
        <v>2626</v>
      </c>
      <c r="AI33" s="7">
        <v>2891</v>
      </c>
      <c r="AJ33" s="7">
        <v>2971</v>
      </c>
      <c r="AK33" s="7">
        <v>3018</v>
      </c>
      <c r="AL33" s="7">
        <v>2966</v>
      </c>
      <c r="AM33" s="7">
        <v>3183</v>
      </c>
      <c r="AN33" s="7">
        <v>2971</v>
      </c>
      <c r="AO33" s="7">
        <v>3193</v>
      </c>
      <c r="AP33" s="7">
        <v>3157</v>
      </c>
      <c r="AQ33" s="7">
        <v>3370</v>
      </c>
      <c r="AR33" s="7">
        <v>3400</v>
      </c>
      <c r="AS33" s="7">
        <v>3497</v>
      </c>
      <c r="AU33" s="7">
        <v>3757</v>
      </c>
      <c r="AV33" s="7">
        <v>3944</v>
      </c>
      <c r="AW33" s="7">
        <v>3974</v>
      </c>
      <c r="AX33" s="79">
        <v>1464</v>
      </c>
      <c r="AY33" s="7">
        <v>1609</v>
      </c>
      <c r="AZ33" s="7">
        <v>1819</v>
      </c>
      <c r="BA33" s="7">
        <v>1900</v>
      </c>
      <c r="BB33" s="7">
        <v>2027</v>
      </c>
      <c r="BC33" s="7">
        <v>1960</v>
      </c>
      <c r="BD33" s="7">
        <v>2130</v>
      </c>
      <c r="BE33" s="7">
        <v>1926</v>
      </c>
      <c r="BF33" s="7">
        <v>1974</v>
      </c>
      <c r="BG33" s="7">
        <v>2057</v>
      </c>
      <c r="BH33" s="7">
        <v>2207</v>
      </c>
      <c r="BI33" s="7">
        <v>2177</v>
      </c>
      <c r="BJ33" s="7">
        <v>2221</v>
      </c>
      <c r="BK33" s="7">
        <v>2151</v>
      </c>
      <c r="BL33" s="7">
        <v>2190</v>
      </c>
      <c r="BM33" s="7">
        <v>2299</v>
      </c>
      <c r="BN33" s="7">
        <v>2249</v>
      </c>
      <c r="BO33" s="7">
        <v>2223</v>
      </c>
      <c r="BP33" s="7">
        <v>2422</v>
      </c>
      <c r="BQ33" s="7">
        <v>2492</v>
      </c>
      <c r="BR33" s="7">
        <v>2657</v>
      </c>
      <c r="BS33" s="7">
        <v>2803</v>
      </c>
      <c r="BT33" s="7">
        <v>3058</v>
      </c>
      <c r="BU33" s="7">
        <v>3090</v>
      </c>
      <c r="BV33" s="7">
        <v>3348</v>
      </c>
      <c r="BW33" s="7">
        <v>3518</v>
      </c>
      <c r="BX33" s="7">
        <v>3504</v>
      </c>
      <c r="BY33" s="7">
        <v>3584</v>
      </c>
      <c r="BZ33" s="7">
        <v>3836</v>
      </c>
      <c r="CA33" s="7">
        <v>3888</v>
      </c>
      <c r="CB33" s="7">
        <v>3953</v>
      </c>
      <c r="CC33" s="7">
        <v>3858</v>
      </c>
      <c r="CD33" s="7">
        <v>3806</v>
      </c>
      <c r="CE33" s="7">
        <v>4136</v>
      </c>
      <c r="CF33" s="7">
        <v>4246</v>
      </c>
      <c r="CG33" s="7">
        <v>4324</v>
      </c>
      <c r="CH33" s="7">
        <v>4525</v>
      </c>
      <c r="CI33" s="7">
        <v>4656</v>
      </c>
      <c r="CJ33" s="7">
        <v>4820</v>
      </c>
      <c r="CK33" s="7">
        <v>4682</v>
      </c>
      <c r="CL33" s="7">
        <v>4617</v>
      </c>
      <c r="CM33" s="7">
        <v>4809</v>
      </c>
      <c r="CN33" s="7">
        <v>4859</v>
      </c>
      <c r="CO33" s="7">
        <v>5089</v>
      </c>
      <c r="CQ33" s="7">
        <v>5034</v>
      </c>
      <c r="CR33" s="7">
        <v>5239</v>
      </c>
      <c r="CS33" s="7">
        <v>5233</v>
      </c>
    </row>
    <row r="34" spans="1:97" s="7" customFormat="1">
      <c r="A34" s="72" t="s">
        <v>193</v>
      </c>
      <c r="B34" s="9">
        <v>5601</v>
      </c>
      <c r="C34" s="7">
        <v>5827</v>
      </c>
      <c r="D34" s="7">
        <v>5972</v>
      </c>
      <c r="E34" s="7">
        <v>6130</v>
      </c>
      <c r="F34" s="7">
        <v>6260</v>
      </c>
      <c r="G34" s="7">
        <v>5777</v>
      </c>
      <c r="H34" s="7">
        <v>6009</v>
      </c>
      <c r="I34" s="7">
        <v>5957</v>
      </c>
      <c r="J34" s="7">
        <v>5650</v>
      </c>
      <c r="K34" s="7">
        <v>5327</v>
      </c>
      <c r="L34" s="7">
        <v>5557</v>
      </c>
      <c r="M34" s="7">
        <v>5068</v>
      </c>
      <c r="N34" s="7">
        <v>5828</v>
      </c>
      <c r="O34" s="7">
        <v>5996</v>
      </c>
      <c r="P34" s="7">
        <v>5747</v>
      </c>
      <c r="Q34" s="7">
        <v>5683</v>
      </c>
      <c r="R34" s="7">
        <v>5707</v>
      </c>
      <c r="S34" s="7">
        <v>5604</v>
      </c>
      <c r="T34" s="7">
        <v>5699</v>
      </c>
      <c r="U34" s="7">
        <v>5889</v>
      </c>
      <c r="V34" s="7">
        <v>6116</v>
      </c>
      <c r="W34" s="7">
        <v>6223</v>
      </c>
      <c r="X34" s="7">
        <v>6357</v>
      </c>
      <c r="Y34" s="7">
        <v>6341</v>
      </c>
      <c r="Z34" s="7">
        <v>6220</v>
      </c>
      <c r="AA34" s="7">
        <v>5971</v>
      </c>
      <c r="AB34" s="7">
        <v>6052</v>
      </c>
      <c r="AC34" s="7">
        <v>6084</v>
      </c>
      <c r="AD34" s="7">
        <v>6209</v>
      </c>
      <c r="AE34" s="7">
        <v>6146</v>
      </c>
      <c r="AF34" s="7">
        <v>6264</v>
      </c>
      <c r="AG34" s="7">
        <v>6003</v>
      </c>
      <c r="AH34" s="7">
        <v>6338</v>
      </c>
      <c r="AI34" s="7">
        <v>6738</v>
      </c>
      <c r="AJ34" s="7">
        <v>7275</v>
      </c>
      <c r="AK34" s="7">
        <v>7336</v>
      </c>
      <c r="AL34" s="7">
        <v>7677</v>
      </c>
      <c r="AM34" s="7">
        <v>7913</v>
      </c>
      <c r="AN34" s="7">
        <v>7693</v>
      </c>
      <c r="AO34" s="7">
        <v>7817</v>
      </c>
      <c r="AP34" s="7">
        <v>8272</v>
      </c>
      <c r="AQ34" s="7">
        <v>8508</v>
      </c>
      <c r="AR34" s="7">
        <v>9371</v>
      </c>
      <c r="AS34" s="7">
        <v>9735</v>
      </c>
      <c r="AU34" s="7">
        <v>10001</v>
      </c>
      <c r="AV34" s="7">
        <v>10081</v>
      </c>
      <c r="AW34" s="7">
        <v>10241</v>
      </c>
      <c r="AX34" s="79">
        <v>4322</v>
      </c>
      <c r="AY34" s="7">
        <v>4242</v>
      </c>
      <c r="AZ34" s="7">
        <v>4416</v>
      </c>
      <c r="BA34" s="7">
        <v>4286</v>
      </c>
      <c r="BB34" s="7">
        <v>4550</v>
      </c>
      <c r="BC34" s="7">
        <v>4341</v>
      </c>
      <c r="BD34" s="7">
        <v>4446</v>
      </c>
      <c r="BE34" s="7">
        <v>4669</v>
      </c>
      <c r="BF34" s="7">
        <v>4679</v>
      </c>
      <c r="BG34" s="7">
        <v>4687</v>
      </c>
      <c r="BH34" s="7">
        <v>4891</v>
      </c>
      <c r="BI34" s="7">
        <v>4715</v>
      </c>
      <c r="BJ34" s="7">
        <v>5118</v>
      </c>
      <c r="BK34" s="7">
        <v>5398</v>
      </c>
      <c r="BL34" s="7">
        <v>5357</v>
      </c>
      <c r="BM34" s="7">
        <v>5159</v>
      </c>
      <c r="BN34" s="7">
        <v>5231</v>
      </c>
      <c r="BO34" s="7">
        <v>5318</v>
      </c>
      <c r="BP34" s="7">
        <v>5552</v>
      </c>
      <c r="BQ34" s="7">
        <v>5934</v>
      </c>
      <c r="BR34" s="7">
        <v>6470</v>
      </c>
      <c r="BS34" s="7">
        <v>6740</v>
      </c>
      <c r="BT34" s="7">
        <v>7018</v>
      </c>
      <c r="BU34" s="7">
        <v>6798</v>
      </c>
      <c r="BV34" s="7">
        <v>7052</v>
      </c>
      <c r="BW34" s="7">
        <v>6946</v>
      </c>
      <c r="BX34" s="7">
        <v>7184</v>
      </c>
      <c r="BY34" s="7">
        <v>7206</v>
      </c>
      <c r="BZ34" s="7">
        <v>7443</v>
      </c>
      <c r="CA34" s="7">
        <v>7722</v>
      </c>
      <c r="CB34" s="7">
        <v>8164</v>
      </c>
      <c r="CC34" s="7">
        <v>7884</v>
      </c>
      <c r="CD34" s="7">
        <v>8112</v>
      </c>
      <c r="CE34" s="7">
        <v>8956</v>
      </c>
      <c r="CF34" s="7">
        <v>9389</v>
      </c>
      <c r="CG34" s="7">
        <v>9531</v>
      </c>
      <c r="CH34" s="7">
        <v>9954</v>
      </c>
      <c r="CI34" s="7">
        <v>9993</v>
      </c>
      <c r="CJ34" s="7">
        <v>10227</v>
      </c>
      <c r="CK34" s="7">
        <v>10101</v>
      </c>
      <c r="CL34" s="7">
        <v>10601</v>
      </c>
      <c r="CM34" s="7">
        <v>11034</v>
      </c>
      <c r="CN34" s="7">
        <v>11743</v>
      </c>
      <c r="CO34" s="7">
        <v>12350</v>
      </c>
      <c r="CQ34" s="7">
        <v>12655</v>
      </c>
      <c r="CR34" s="7">
        <v>12482</v>
      </c>
      <c r="CS34" s="7">
        <v>13159</v>
      </c>
    </row>
    <row r="35" spans="1:97" s="7" customFormat="1">
      <c r="A35" s="72" t="s">
        <v>197</v>
      </c>
      <c r="B35" s="9">
        <v>5398</v>
      </c>
      <c r="C35" s="7">
        <v>5835</v>
      </c>
      <c r="D35" s="7">
        <v>5918</v>
      </c>
      <c r="E35" s="7">
        <v>5568</v>
      </c>
      <c r="F35" s="7">
        <v>5623</v>
      </c>
      <c r="G35" s="7">
        <v>5567</v>
      </c>
      <c r="H35" s="7">
        <v>5340</v>
      </c>
      <c r="I35" s="7">
        <v>5675</v>
      </c>
      <c r="J35" s="7">
        <v>4930</v>
      </c>
      <c r="K35" s="7">
        <v>5452</v>
      </c>
      <c r="L35" s="7">
        <v>5417</v>
      </c>
      <c r="M35" s="7">
        <v>5606</v>
      </c>
      <c r="N35" s="7">
        <v>5663</v>
      </c>
      <c r="O35" s="7">
        <v>5862</v>
      </c>
      <c r="P35" s="7">
        <v>5989</v>
      </c>
      <c r="Q35" s="7">
        <v>5983</v>
      </c>
      <c r="R35" s="7">
        <v>6305</v>
      </c>
      <c r="S35" s="7">
        <v>6467</v>
      </c>
      <c r="T35" s="7">
        <v>6148</v>
      </c>
      <c r="U35" s="7">
        <v>6075</v>
      </c>
      <c r="V35" s="7">
        <v>5998</v>
      </c>
      <c r="W35" s="7">
        <v>6120</v>
      </c>
      <c r="X35" s="7">
        <v>6409</v>
      </c>
      <c r="Y35" s="7">
        <v>6827</v>
      </c>
      <c r="Z35" s="7">
        <v>7289</v>
      </c>
      <c r="AA35" s="7">
        <v>7364</v>
      </c>
      <c r="AB35" s="7">
        <v>7851</v>
      </c>
      <c r="AC35" s="7">
        <v>7989</v>
      </c>
      <c r="AD35" s="7">
        <v>8316</v>
      </c>
      <c r="AE35" s="7">
        <v>8780</v>
      </c>
      <c r="AF35" s="7">
        <v>8293</v>
      </c>
      <c r="AG35" s="7">
        <v>8293</v>
      </c>
      <c r="AH35" s="7">
        <v>9048</v>
      </c>
      <c r="AI35" s="7">
        <v>9579</v>
      </c>
      <c r="AJ35" s="7">
        <v>10262</v>
      </c>
      <c r="AK35" s="7">
        <v>10734</v>
      </c>
      <c r="AL35" s="7">
        <v>10761</v>
      </c>
      <c r="AM35" s="7">
        <v>10870</v>
      </c>
      <c r="AN35" s="7">
        <v>10962</v>
      </c>
      <c r="AO35" s="7">
        <v>10981</v>
      </c>
      <c r="AP35" s="7">
        <v>11181</v>
      </c>
      <c r="AQ35" s="7">
        <v>11479</v>
      </c>
      <c r="AR35" s="7">
        <v>11605</v>
      </c>
      <c r="AS35" s="7">
        <v>11717</v>
      </c>
      <c r="AU35" s="7">
        <v>12097</v>
      </c>
      <c r="AV35" s="7">
        <v>12203</v>
      </c>
      <c r="AW35" s="7">
        <v>11993</v>
      </c>
      <c r="AX35" s="79">
        <v>3439</v>
      </c>
      <c r="AY35" s="7">
        <v>3551</v>
      </c>
      <c r="AZ35" s="7">
        <v>3677</v>
      </c>
      <c r="BA35" s="7">
        <v>3711</v>
      </c>
      <c r="BB35" s="7">
        <v>3873</v>
      </c>
      <c r="BC35" s="7">
        <v>3697</v>
      </c>
      <c r="BD35" s="7">
        <v>3369</v>
      </c>
      <c r="BE35" s="7">
        <v>3626</v>
      </c>
      <c r="BF35" s="7">
        <v>3573</v>
      </c>
      <c r="BG35" s="7">
        <v>3802</v>
      </c>
      <c r="BH35" s="7">
        <v>3790</v>
      </c>
      <c r="BI35" s="7">
        <v>3630</v>
      </c>
      <c r="BJ35" s="7">
        <v>3990</v>
      </c>
      <c r="BK35" s="7">
        <v>3999</v>
      </c>
      <c r="BL35" s="7">
        <v>4270</v>
      </c>
      <c r="BM35" s="7">
        <v>4176</v>
      </c>
      <c r="BN35" s="7">
        <v>4211</v>
      </c>
      <c r="BO35" s="7">
        <v>4618</v>
      </c>
      <c r="BP35" s="7">
        <v>4672</v>
      </c>
      <c r="BQ35" s="7">
        <v>4607</v>
      </c>
      <c r="BR35" s="7">
        <v>4909</v>
      </c>
      <c r="BS35" s="7">
        <v>5220</v>
      </c>
      <c r="BT35" s="7">
        <v>5607</v>
      </c>
      <c r="BU35" s="7">
        <v>6074</v>
      </c>
      <c r="BV35" s="7">
        <v>6902</v>
      </c>
      <c r="BW35" s="7">
        <v>7177</v>
      </c>
      <c r="BX35" s="7">
        <v>7699</v>
      </c>
      <c r="BY35" s="7">
        <v>7817</v>
      </c>
      <c r="BZ35" s="7">
        <v>8354</v>
      </c>
      <c r="CA35" s="7">
        <v>8820</v>
      </c>
      <c r="CB35" s="7">
        <v>8765</v>
      </c>
      <c r="CC35" s="7">
        <v>8798</v>
      </c>
      <c r="CD35" s="7">
        <v>9140</v>
      </c>
      <c r="CE35" s="7">
        <v>9507</v>
      </c>
      <c r="CF35" s="7">
        <v>9647</v>
      </c>
      <c r="CG35" s="7">
        <v>10065</v>
      </c>
      <c r="CH35" s="7">
        <v>9542</v>
      </c>
      <c r="CI35" s="7">
        <v>10052</v>
      </c>
      <c r="CJ35" s="7">
        <v>9997</v>
      </c>
      <c r="CK35" s="7">
        <v>10523</v>
      </c>
      <c r="CL35" s="7">
        <v>10749</v>
      </c>
      <c r="CM35" s="7">
        <v>10755</v>
      </c>
      <c r="CN35" s="7">
        <v>11341</v>
      </c>
      <c r="CO35" s="7">
        <v>11692</v>
      </c>
      <c r="CQ35" s="7">
        <v>11849</v>
      </c>
      <c r="CR35" s="7">
        <v>11646</v>
      </c>
      <c r="CS35" s="7">
        <v>11776</v>
      </c>
    </row>
    <row r="36" spans="1:97" s="7" customFormat="1">
      <c r="A36" s="72" t="s">
        <v>76</v>
      </c>
      <c r="B36" s="9">
        <v>8345</v>
      </c>
      <c r="C36" s="7">
        <v>9628</v>
      </c>
      <c r="D36" s="7">
        <v>10147</v>
      </c>
      <c r="E36" s="7">
        <v>10042</v>
      </c>
      <c r="F36" s="7">
        <v>10067</v>
      </c>
      <c r="G36" s="7">
        <v>9614</v>
      </c>
      <c r="H36" s="7">
        <v>9462</v>
      </c>
      <c r="I36" s="7">
        <v>8973</v>
      </c>
      <c r="J36" s="7">
        <v>8504</v>
      </c>
      <c r="K36" s="7">
        <v>8429</v>
      </c>
      <c r="L36" s="7">
        <v>8317</v>
      </c>
      <c r="M36" s="7">
        <v>8537</v>
      </c>
      <c r="N36" s="7">
        <v>9065</v>
      </c>
      <c r="O36" s="7">
        <v>9206</v>
      </c>
      <c r="P36" s="7">
        <v>9071</v>
      </c>
      <c r="Q36" s="7">
        <v>8919</v>
      </c>
      <c r="R36" s="7">
        <v>8702</v>
      </c>
      <c r="S36" s="7">
        <v>8660</v>
      </c>
      <c r="T36" s="7">
        <v>8606</v>
      </c>
      <c r="U36" s="7">
        <v>8648</v>
      </c>
      <c r="V36" s="7">
        <v>8621</v>
      </c>
      <c r="W36" s="7">
        <v>8855</v>
      </c>
      <c r="X36" s="7">
        <v>9067</v>
      </c>
      <c r="Y36" s="7">
        <v>9450</v>
      </c>
      <c r="Z36" s="7">
        <v>9680</v>
      </c>
      <c r="AA36" s="7">
        <v>9889</v>
      </c>
      <c r="AB36" s="7">
        <v>10185</v>
      </c>
      <c r="AC36" s="7">
        <v>10139</v>
      </c>
      <c r="AD36" s="7">
        <v>10277</v>
      </c>
      <c r="AE36" s="7">
        <v>10108</v>
      </c>
      <c r="AF36" s="7">
        <v>10113</v>
      </c>
      <c r="AG36" s="7">
        <v>9946</v>
      </c>
      <c r="AH36" s="7">
        <v>10496</v>
      </c>
      <c r="AI36" s="7">
        <v>11105</v>
      </c>
      <c r="AJ36" s="7">
        <v>11363</v>
      </c>
      <c r="AK36" s="7">
        <v>12459</v>
      </c>
      <c r="AL36" s="7">
        <v>12408</v>
      </c>
      <c r="AM36" s="7">
        <v>12590</v>
      </c>
      <c r="AN36" s="7">
        <v>12879</v>
      </c>
      <c r="AO36" s="7">
        <v>13184</v>
      </c>
      <c r="AP36" s="7">
        <v>13397</v>
      </c>
      <c r="AQ36" s="7">
        <v>13615</v>
      </c>
      <c r="AR36" s="7">
        <v>14095</v>
      </c>
      <c r="AS36" s="7">
        <v>14383</v>
      </c>
      <c r="AU36" s="7">
        <v>14672</v>
      </c>
      <c r="AV36" s="7">
        <v>14679</v>
      </c>
      <c r="AW36" s="7">
        <v>15052</v>
      </c>
      <c r="AX36" s="79">
        <v>6269</v>
      </c>
      <c r="AY36" s="7">
        <v>6928</v>
      </c>
      <c r="AZ36" s="7">
        <v>7147</v>
      </c>
      <c r="BA36" s="7">
        <v>6838</v>
      </c>
      <c r="BB36" s="7">
        <v>7111</v>
      </c>
      <c r="BC36" s="7">
        <v>7315</v>
      </c>
      <c r="BD36" s="7">
        <v>7430</v>
      </c>
      <c r="BE36" s="7">
        <v>7324</v>
      </c>
      <c r="BF36" s="7">
        <v>7635</v>
      </c>
      <c r="BG36" s="7">
        <v>7624</v>
      </c>
      <c r="BH36" s="7">
        <v>7899</v>
      </c>
      <c r="BI36" s="7">
        <v>8111</v>
      </c>
      <c r="BJ36" s="7">
        <v>9094</v>
      </c>
      <c r="BK36" s="7">
        <v>8933</v>
      </c>
      <c r="BL36" s="7">
        <v>8914</v>
      </c>
      <c r="BM36" s="7">
        <v>8630</v>
      </c>
      <c r="BN36" s="7">
        <v>8629</v>
      </c>
      <c r="BO36" s="7">
        <v>9107</v>
      </c>
      <c r="BP36" s="7">
        <v>8946</v>
      </c>
      <c r="BQ36" s="7">
        <v>9470</v>
      </c>
      <c r="BR36" s="7">
        <v>9738</v>
      </c>
      <c r="BS36" s="7">
        <v>10346</v>
      </c>
      <c r="BT36" s="7">
        <v>10670</v>
      </c>
      <c r="BU36" s="7">
        <v>11379</v>
      </c>
      <c r="BV36" s="7">
        <v>11641</v>
      </c>
      <c r="BW36" s="7">
        <v>11939</v>
      </c>
      <c r="BX36" s="7">
        <v>12359</v>
      </c>
      <c r="BY36" s="7">
        <v>12754</v>
      </c>
      <c r="BZ36" s="7">
        <v>13165</v>
      </c>
      <c r="CA36" s="7">
        <v>12948</v>
      </c>
      <c r="CB36" s="7">
        <v>13889</v>
      </c>
      <c r="CC36" s="7">
        <v>13495</v>
      </c>
      <c r="CD36" s="7">
        <v>13966</v>
      </c>
      <c r="CE36" s="7">
        <v>14803</v>
      </c>
      <c r="CF36" s="7">
        <v>15833</v>
      </c>
      <c r="CG36" s="7">
        <v>15806</v>
      </c>
      <c r="CH36" s="7">
        <v>16162</v>
      </c>
      <c r="CI36" s="7">
        <v>16570</v>
      </c>
      <c r="CJ36" s="7">
        <v>16645</v>
      </c>
      <c r="CK36" s="7">
        <v>16907</v>
      </c>
      <c r="CL36" s="7">
        <v>17154</v>
      </c>
      <c r="CM36" s="7">
        <v>17783</v>
      </c>
      <c r="CN36" s="7">
        <v>18281</v>
      </c>
      <c r="CO36" s="7">
        <v>18306</v>
      </c>
      <c r="CQ36" s="7">
        <v>18637</v>
      </c>
      <c r="CR36" s="7">
        <v>18919</v>
      </c>
      <c r="CS36" s="7">
        <v>19166</v>
      </c>
    </row>
    <row r="37" spans="1:97" s="7" customFormat="1">
      <c r="A37" s="73" t="s">
        <v>200</v>
      </c>
      <c r="B37" s="9">
        <v>845</v>
      </c>
      <c r="C37" s="7">
        <v>828</v>
      </c>
      <c r="D37" s="7">
        <v>869</v>
      </c>
      <c r="E37" s="7">
        <v>847</v>
      </c>
      <c r="F37" s="7">
        <v>872</v>
      </c>
      <c r="G37" s="7">
        <v>767</v>
      </c>
      <c r="H37" s="7">
        <v>759</v>
      </c>
      <c r="I37" s="7">
        <v>731</v>
      </c>
      <c r="J37" s="7">
        <v>774</v>
      </c>
      <c r="K37" s="7">
        <v>716</v>
      </c>
      <c r="L37" s="7">
        <v>731</v>
      </c>
      <c r="M37" s="7">
        <v>711</v>
      </c>
      <c r="N37" s="7">
        <v>729</v>
      </c>
      <c r="O37" s="7">
        <v>745</v>
      </c>
      <c r="P37" s="7">
        <v>819</v>
      </c>
      <c r="Q37" s="7">
        <v>855</v>
      </c>
      <c r="R37" s="7">
        <v>814</v>
      </c>
      <c r="S37" s="7">
        <v>872</v>
      </c>
      <c r="T37" s="7">
        <v>833</v>
      </c>
      <c r="U37" s="7">
        <v>803</v>
      </c>
      <c r="V37" s="7">
        <v>768</v>
      </c>
      <c r="W37" s="7">
        <v>795</v>
      </c>
      <c r="X37" s="7">
        <v>843</v>
      </c>
      <c r="Y37" s="7">
        <v>898</v>
      </c>
      <c r="Z37" s="7">
        <v>851</v>
      </c>
      <c r="AA37" s="7">
        <v>811</v>
      </c>
      <c r="AB37" s="7">
        <v>772</v>
      </c>
      <c r="AC37" s="7">
        <v>807</v>
      </c>
      <c r="AD37" s="7">
        <v>770</v>
      </c>
      <c r="AE37" s="7">
        <v>823</v>
      </c>
      <c r="AF37" s="7">
        <v>792</v>
      </c>
      <c r="AG37" s="7">
        <v>726</v>
      </c>
      <c r="AH37" s="7">
        <v>743</v>
      </c>
      <c r="AI37" s="7">
        <v>751</v>
      </c>
      <c r="AJ37" s="7">
        <v>747</v>
      </c>
      <c r="AK37" s="7">
        <v>721</v>
      </c>
      <c r="AL37" s="7">
        <v>792</v>
      </c>
      <c r="AM37" s="7">
        <v>767</v>
      </c>
      <c r="AN37" s="7">
        <v>805</v>
      </c>
      <c r="AO37" s="7">
        <v>740</v>
      </c>
      <c r="AP37" s="7">
        <v>752</v>
      </c>
      <c r="AQ37" s="7">
        <v>799</v>
      </c>
      <c r="AR37" s="7">
        <v>892</v>
      </c>
      <c r="AS37" s="7">
        <v>900</v>
      </c>
      <c r="AU37" s="7">
        <v>893</v>
      </c>
      <c r="AV37" s="7">
        <v>930</v>
      </c>
      <c r="AW37" s="7">
        <v>998</v>
      </c>
      <c r="AX37" s="79">
        <v>512</v>
      </c>
      <c r="AY37" s="7">
        <v>487</v>
      </c>
      <c r="AZ37" s="7">
        <v>520</v>
      </c>
      <c r="BA37" s="7">
        <v>597</v>
      </c>
      <c r="BB37" s="7">
        <v>564</v>
      </c>
      <c r="BC37" s="7">
        <v>539</v>
      </c>
      <c r="BD37" s="7">
        <v>522</v>
      </c>
      <c r="BE37" s="7">
        <v>552</v>
      </c>
      <c r="BF37" s="7">
        <v>585</v>
      </c>
      <c r="BG37" s="7">
        <v>573</v>
      </c>
      <c r="BH37" s="7">
        <v>601</v>
      </c>
      <c r="BI37" s="7">
        <v>609</v>
      </c>
      <c r="BJ37" s="7">
        <v>599</v>
      </c>
      <c r="BK37" s="7">
        <v>636</v>
      </c>
      <c r="BL37" s="7">
        <v>668</v>
      </c>
      <c r="BM37" s="7">
        <v>753</v>
      </c>
      <c r="BN37" s="7">
        <v>843</v>
      </c>
      <c r="BO37" s="7">
        <v>753</v>
      </c>
      <c r="BP37" s="7">
        <v>798</v>
      </c>
      <c r="BQ37" s="7">
        <v>844</v>
      </c>
      <c r="BR37" s="7">
        <v>878</v>
      </c>
      <c r="BS37" s="7">
        <v>846</v>
      </c>
      <c r="BT37" s="7">
        <v>938</v>
      </c>
      <c r="BU37" s="7">
        <v>958</v>
      </c>
      <c r="BV37" s="7">
        <v>943</v>
      </c>
      <c r="BW37" s="7">
        <v>966</v>
      </c>
      <c r="BX37" s="7">
        <v>869</v>
      </c>
      <c r="BY37" s="7">
        <v>845</v>
      </c>
      <c r="BZ37" s="7">
        <v>936</v>
      </c>
      <c r="CA37" s="7">
        <v>961</v>
      </c>
      <c r="CB37" s="7">
        <v>1005</v>
      </c>
      <c r="CC37" s="7">
        <v>951</v>
      </c>
      <c r="CD37" s="7">
        <v>912</v>
      </c>
      <c r="CE37" s="7">
        <v>988</v>
      </c>
      <c r="CF37" s="7">
        <v>923</v>
      </c>
      <c r="CG37" s="7">
        <v>974</v>
      </c>
      <c r="CH37" s="7">
        <v>1000</v>
      </c>
      <c r="CI37" s="7">
        <v>924</v>
      </c>
      <c r="CJ37" s="7">
        <v>997</v>
      </c>
      <c r="CK37" s="7">
        <v>1025</v>
      </c>
      <c r="CL37" s="7">
        <v>1034</v>
      </c>
      <c r="CM37" s="7">
        <v>1061</v>
      </c>
      <c r="CN37" s="7">
        <v>1172</v>
      </c>
      <c r="CO37" s="7">
        <v>1157</v>
      </c>
      <c r="CQ37" s="7">
        <v>1133</v>
      </c>
      <c r="CR37" s="7">
        <v>1234</v>
      </c>
      <c r="CS37" s="7">
        <v>1209</v>
      </c>
    </row>
    <row r="38" spans="1:97">
      <c r="A38" s="54" t="s">
        <v>246</v>
      </c>
      <c r="B38" s="68">
        <f t="shared" ref="B38:BR38" si="36">SUM(B40:B51)</f>
        <v>135783</v>
      </c>
      <c r="C38" s="55">
        <f t="shared" si="36"/>
        <v>143017</v>
      </c>
      <c r="D38" s="55">
        <f t="shared" si="36"/>
        <v>147568</v>
      </c>
      <c r="E38" s="55">
        <f t="shared" si="36"/>
        <v>150302</v>
      </c>
      <c r="F38" s="55">
        <f t="shared" si="36"/>
        <v>149548</v>
      </c>
      <c r="G38" s="55">
        <f t="shared" si="36"/>
        <v>139992</v>
      </c>
      <c r="H38" s="55">
        <f t="shared" si="36"/>
        <v>136980</v>
      </c>
      <c r="I38" s="55">
        <f t="shared" si="36"/>
        <v>133535</v>
      </c>
      <c r="J38" s="55">
        <f t="shared" si="36"/>
        <v>130434</v>
      </c>
      <c r="K38" s="55">
        <f t="shared" si="36"/>
        <v>128796</v>
      </c>
      <c r="L38" s="55">
        <f t="shared" si="36"/>
        <v>128318</v>
      </c>
      <c r="M38" s="55">
        <f t="shared" si="36"/>
        <v>128284</v>
      </c>
      <c r="N38" s="55">
        <f t="shared" si="36"/>
        <v>129946</v>
      </c>
      <c r="O38" s="55">
        <f t="shared" si="36"/>
        <v>132998</v>
      </c>
      <c r="P38" s="55">
        <f t="shared" si="36"/>
        <v>134090</v>
      </c>
      <c r="Q38" s="55">
        <f t="shared" si="36"/>
        <v>133464</v>
      </c>
      <c r="R38" s="55">
        <f t="shared" si="36"/>
        <v>134151</v>
      </c>
      <c r="S38" s="55">
        <f t="shared" si="36"/>
        <v>133510</v>
      </c>
      <c r="T38" s="55">
        <f t="shared" si="36"/>
        <v>131816</v>
      </c>
      <c r="U38" s="55">
        <f t="shared" si="36"/>
        <v>134204</v>
      </c>
      <c r="V38" s="55">
        <f t="shared" si="36"/>
        <v>135022</v>
      </c>
      <c r="W38" s="55">
        <f t="shared" si="36"/>
        <v>136474</v>
      </c>
      <c r="X38" s="55">
        <f t="shared" si="36"/>
        <v>142244</v>
      </c>
      <c r="Y38" s="55">
        <f t="shared" si="36"/>
        <v>143434</v>
      </c>
      <c r="Z38" s="55">
        <f t="shared" si="36"/>
        <v>142681</v>
      </c>
      <c r="AA38" s="55">
        <f t="shared" si="36"/>
        <v>139976</v>
      </c>
      <c r="AB38" s="55">
        <f t="shared" si="36"/>
        <v>136998</v>
      </c>
      <c r="AC38" s="55">
        <f t="shared" si="36"/>
        <v>135913</v>
      </c>
      <c r="AD38" s="55">
        <f t="shared" si="36"/>
        <v>135242</v>
      </c>
      <c r="AE38" s="55">
        <f t="shared" si="36"/>
        <v>134162</v>
      </c>
      <c r="AF38" s="55">
        <f t="shared" si="36"/>
        <v>136860</v>
      </c>
      <c r="AG38" s="55">
        <f t="shared" si="36"/>
        <v>137776</v>
      </c>
      <c r="AH38" s="55">
        <f t="shared" si="36"/>
        <v>142642</v>
      </c>
      <c r="AI38" s="55">
        <f t="shared" si="36"/>
        <v>148534</v>
      </c>
      <c r="AJ38" s="55">
        <f t="shared" si="36"/>
        <v>152653</v>
      </c>
      <c r="AK38" s="55">
        <f t="shared" si="36"/>
        <v>156440</v>
      </c>
      <c r="AL38" s="55">
        <f t="shared" si="36"/>
        <v>158803</v>
      </c>
      <c r="AM38" s="55">
        <f t="shared" si="36"/>
        <v>165145</v>
      </c>
      <c r="AN38" s="55">
        <f t="shared" si="36"/>
        <v>167272</v>
      </c>
      <c r="AO38" s="55">
        <f t="shared" si="36"/>
        <v>171158</v>
      </c>
      <c r="AP38" s="55">
        <f t="shared" ref="AP38:AQ38" si="37">SUM(AP40:AP51)</f>
        <v>177258</v>
      </c>
      <c r="AQ38" s="55">
        <f t="shared" si="37"/>
        <v>182180</v>
      </c>
      <c r="AR38" s="55">
        <f t="shared" ref="AR38:AS38" si="38">SUM(AR40:AR51)</f>
        <v>189052</v>
      </c>
      <c r="AS38" s="55">
        <f t="shared" si="38"/>
        <v>190624</v>
      </c>
      <c r="AT38" s="55">
        <f t="shared" ref="AT38:AW38" si="39">SUM(AT40:AT51)</f>
        <v>0</v>
      </c>
      <c r="AU38" s="55">
        <f t="shared" si="39"/>
        <v>188526</v>
      </c>
      <c r="AV38" s="55">
        <f t="shared" si="39"/>
        <v>189342</v>
      </c>
      <c r="AW38" s="55">
        <f t="shared" si="39"/>
        <v>190837</v>
      </c>
      <c r="AX38" s="77">
        <f t="shared" si="36"/>
        <v>103676</v>
      </c>
      <c r="AY38" s="55">
        <f t="shared" si="36"/>
        <v>110331</v>
      </c>
      <c r="AZ38" s="55">
        <f t="shared" si="36"/>
        <v>116311</v>
      </c>
      <c r="BA38" s="55">
        <f t="shared" si="36"/>
        <v>120324</v>
      </c>
      <c r="BB38" s="55">
        <f t="shared" si="36"/>
        <v>119609</v>
      </c>
      <c r="BC38" s="55">
        <f t="shared" si="36"/>
        <v>114717</v>
      </c>
      <c r="BD38" s="55">
        <f t="shared" si="36"/>
        <v>112583</v>
      </c>
      <c r="BE38" s="55">
        <f t="shared" si="36"/>
        <v>112538</v>
      </c>
      <c r="BF38" s="55">
        <f t="shared" si="36"/>
        <v>114310</v>
      </c>
      <c r="BG38" s="55">
        <f t="shared" si="36"/>
        <v>117990</v>
      </c>
      <c r="BH38" s="55">
        <f t="shared" si="36"/>
        <v>121054</v>
      </c>
      <c r="BI38" s="55">
        <f t="shared" si="36"/>
        <v>125606</v>
      </c>
      <c r="BJ38" s="55">
        <f t="shared" si="36"/>
        <v>128832</v>
      </c>
      <c r="BK38" s="55">
        <f t="shared" si="36"/>
        <v>131560</v>
      </c>
      <c r="BL38" s="55">
        <f t="shared" si="36"/>
        <v>132036</v>
      </c>
      <c r="BM38" s="55">
        <f t="shared" si="36"/>
        <v>132550</v>
      </c>
      <c r="BN38" s="55">
        <f t="shared" si="36"/>
        <v>132979</v>
      </c>
      <c r="BO38" s="55">
        <f t="shared" si="36"/>
        <v>136667</v>
      </c>
      <c r="BP38" s="55">
        <f t="shared" si="36"/>
        <v>138925</v>
      </c>
      <c r="BQ38" s="55">
        <f t="shared" si="36"/>
        <v>144042</v>
      </c>
      <c r="BR38" s="55">
        <f t="shared" si="36"/>
        <v>150736</v>
      </c>
      <c r="BS38" s="55">
        <f t="shared" ref="BS38:CK38" si="40">SUM(BS40:BS51)</f>
        <v>157954</v>
      </c>
      <c r="BT38" s="55">
        <f t="shared" si="40"/>
        <v>164781</v>
      </c>
      <c r="BU38" s="55">
        <f t="shared" si="40"/>
        <v>166333</v>
      </c>
      <c r="BV38" s="55">
        <f t="shared" si="40"/>
        <v>167303</v>
      </c>
      <c r="BW38" s="55">
        <f t="shared" si="40"/>
        <v>166247</v>
      </c>
      <c r="BX38" s="55">
        <f t="shared" si="40"/>
        <v>166791</v>
      </c>
      <c r="BY38" s="55">
        <f t="shared" si="40"/>
        <v>168841</v>
      </c>
      <c r="BZ38" s="55">
        <f t="shared" si="40"/>
        <v>170865</v>
      </c>
      <c r="CA38" s="55">
        <f t="shared" si="40"/>
        <v>174607</v>
      </c>
      <c r="CB38" s="55">
        <f t="shared" si="40"/>
        <v>179604</v>
      </c>
      <c r="CC38" s="55">
        <f t="shared" si="40"/>
        <v>181738</v>
      </c>
      <c r="CD38" s="55">
        <f t="shared" si="40"/>
        <v>188972</v>
      </c>
      <c r="CE38" s="55">
        <f t="shared" si="40"/>
        <v>195920</v>
      </c>
      <c r="CF38" s="55">
        <f t="shared" ref="CF38" si="41">SUM(CF40:CF51)</f>
        <v>201002</v>
      </c>
      <c r="CG38" s="55">
        <f t="shared" si="40"/>
        <v>205013</v>
      </c>
      <c r="CH38" s="55">
        <f t="shared" si="40"/>
        <v>207442</v>
      </c>
      <c r="CI38" s="55">
        <f t="shared" si="40"/>
        <v>215951</v>
      </c>
      <c r="CJ38" s="55">
        <f t="shared" si="40"/>
        <v>218232</v>
      </c>
      <c r="CK38" s="55">
        <f t="shared" si="40"/>
        <v>222719</v>
      </c>
      <c r="CL38" s="55">
        <f t="shared" ref="CL38:CM38" si="42">SUM(CL40:CL51)</f>
        <v>229449</v>
      </c>
      <c r="CM38" s="55">
        <f t="shared" si="42"/>
        <v>237696</v>
      </c>
      <c r="CN38" s="55">
        <f t="shared" ref="CN38:CO38" si="43">SUM(CN40:CN51)</f>
        <v>248437</v>
      </c>
      <c r="CO38" s="55">
        <f t="shared" si="43"/>
        <v>251774</v>
      </c>
      <c r="CP38" s="55">
        <f t="shared" ref="CP38:CS38" si="44">SUM(CP40:CP51)</f>
        <v>0</v>
      </c>
      <c r="CQ38" s="55">
        <f t="shared" si="44"/>
        <v>247475</v>
      </c>
      <c r="CR38" s="55">
        <f t="shared" si="44"/>
        <v>248612</v>
      </c>
      <c r="CS38" s="55">
        <f t="shared" si="44"/>
        <v>249722</v>
      </c>
    </row>
    <row r="39" spans="1:97">
      <c r="A39" s="56" t="s">
        <v>244</v>
      </c>
      <c r="B39" s="69">
        <f t="shared" ref="B39:BR39" si="45">(B38/B4)*100</f>
        <v>30.290449952037836</v>
      </c>
      <c r="C39" s="57">
        <f t="shared" si="45"/>
        <v>30.254829619976814</v>
      </c>
      <c r="D39" s="57">
        <f t="shared" si="45"/>
        <v>29.666918635508306</v>
      </c>
      <c r="E39" s="57">
        <f t="shared" si="45"/>
        <v>29.188708411984493</v>
      </c>
      <c r="F39" s="57">
        <f t="shared" si="45"/>
        <v>28.531309500642944</v>
      </c>
      <c r="G39" s="57">
        <f t="shared" si="45"/>
        <v>27.896855446175923</v>
      </c>
      <c r="H39" s="57">
        <f t="shared" si="45"/>
        <v>27.298598600194506</v>
      </c>
      <c r="I39" s="57">
        <f t="shared" si="45"/>
        <v>27.098519408412749</v>
      </c>
      <c r="J39" s="57">
        <f t="shared" si="45"/>
        <v>26.952180615192606</v>
      </c>
      <c r="K39" s="57">
        <f t="shared" si="45"/>
        <v>27.164816252151319</v>
      </c>
      <c r="L39" s="57">
        <f t="shared" si="45"/>
        <v>27.261737580440588</v>
      </c>
      <c r="M39" s="57">
        <f t="shared" si="45"/>
        <v>27.479987232957821</v>
      </c>
      <c r="N39" s="57">
        <f t="shared" si="45"/>
        <v>27.626160515165626</v>
      </c>
      <c r="O39" s="57">
        <f t="shared" si="45"/>
        <v>27.944278690591251</v>
      </c>
      <c r="P39" s="57">
        <f t="shared" si="45"/>
        <v>28.004260473664427</v>
      </c>
      <c r="Q39" s="57">
        <f t="shared" si="45"/>
        <v>27.859325685085917</v>
      </c>
      <c r="R39" s="57">
        <f t="shared" si="45"/>
        <v>27.800204743925033</v>
      </c>
      <c r="S39" s="57">
        <f t="shared" si="45"/>
        <v>27.947450169346773</v>
      </c>
      <c r="T39" s="57">
        <f t="shared" si="45"/>
        <v>27.825954791478441</v>
      </c>
      <c r="U39" s="57">
        <f t="shared" si="45"/>
        <v>27.967207238747804</v>
      </c>
      <c r="V39" s="57">
        <f t="shared" si="45"/>
        <v>27.627115176068585</v>
      </c>
      <c r="W39" s="57">
        <f t="shared" si="45"/>
        <v>27.233959334845952</v>
      </c>
      <c r="X39" s="57">
        <f t="shared" si="45"/>
        <v>27.471315646660528</v>
      </c>
      <c r="Y39" s="57">
        <f t="shared" si="45"/>
        <v>27.074461659267314</v>
      </c>
      <c r="Z39" s="57">
        <f t="shared" si="45"/>
        <v>26.951912669463589</v>
      </c>
      <c r="AA39" s="57">
        <f t="shared" si="45"/>
        <v>26.751470627582435</v>
      </c>
      <c r="AB39" s="57">
        <f t="shared" si="45"/>
        <v>26.363970510410073</v>
      </c>
      <c r="AC39" s="57">
        <f t="shared" si="45"/>
        <v>26.245985752438479</v>
      </c>
      <c r="AD39" s="57">
        <f t="shared" si="45"/>
        <v>26.144682891183358</v>
      </c>
      <c r="AE39" s="57">
        <f t="shared" si="45"/>
        <v>25.990716632570827</v>
      </c>
      <c r="AF39" s="57">
        <f t="shared" si="45"/>
        <v>25.9310135756037</v>
      </c>
      <c r="AG39" s="57">
        <f t="shared" si="45"/>
        <v>26.030440894182373</v>
      </c>
      <c r="AH39" s="57">
        <f t="shared" si="45"/>
        <v>26.073954378531333</v>
      </c>
      <c r="AI39" s="57">
        <f t="shared" si="45"/>
        <v>26.041874866313915</v>
      </c>
      <c r="AJ39" s="57">
        <f t="shared" si="45"/>
        <v>25.777184136493968</v>
      </c>
      <c r="AK39" s="57">
        <f t="shared" si="45"/>
        <v>25.639932999203463</v>
      </c>
      <c r="AL39" s="57">
        <f t="shared" si="45"/>
        <v>25.642834997610159</v>
      </c>
      <c r="AM39" s="57">
        <f t="shared" si="45"/>
        <v>25.535859524553207</v>
      </c>
      <c r="AN39" s="57">
        <f t="shared" si="45"/>
        <v>25.152927731496799</v>
      </c>
      <c r="AO39" s="57">
        <f t="shared" si="45"/>
        <v>25.078977136192336</v>
      </c>
      <c r="AP39" s="57">
        <f t="shared" ref="AP39:AQ39" si="46">(AP38/AP4)*100</f>
        <v>25.232024506342952</v>
      </c>
      <c r="AQ39" s="57">
        <f t="shared" si="46"/>
        <v>25.497158196304888</v>
      </c>
      <c r="AR39" s="57">
        <f t="shared" ref="AR39:AS39" si="47">(AR38/AR4)*100</f>
        <v>25.12185398782789</v>
      </c>
      <c r="AS39" s="57">
        <f t="shared" si="47"/>
        <v>24.666730503960931</v>
      </c>
      <c r="AT39" s="57" t="e">
        <f t="shared" ref="AT39:AW39" si="48">(AT38/AT4)*100</f>
        <v>#DIV/0!</v>
      </c>
      <c r="AU39" s="57">
        <f t="shared" si="48"/>
        <v>23.737640187004143</v>
      </c>
      <c r="AV39" s="57">
        <f t="shared" si="48"/>
        <v>23.567382410160729</v>
      </c>
      <c r="AW39" s="57">
        <f t="shared" si="48"/>
        <v>23.357861676788893</v>
      </c>
      <c r="AX39" s="78">
        <f t="shared" si="45"/>
        <v>30.653511482205314</v>
      </c>
      <c r="AY39" s="57">
        <f t="shared" si="45"/>
        <v>30.299476842379885</v>
      </c>
      <c r="AZ39" s="57">
        <f t="shared" si="45"/>
        <v>30.079238237104388</v>
      </c>
      <c r="BA39" s="57">
        <f t="shared" si="45"/>
        <v>29.770567408349436</v>
      </c>
      <c r="BB39" s="57">
        <f t="shared" si="45"/>
        <v>28.583001562865924</v>
      </c>
      <c r="BC39" s="57">
        <f t="shared" si="45"/>
        <v>27.438219339284174</v>
      </c>
      <c r="BD39" s="57">
        <f t="shared" si="45"/>
        <v>26.753180093198768</v>
      </c>
      <c r="BE39" s="57">
        <f t="shared" si="45"/>
        <v>26.541730738389262</v>
      </c>
      <c r="BF39" s="57">
        <f t="shared" si="45"/>
        <v>26.347876795843717</v>
      </c>
      <c r="BG39" s="57">
        <f t="shared" si="45"/>
        <v>26.572469039323831</v>
      </c>
      <c r="BH39" s="57">
        <f t="shared" si="45"/>
        <v>26.572278379594572</v>
      </c>
      <c r="BI39" s="57">
        <f t="shared" si="45"/>
        <v>27.009487274322431</v>
      </c>
      <c r="BJ39" s="57">
        <f t="shared" si="45"/>
        <v>26.874993481095178</v>
      </c>
      <c r="BK39" s="57">
        <f t="shared" si="45"/>
        <v>26.843063161588876</v>
      </c>
      <c r="BL39" s="57">
        <f t="shared" si="45"/>
        <v>26.854979935443584</v>
      </c>
      <c r="BM39" s="57">
        <f t="shared" si="45"/>
        <v>26.690427288470058</v>
      </c>
      <c r="BN39" s="57">
        <f t="shared" si="45"/>
        <v>26.512127724900214</v>
      </c>
      <c r="BO39" s="57">
        <f t="shared" si="45"/>
        <v>26.789151596172168</v>
      </c>
      <c r="BP39" s="57">
        <f t="shared" si="45"/>
        <v>26.913748145048487</v>
      </c>
      <c r="BQ39" s="57">
        <f t="shared" si="45"/>
        <v>27.00429693065669</v>
      </c>
      <c r="BR39" s="57">
        <f t="shared" si="45"/>
        <v>26.949434054018294</v>
      </c>
      <c r="BS39" s="57">
        <f t="shared" ref="BS39:CK39" si="49">(BS38/BS4)*100</f>
        <v>26.765331851209197</v>
      </c>
      <c r="BT39" s="57">
        <f t="shared" si="49"/>
        <v>26.777722526106412</v>
      </c>
      <c r="BU39" s="57">
        <f t="shared" si="49"/>
        <v>26.320303438366849</v>
      </c>
      <c r="BV39" s="57">
        <f t="shared" si="49"/>
        <v>26.286903920182258</v>
      </c>
      <c r="BW39" s="57">
        <f t="shared" si="49"/>
        <v>26.238312889438831</v>
      </c>
      <c r="BX39" s="57">
        <f t="shared" si="49"/>
        <v>25.981889583472885</v>
      </c>
      <c r="BY39" s="57">
        <f t="shared" si="49"/>
        <v>25.897129920486893</v>
      </c>
      <c r="BZ39" s="57">
        <f t="shared" si="49"/>
        <v>25.732215682849109</v>
      </c>
      <c r="CA39" s="57">
        <f t="shared" si="49"/>
        <v>25.634637378383495</v>
      </c>
      <c r="CB39" s="57">
        <f t="shared" si="49"/>
        <v>25.401773275836465</v>
      </c>
      <c r="CC39" s="57">
        <f t="shared" si="49"/>
        <v>25.531741527257196</v>
      </c>
      <c r="CD39" s="57">
        <f t="shared" si="49"/>
        <v>25.482073604211504</v>
      </c>
      <c r="CE39" s="57">
        <f t="shared" si="49"/>
        <v>25.278825757771251</v>
      </c>
      <c r="CF39" s="57">
        <f t="shared" si="49"/>
        <v>25.027268244821521</v>
      </c>
      <c r="CG39" s="57">
        <f t="shared" si="49"/>
        <v>24.829805504116038</v>
      </c>
      <c r="CH39" s="57">
        <f t="shared" si="49"/>
        <v>24.592101535094738</v>
      </c>
      <c r="CI39" s="57">
        <f t="shared" si="49"/>
        <v>24.710303216157797</v>
      </c>
      <c r="CJ39" s="57">
        <f t="shared" si="49"/>
        <v>24.400885101206335</v>
      </c>
      <c r="CK39" s="57">
        <f t="shared" si="49"/>
        <v>24.330876055304049</v>
      </c>
      <c r="CL39" s="57">
        <f t="shared" ref="CL39:CM39" si="50">(CL38/CL4)*100</f>
        <v>24.395635240868742</v>
      </c>
      <c r="CM39" s="57">
        <f t="shared" si="50"/>
        <v>24.834373775630141</v>
      </c>
      <c r="CN39" s="57">
        <f t="shared" ref="CN39:CO39" si="51">(CN38/CN4)*100</f>
        <v>24.4969457331473</v>
      </c>
      <c r="CO39" s="57">
        <f t="shared" si="51"/>
        <v>24.250707706414772</v>
      </c>
      <c r="CP39" s="57" t="e">
        <f t="shared" ref="CP39:CS39" si="52">(CP38/CP4)*100</f>
        <v>#DIV/0!</v>
      </c>
      <c r="CQ39" s="57">
        <f t="shared" si="52"/>
        <v>23.286395137121321</v>
      </c>
      <c r="CR39" s="57">
        <f t="shared" si="52"/>
        <v>23.053419966487919</v>
      </c>
      <c r="CS39" s="57">
        <f t="shared" si="52"/>
        <v>22.786288552837725</v>
      </c>
    </row>
    <row r="40" spans="1:97" s="7" customFormat="1">
      <c r="A40" s="72" t="s">
        <v>176</v>
      </c>
      <c r="B40" s="9">
        <v>21501</v>
      </c>
      <c r="C40" s="7">
        <v>23184</v>
      </c>
      <c r="D40" s="7">
        <v>24906</v>
      </c>
      <c r="E40" s="7">
        <v>25745</v>
      </c>
      <c r="F40" s="7">
        <v>25921</v>
      </c>
      <c r="G40" s="7">
        <v>23521</v>
      </c>
      <c r="H40" s="7">
        <v>23818</v>
      </c>
      <c r="I40" s="7">
        <v>24047</v>
      </c>
      <c r="J40" s="7">
        <v>22667</v>
      </c>
      <c r="K40" s="7">
        <v>22251</v>
      </c>
      <c r="L40" s="7">
        <v>22364</v>
      </c>
      <c r="M40" s="7">
        <v>22074</v>
      </c>
      <c r="N40" s="7">
        <v>22680</v>
      </c>
      <c r="O40" s="7">
        <v>23102</v>
      </c>
      <c r="P40" s="7">
        <v>23947</v>
      </c>
      <c r="Q40" s="7">
        <v>23243</v>
      </c>
      <c r="R40" s="7">
        <v>24010</v>
      </c>
      <c r="S40" s="7">
        <v>23671</v>
      </c>
      <c r="T40" s="7">
        <v>23696</v>
      </c>
      <c r="U40" s="7">
        <v>23735</v>
      </c>
      <c r="V40" s="7">
        <v>23716</v>
      </c>
      <c r="W40" s="7">
        <v>23687</v>
      </c>
      <c r="X40" s="7">
        <v>24947</v>
      </c>
      <c r="Y40" s="7">
        <v>24824</v>
      </c>
      <c r="Z40" s="7">
        <v>24385</v>
      </c>
      <c r="AA40" s="7">
        <v>24105</v>
      </c>
      <c r="AB40" s="7">
        <v>23612</v>
      </c>
      <c r="AC40" s="7">
        <v>23357</v>
      </c>
      <c r="AD40" s="7">
        <v>22920</v>
      </c>
      <c r="AE40" s="7">
        <v>23173</v>
      </c>
      <c r="AF40" s="7">
        <v>23584</v>
      </c>
      <c r="AG40" s="7">
        <v>23915</v>
      </c>
      <c r="AH40" s="7">
        <v>24688</v>
      </c>
      <c r="AI40" s="7">
        <v>25572</v>
      </c>
      <c r="AJ40" s="7">
        <v>25681</v>
      </c>
      <c r="AK40" s="7">
        <v>27983</v>
      </c>
      <c r="AL40" s="7">
        <v>26618</v>
      </c>
      <c r="AM40" s="7">
        <v>30259</v>
      </c>
      <c r="AN40" s="7">
        <v>29671</v>
      </c>
      <c r="AO40" s="7">
        <v>30321</v>
      </c>
      <c r="AP40" s="7">
        <v>31146</v>
      </c>
      <c r="AQ40" s="7">
        <v>30307</v>
      </c>
      <c r="AR40" s="7">
        <v>31134</v>
      </c>
      <c r="AS40" s="7">
        <v>31343</v>
      </c>
      <c r="AU40" s="7">
        <v>30616</v>
      </c>
      <c r="AV40" s="7">
        <v>31214</v>
      </c>
      <c r="AW40" s="7">
        <v>31025</v>
      </c>
      <c r="AX40" s="79">
        <v>16948</v>
      </c>
      <c r="AY40" s="7">
        <v>18832</v>
      </c>
      <c r="AZ40" s="7">
        <v>20339</v>
      </c>
      <c r="BA40" s="7">
        <v>21204</v>
      </c>
      <c r="BB40" s="7">
        <v>21681</v>
      </c>
      <c r="BC40" s="7">
        <v>20926</v>
      </c>
      <c r="BD40" s="7">
        <v>20792</v>
      </c>
      <c r="BE40" s="7">
        <v>21157</v>
      </c>
      <c r="BF40" s="7">
        <v>20943</v>
      </c>
      <c r="BG40" s="7">
        <v>21368</v>
      </c>
      <c r="BH40" s="7">
        <v>21972</v>
      </c>
      <c r="BI40" s="7">
        <v>22579</v>
      </c>
      <c r="BJ40" s="7">
        <v>22681</v>
      </c>
      <c r="BK40" s="7">
        <v>23319</v>
      </c>
      <c r="BL40" s="7">
        <v>23659</v>
      </c>
      <c r="BM40" s="7">
        <v>23310</v>
      </c>
      <c r="BN40" s="7">
        <v>23408</v>
      </c>
      <c r="BO40" s="7">
        <v>23965</v>
      </c>
      <c r="BP40" s="7">
        <v>24262</v>
      </c>
      <c r="BQ40" s="7">
        <v>25085</v>
      </c>
      <c r="BR40" s="7">
        <v>26041</v>
      </c>
      <c r="BS40" s="7">
        <v>26821</v>
      </c>
      <c r="BT40" s="7">
        <v>28316</v>
      </c>
      <c r="BU40" s="7">
        <v>26658</v>
      </c>
      <c r="BV40" s="7">
        <v>27945</v>
      </c>
      <c r="BW40" s="7">
        <v>28165</v>
      </c>
      <c r="BX40" s="7">
        <v>27931</v>
      </c>
      <c r="BY40" s="7">
        <v>28511</v>
      </c>
      <c r="BZ40" s="7">
        <v>29276</v>
      </c>
      <c r="CA40" s="7">
        <v>30007</v>
      </c>
      <c r="CB40" s="7">
        <v>31452</v>
      </c>
      <c r="CC40" s="7">
        <v>31718</v>
      </c>
      <c r="CD40" s="7">
        <v>32742</v>
      </c>
      <c r="CE40" s="7">
        <v>33997</v>
      </c>
      <c r="CF40" s="7">
        <v>33831</v>
      </c>
      <c r="CG40" s="7">
        <v>35930</v>
      </c>
      <c r="CH40" s="7">
        <v>35159</v>
      </c>
      <c r="CI40" s="7">
        <v>39687</v>
      </c>
      <c r="CJ40" s="7">
        <v>39950</v>
      </c>
      <c r="CK40" s="7">
        <v>39018</v>
      </c>
      <c r="CL40" s="7">
        <v>39701</v>
      </c>
      <c r="CM40" s="7">
        <v>38096</v>
      </c>
      <c r="CN40" s="7">
        <v>38841</v>
      </c>
      <c r="CO40" s="7">
        <v>42074</v>
      </c>
      <c r="CQ40" s="7">
        <v>42094</v>
      </c>
      <c r="CR40" s="7">
        <v>43071</v>
      </c>
      <c r="CS40" s="7">
        <v>43739</v>
      </c>
    </row>
    <row r="41" spans="1:97" s="7" customFormat="1" ht="12.75" customHeight="1">
      <c r="A41" s="72" t="s">
        <v>177</v>
      </c>
      <c r="B41" s="9">
        <v>13139</v>
      </c>
      <c r="C41" s="7">
        <v>13963</v>
      </c>
      <c r="D41" s="7">
        <v>14090</v>
      </c>
      <c r="E41" s="7">
        <v>15085</v>
      </c>
      <c r="F41" s="7">
        <v>14731</v>
      </c>
      <c r="G41" s="7">
        <v>14023</v>
      </c>
      <c r="H41" s="7">
        <v>13581</v>
      </c>
      <c r="I41" s="7">
        <v>13283</v>
      </c>
      <c r="J41" s="7">
        <v>12916</v>
      </c>
      <c r="K41" s="7">
        <v>12754</v>
      </c>
      <c r="L41" s="7">
        <v>12879</v>
      </c>
      <c r="M41" s="7">
        <v>13073</v>
      </c>
      <c r="N41" s="7">
        <v>13273</v>
      </c>
      <c r="O41" s="7">
        <v>13569</v>
      </c>
      <c r="P41" s="7">
        <v>13562</v>
      </c>
      <c r="Q41" s="7">
        <v>13551</v>
      </c>
      <c r="R41" s="7">
        <v>13727</v>
      </c>
      <c r="S41" s="7">
        <v>13678</v>
      </c>
      <c r="T41" s="7">
        <v>13271</v>
      </c>
      <c r="U41" s="7">
        <v>13267</v>
      </c>
      <c r="V41" s="7">
        <v>13535</v>
      </c>
      <c r="W41" s="7">
        <v>13924</v>
      </c>
      <c r="X41" s="7">
        <v>14861</v>
      </c>
      <c r="Y41" s="7">
        <v>14882</v>
      </c>
      <c r="Z41" s="7">
        <v>14689</v>
      </c>
      <c r="AA41" s="7">
        <v>14343</v>
      </c>
      <c r="AB41" s="7">
        <v>14200</v>
      </c>
      <c r="AC41" s="7">
        <v>14046</v>
      </c>
      <c r="AD41" s="7">
        <v>14171</v>
      </c>
      <c r="AE41" s="7">
        <v>13885</v>
      </c>
      <c r="AF41" s="7">
        <v>14480</v>
      </c>
      <c r="AG41" s="7">
        <v>14402</v>
      </c>
      <c r="AH41" s="7">
        <v>15332</v>
      </c>
      <c r="AI41" s="7">
        <v>16196</v>
      </c>
      <c r="AJ41" s="7">
        <v>16430</v>
      </c>
      <c r="AK41" s="7">
        <v>16650</v>
      </c>
      <c r="AL41" s="7">
        <v>17378</v>
      </c>
      <c r="AM41" s="7">
        <v>17608</v>
      </c>
      <c r="AN41" s="7">
        <v>17420</v>
      </c>
      <c r="AO41" s="7">
        <v>17831</v>
      </c>
      <c r="AP41" s="7">
        <v>18862</v>
      </c>
      <c r="AQ41" s="7">
        <v>19746</v>
      </c>
      <c r="AR41" s="7">
        <v>20469</v>
      </c>
      <c r="AS41" s="7">
        <v>20525</v>
      </c>
      <c r="AU41" s="7">
        <v>21153</v>
      </c>
      <c r="AV41" s="7">
        <v>20755</v>
      </c>
      <c r="AW41" s="7">
        <v>21165</v>
      </c>
      <c r="AX41" s="79">
        <v>9049</v>
      </c>
      <c r="AY41" s="7">
        <v>9697</v>
      </c>
      <c r="AZ41" s="7">
        <v>10125</v>
      </c>
      <c r="BA41" s="7">
        <v>11079</v>
      </c>
      <c r="BB41" s="7">
        <v>10890</v>
      </c>
      <c r="BC41" s="7">
        <v>10454</v>
      </c>
      <c r="BD41" s="7">
        <v>10499</v>
      </c>
      <c r="BE41" s="7">
        <v>10511</v>
      </c>
      <c r="BF41" s="7">
        <v>10691</v>
      </c>
      <c r="BG41" s="7">
        <v>10923</v>
      </c>
      <c r="BH41" s="7">
        <v>11345</v>
      </c>
      <c r="BI41" s="7">
        <v>11761</v>
      </c>
      <c r="BJ41" s="7">
        <v>12409</v>
      </c>
      <c r="BK41" s="7">
        <v>12901</v>
      </c>
      <c r="BL41" s="7">
        <v>12439</v>
      </c>
      <c r="BM41" s="7">
        <v>12839</v>
      </c>
      <c r="BN41" s="7">
        <v>12900</v>
      </c>
      <c r="BO41" s="7">
        <v>12945</v>
      </c>
      <c r="BP41" s="7">
        <v>13137</v>
      </c>
      <c r="BQ41" s="7">
        <v>13607</v>
      </c>
      <c r="BR41" s="7">
        <v>14133</v>
      </c>
      <c r="BS41" s="7">
        <v>14962</v>
      </c>
      <c r="BT41" s="7">
        <v>15909</v>
      </c>
      <c r="BU41" s="7">
        <v>16571</v>
      </c>
      <c r="BV41" s="7">
        <v>16080</v>
      </c>
      <c r="BW41" s="7">
        <v>15910</v>
      </c>
      <c r="BX41" s="7">
        <v>16371</v>
      </c>
      <c r="BY41" s="7">
        <v>16431</v>
      </c>
      <c r="BZ41" s="7">
        <v>16662</v>
      </c>
      <c r="CA41" s="7">
        <v>16853</v>
      </c>
      <c r="CB41" s="7">
        <v>17490</v>
      </c>
      <c r="CC41" s="7">
        <v>17479</v>
      </c>
      <c r="CD41" s="7">
        <v>18615</v>
      </c>
      <c r="CE41" s="7">
        <v>19295</v>
      </c>
      <c r="CF41" s="7">
        <v>19958</v>
      </c>
      <c r="CG41" s="7">
        <v>20005</v>
      </c>
      <c r="CH41" s="7">
        <v>20715</v>
      </c>
      <c r="CI41" s="7">
        <v>20925</v>
      </c>
      <c r="CJ41" s="7">
        <v>21571</v>
      </c>
      <c r="CK41" s="7">
        <v>21752</v>
      </c>
      <c r="CL41" s="7">
        <v>22825</v>
      </c>
      <c r="CM41" s="7">
        <v>23773</v>
      </c>
      <c r="CN41" s="7">
        <v>25063</v>
      </c>
      <c r="CO41" s="7">
        <v>26026</v>
      </c>
      <c r="CQ41" s="7">
        <v>26929</v>
      </c>
      <c r="CR41" s="7">
        <v>26859</v>
      </c>
      <c r="CS41" s="7">
        <v>26799</v>
      </c>
    </row>
    <row r="42" spans="1:97" s="7" customFormat="1">
      <c r="A42" s="72" t="s">
        <v>174</v>
      </c>
      <c r="B42" s="9">
        <v>8002</v>
      </c>
      <c r="C42" s="7">
        <v>8096</v>
      </c>
      <c r="D42" s="7">
        <v>8236</v>
      </c>
      <c r="E42" s="7">
        <v>7683</v>
      </c>
      <c r="F42" s="7">
        <v>7796</v>
      </c>
      <c r="G42" s="7">
        <v>7235</v>
      </c>
      <c r="H42" s="7">
        <v>7207</v>
      </c>
      <c r="I42" s="7">
        <v>6882</v>
      </c>
      <c r="J42" s="7">
        <v>6851</v>
      </c>
      <c r="K42" s="7">
        <v>6838</v>
      </c>
      <c r="L42" s="7">
        <v>6806</v>
      </c>
      <c r="M42" s="7">
        <v>7284</v>
      </c>
      <c r="N42" s="7">
        <v>7184</v>
      </c>
      <c r="O42" s="7">
        <v>7149</v>
      </c>
      <c r="P42" s="7">
        <v>7457</v>
      </c>
      <c r="Q42" s="7">
        <v>7765</v>
      </c>
      <c r="R42" s="7">
        <v>8106</v>
      </c>
      <c r="S42" s="7">
        <v>8260</v>
      </c>
      <c r="T42" s="7">
        <v>8204</v>
      </c>
      <c r="U42" s="7">
        <v>8007</v>
      </c>
      <c r="V42" s="7">
        <v>7861</v>
      </c>
      <c r="W42" s="7">
        <v>8044</v>
      </c>
      <c r="X42" s="7">
        <v>7992</v>
      </c>
      <c r="Y42" s="7">
        <v>8169</v>
      </c>
      <c r="Z42" s="7">
        <v>8309</v>
      </c>
      <c r="AA42" s="7">
        <v>8011</v>
      </c>
      <c r="AB42" s="7">
        <v>8060</v>
      </c>
      <c r="AC42" s="7">
        <v>8028</v>
      </c>
      <c r="AD42" s="7">
        <v>7746</v>
      </c>
      <c r="AE42" s="7">
        <v>7889</v>
      </c>
      <c r="AF42" s="7">
        <v>8172</v>
      </c>
      <c r="AG42" s="7">
        <v>8017</v>
      </c>
      <c r="AH42" s="7">
        <v>8275</v>
      </c>
      <c r="AI42" s="7">
        <v>8624</v>
      </c>
      <c r="AJ42" s="7">
        <v>8788</v>
      </c>
      <c r="AK42" s="7">
        <v>8935</v>
      </c>
      <c r="AL42" s="7">
        <v>9246</v>
      </c>
      <c r="AM42" s="7">
        <v>9504</v>
      </c>
      <c r="AN42" s="7">
        <v>10126</v>
      </c>
      <c r="AO42" s="7">
        <v>10508</v>
      </c>
      <c r="AP42" s="7">
        <v>12029</v>
      </c>
      <c r="AQ42" s="7">
        <v>13701</v>
      </c>
      <c r="AR42" s="7">
        <v>15318</v>
      </c>
      <c r="AS42" s="7">
        <v>15884</v>
      </c>
      <c r="AU42" s="7">
        <v>11911</v>
      </c>
      <c r="AV42" s="7">
        <v>11664</v>
      </c>
      <c r="AW42" s="7">
        <v>11952</v>
      </c>
      <c r="AX42" s="79">
        <v>6310</v>
      </c>
      <c r="AY42" s="7">
        <v>6688</v>
      </c>
      <c r="AZ42" s="7">
        <v>6818</v>
      </c>
      <c r="BA42" s="7">
        <v>6770</v>
      </c>
      <c r="BB42" s="7">
        <v>6706</v>
      </c>
      <c r="BC42" s="7">
        <v>6245</v>
      </c>
      <c r="BD42" s="7">
        <v>6216</v>
      </c>
      <c r="BE42" s="7">
        <v>6165</v>
      </c>
      <c r="BF42" s="7">
        <v>6348</v>
      </c>
      <c r="BG42" s="7">
        <v>6540</v>
      </c>
      <c r="BH42" s="7">
        <v>6705</v>
      </c>
      <c r="BI42" s="7">
        <v>7157</v>
      </c>
      <c r="BJ42" s="7">
        <v>7279</v>
      </c>
      <c r="BK42" s="7">
        <v>7345</v>
      </c>
      <c r="BL42" s="7">
        <v>7397</v>
      </c>
      <c r="BM42" s="7">
        <v>7503</v>
      </c>
      <c r="BN42" s="7">
        <v>7738</v>
      </c>
      <c r="BO42" s="7">
        <v>8190</v>
      </c>
      <c r="BP42" s="7">
        <v>8543</v>
      </c>
      <c r="BQ42" s="7">
        <v>8852</v>
      </c>
      <c r="BR42" s="7">
        <v>8268</v>
      </c>
      <c r="BS42" s="7">
        <v>8952</v>
      </c>
      <c r="BT42" s="7">
        <v>9170</v>
      </c>
      <c r="BU42" s="7">
        <v>9429</v>
      </c>
      <c r="BV42" s="7">
        <v>9537</v>
      </c>
      <c r="BW42" s="7">
        <v>9410</v>
      </c>
      <c r="BX42" s="7">
        <v>9620</v>
      </c>
      <c r="BY42" s="7">
        <v>9895</v>
      </c>
      <c r="BZ42" s="7">
        <v>9797</v>
      </c>
      <c r="CA42" s="7">
        <v>10364</v>
      </c>
      <c r="CB42" s="7">
        <v>10578</v>
      </c>
      <c r="CC42" s="7">
        <v>10635</v>
      </c>
      <c r="CD42" s="7">
        <v>11113</v>
      </c>
      <c r="CE42" s="7">
        <v>11410</v>
      </c>
      <c r="CF42" s="7">
        <v>11386</v>
      </c>
      <c r="CG42" s="7">
        <v>11851</v>
      </c>
      <c r="CH42" s="7">
        <v>12189</v>
      </c>
      <c r="CI42" s="7">
        <v>12884</v>
      </c>
      <c r="CJ42" s="7">
        <v>14139</v>
      </c>
      <c r="CK42" s="7">
        <v>15731</v>
      </c>
      <c r="CL42" s="7">
        <v>18294</v>
      </c>
      <c r="CM42" s="7">
        <v>22565</v>
      </c>
      <c r="CN42" s="7">
        <v>25358</v>
      </c>
      <c r="CO42" s="7">
        <v>25563</v>
      </c>
      <c r="CQ42" s="7">
        <v>16290</v>
      </c>
      <c r="CR42" s="7">
        <v>16097</v>
      </c>
      <c r="CS42" s="7">
        <v>15750</v>
      </c>
    </row>
    <row r="43" spans="1:97" s="7" customFormat="1" ht="12.75" customHeight="1">
      <c r="A43" s="72" t="s">
        <v>178</v>
      </c>
      <c r="B43" s="9">
        <v>7086</v>
      </c>
      <c r="C43" s="7">
        <v>7171</v>
      </c>
      <c r="D43" s="7">
        <v>7377</v>
      </c>
      <c r="E43" s="7">
        <v>7583</v>
      </c>
      <c r="F43" s="7">
        <v>7262</v>
      </c>
      <c r="G43" s="7">
        <v>6850</v>
      </c>
      <c r="H43" s="7">
        <v>6450</v>
      </c>
      <c r="I43" s="7">
        <v>6427</v>
      </c>
      <c r="J43" s="7">
        <v>6195</v>
      </c>
      <c r="K43" s="7">
        <v>6065</v>
      </c>
      <c r="L43" s="7">
        <v>6003</v>
      </c>
      <c r="M43" s="7">
        <v>5806</v>
      </c>
      <c r="N43" s="7">
        <v>6010</v>
      </c>
      <c r="O43" s="7">
        <v>6204</v>
      </c>
      <c r="P43" s="7">
        <v>6220</v>
      </c>
      <c r="Q43" s="7">
        <v>5961</v>
      </c>
      <c r="R43" s="7">
        <v>6038</v>
      </c>
      <c r="S43" s="7">
        <v>5877</v>
      </c>
      <c r="T43" s="7">
        <v>5897</v>
      </c>
      <c r="U43" s="7">
        <v>5997</v>
      </c>
      <c r="V43" s="7">
        <v>5913</v>
      </c>
      <c r="W43" s="7">
        <v>6063</v>
      </c>
      <c r="X43" s="7">
        <v>6408</v>
      </c>
      <c r="Y43" s="7">
        <v>6641</v>
      </c>
      <c r="Z43" s="7">
        <v>6715</v>
      </c>
      <c r="AA43" s="7">
        <v>6757</v>
      </c>
      <c r="AB43" s="7">
        <v>6690</v>
      </c>
      <c r="AC43" s="7">
        <v>6586</v>
      </c>
      <c r="AD43" s="7">
        <v>6335</v>
      </c>
      <c r="AE43" s="7">
        <v>6392</v>
      </c>
      <c r="AF43" s="7">
        <v>6309</v>
      </c>
      <c r="AG43" s="7">
        <v>6387</v>
      </c>
      <c r="AH43" s="7">
        <v>6482</v>
      </c>
      <c r="AI43" s="7">
        <v>6896</v>
      </c>
      <c r="AJ43" s="7">
        <v>7040</v>
      </c>
      <c r="AK43" s="7">
        <v>7026</v>
      </c>
      <c r="AL43" s="7">
        <v>7433</v>
      </c>
      <c r="AM43" s="7">
        <v>7534</v>
      </c>
      <c r="AN43" s="7">
        <v>7522</v>
      </c>
      <c r="AO43" s="7">
        <v>7825</v>
      </c>
      <c r="AP43" s="7">
        <v>7907</v>
      </c>
      <c r="AQ43" s="7">
        <v>8043</v>
      </c>
      <c r="AR43" s="7">
        <v>8409</v>
      </c>
      <c r="AS43" s="7">
        <v>8779</v>
      </c>
      <c r="AU43" s="7">
        <v>8393</v>
      </c>
      <c r="AV43" s="7">
        <v>8600</v>
      </c>
      <c r="AW43" s="7">
        <v>8566</v>
      </c>
      <c r="AX43" s="79">
        <v>5075</v>
      </c>
      <c r="AY43" s="7">
        <v>5189</v>
      </c>
      <c r="AZ43" s="7">
        <v>5434</v>
      </c>
      <c r="BA43" s="7">
        <v>5313</v>
      </c>
      <c r="BB43" s="7">
        <v>5376</v>
      </c>
      <c r="BC43" s="7">
        <v>5348</v>
      </c>
      <c r="BD43" s="7">
        <v>5148</v>
      </c>
      <c r="BE43" s="7">
        <v>5407</v>
      </c>
      <c r="BF43" s="7">
        <v>5426</v>
      </c>
      <c r="BG43" s="7">
        <v>5721</v>
      </c>
      <c r="BH43" s="7">
        <v>5703</v>
      </c>
      <c r="BI43" s="7">
        <v>5866</v>
      </c>
      <c r="BJ43" s="7">
        <v>5951</v>
      </c>
      <c r="BK43" s="7">
        <v>6279</v>
      </c>
      <c r="BL43" s="7">
        <v>6115</v>
      </c>
      <c r="BM43" s="7">
        <v>6218</v>
      </c>
      <c r="BN43" s="7">
        <v>5978</v>
      </c>
      <c r="BO43" s="7">
        <v>5837</v>
      </c>
      <c r="BP43" s="7">
        <v>5993</v>
      </c>
      <c r="BQ43" s="7">
        <v>6192</v>
      </c>
      <c r="BR43" s="7">
        <v>6515</v>
      </c>
      <c r="BS43" s="7">
        <v>6972</v>
      </c>
      <c r="BT43" s="7">
        <v>7282</v>
      </c>
      <c r="BU43" s="7">
        <v>7641</v>
      </c>
      <c r="BV43" s="7">
        <v>7884</v>
      </c>
      <c r="BW43" s="7">
        <v>7837</v>
      </c>
      <c r="BX43" s="7">
        <v>7919</v>
      </c>
      <c r="BY43" s="7">
        <v>7842</v>
      </c>
      <c r="BZ43" s="7">
        <v>7691</v>
      </c>
      <c r="CA43" s="7">
        <v>7670</v>
      </c>
      <c r="CB43" s="7">
        <v>7925</v>
      </c>
      <c r="CC43" s="7">
        <v>8275</v>
      </c>
      <c r="CD43" s="7">
        <v>8305</v>
      </c>
      <c r="CE43" s="7">
        <v>8848</v>
      </c>
      <c r="CF43" s="7">
        <v>8982</v>
      </c>
      <c r="CG43" s="7">
        <v>9195</v>
      </c>
      <c r="CH43" s="7">
        <v>9244</v>
      </c>
      <c r="CI43" s="7">
        <v>9531</v>
      </c>
      <c r="CJ43" s="7">
        <v>9526</v>
      </c>
      <c r="CK43" s="7">
        <v>9696</v>
      </c>
      <c r="CL43" s="7">
        <v>9928</v>
      </c>
      <c r="CM43" s="7">
        <v>10148</v>
      </c>
      <c r="CN43" s="7">
        <v>10590</v>
      </c>
      <c r="CO43" s="7">
        <v>10676</v>
      </c>
      <c r="CQ43" s="7">
        <v>10488</v>
      </c>
      <c r="CR43" s="7">
        <v>10618</v>
      </c>
      <c r="CS43" s="7">
        <v>10691</v>
      </c>
    </row>
    <row r="44" spans="1:97" s="7" customFormat="1" ht="12.75" customHeight="1">
      <c r="A44" s="72" t="s">
        <v>181</v>
      </c>
      <c r="B44" s="9">
        <v>19772</v>
      </c>
      <c r="C44" s="7">
        <v>20881</v>
      </c>
      <c r="D44" s="7">
        <v>21154</v>
      </c>
      <c r="E44" s="7">
        <v>21858</v>
      </c>
      <c r="F44" s="7">
        <v>21661</v>
      </c>
      <c r="G44" s="7">
        <v>20449</v>
      </c>
      <c r="H44" s="7">
        <v>20767</v>
      </c>
      <c r="I44" s="7">
        <v>19822</v>
      </c>
      <c r="J44" s="7">
        <v>19757</v>
      </c>
      <c r="K44" s="7">
        <v>19538</v>
      </c>
      <c r="L44" s="7">
        <v>19790</v>
      </c>
      <c r="M44" s="7">
        <v>20144</v>
      </c>
      <c r="N44" s="7">
        <v>19784</v>
      </c>
      <c r="O44" s="7">
        <v>19957</v>
      </c>
      <c r="P44" s="7">
        <v>20110</v>
      </c>
      <c r="Q44" s="7">
        <v>19307</v>
      </c>
      <c r="R44" s="7">
        <v>18727</v>
      </c>
      <c r="S44" s="7">
        <v>18541</v>
      </c>
      <c r="T44" s="7">
        <v>18600</v>
      </c>
      <c r="U44" s="7">
        <v>19224</v>
      </c>
      <c r="V44" s="7">
        <v>19816</v>
      </c>
      <c r="W44" s="7">
        <v>20228</v>
      </c>
      <c r="X44" s="7">
        <v>20619</v>
      </c>
      <c r="Y44" s="7">
        <v>21044</v>
      </c>
      <c r="Z44" s="7">
        <v>20610</v>
      </c>
      <c r="AA44" s="7">
        <v>20419</v>
      </c>
      <c r="AB44" s="7">
        <v>19833</v>
      </c>
      <c r="AC44" s="7">
        <v>19731</v>
      </c>
      <c r="AD44" s="7">
        <v>19503</v>
      </c>
      <c r="AE44" s="7">
        <v>19018</v>
      </c>
      <c r="AF44" s="7">
        <v>19631</v>
      </c>
      <c r="AG44" s="7">
        <v>19748</v>
      </c>
      <c r="AH44" s="7">
        <v>20300</v>
      </c>
      <c r="AI44" s="7">
        <v>21164</v>
      </c>
      <c r="AJ44" s="7">
        <v>21765</v>
      </c>
      <c r="AK44" s="7">
        <v>21876</v>
      </c>
      <c r="AL44" s="7">
        <v>22239</v>
      </c>
      <c r="AM44" s="7">
        <v>22937</v>
      </c>
      <c r="AN44" s="7">
        <v>23848</v>
      </c>
      <c r="AO44" s="7">
        <v>24143</v>
      </c>
      <c r="AP44" s="7">
        <v>24993</v>
      </c>
      <c r="AQ44" s="7">
        <v>24990</v>
      </c>
      <c r="AR44" s="7">
        <v>25718</v>
      </c>
      <c r="AS44" s="7">
        <v>26065</v>
      </c>
      <c r="AU44" s="7">
        <v>26555</v>
      </c>
      <c r="AV44" s="7">
        <v>26814</v>
      </c>
      <c r="AW44" s="7">
        <v>27269</v>
      </c>
      <c r="AX44" s="79">
        <v>15523</v>
      </c>
      <c r="AY44" s="7">
        <v>15893</v>
      </c>
      <c r="AZ44" s="7">
        <v>16637</v>
      </c>
      <c r="BA44" s="7">
        <v>17418</v>
      </c>
      <c r="BB44" s="7">
        <v>16752</v>
      </c>
      <c r="BC44" s="7">
        <v>16367</v>
      </c>
      <c r="BD44" s="7">
        <v>16259</v>
      </c>
      <c r="BE44" s="7">
        <v>16119</v>
      </c>
      <c r="BF44" s="7">
        <v>16522</v>
      </c>
      <c r="BG44" s="7">
        <v>17337</v>
      </c>
      <c r="BH44" s="7">
        <v>17799</v>
      </c>
      <c r="BI44" s="7">
        <v>18503</v>
      </c>
      <c r="BJ44" s="7">
        <v>19135</v>
      </c>
      <c r="BK44" s="7">
        <v>19126</v>
      </c>
      <c r="BL44" s="7">
        <v>19134</v>
      </c>
      <c r="BM44" s="7">
        <v>18825</v>
      </c>
      <c r="BN44" s="7">
        <v>18741</v>
      </c>
      <c r="BO44" s="7">
        <v>19640</v>
      </c>
      <c r="BP44" s="7">
        <v>20339</v>
      </c>
      <c r="BQ44" s="7">
        <v>21543</v>
      </c>
      <c r="BR44" s="7">
        <v>22612</v>
      </c>
      <c r="BS44" s="7">
        <v>23985</v>
      </c>
      <c r="BT44" s="7">
        <v>24170</v>
      </c>
      <c r="BU44" s="7">
        <v>24667</v>
      </c>
      <c r="BV44" s="7">
        <v>24315</v>
      </c>
      <c r="BW44" s="7">
        <v>23898</v>
      </c>
      <c r="BX44" s="7">
        <v>24539</v>
      </c>
      <c r="BY44" s="7">
        <v>24494</v>
      </c>
      <c r="BZ44" s="7">
        <v>24683</v>
      </c>
      <c r="CA44" s="7">
        <v>25271</v>
      </c>
      <c r="CB44" s="7">
        <v>26123</v>
      </c>
      <c r="CC44" s="7">
        <v>26367</v>
      </c>
      <c r="CD44" s="7">
        <v>27629</v>
      </c>
      <c r="CE44" s="7">
        <v>28630</v>
      </c>
      <c r="CF44" s="7">
        <v>29401</v>
      </c>
      <c r="CG44" s="7">
        <v>29331</v>
      </c>
      <c r="CH44" s="7">
        <v>29517</v>
      </c>
      <c r="CI44" s="7">
        <v>30343</v>
      </c>
      <c r="CJ44" s="7">
        <v>30162</v>
      </c>
      <c r="CK44" s="7">
        <v>30498</v>
      </c>
      <c r="CL44" s="7">
        <v>31028</v>
      </c>
      <c r="CM44" s="7">
        <v>31227</v>
      </c>
      <c r="CN44" s="7">
        <v>32097</v>
      </c>
      <c r="CO44" s="7">
        <v>32499</v>
      </c>
      <c r="CQ44" s="7">
        <v>33415</v>
      </c>
      <c r="CR44" s="7">
        <v>33491</v>
      </c>
      <c r="CS44" s="7">
        <v>34072</v>
      </c>
    </row>
    <row r="45" spans="1:97" s="7" customFormat="1">
      <c r="A45" s="72" t="s">
        <v>182</v>
      </c>
      <c r="B45" s="9">
        <v>9964</v>
      </c>
      <c r="C45" s="7">
        <v>10275</v>
      </c>
      <c r="D45" s="7">
        <v>10635</v>
      </c>
      <c r="E45" s="7">
        <v>10983</v>
      </c>
      <c r="F45" s="7">
        <v>10677</v>
      </c>
      <c r="G45" s="7">
        <v>9984</v>
      </c>
      <c r="H45" s="7">
        <v>9901</v>
      </c>
      <c r="I45" s="7">
        <v>9778</v>
      </c>
      <c r="J45" s="7">
        <v>9501</v>
      </c>
      <c r="K45" s="7">
        <v>9506</v>
      </c>
      <c r="L45" s="7">
        <v>9322</v>
      </c>
      <c r="M45" s="7">
        <v>9392</v>
      </c>
      <c r="N45" s="7">
        <v>9521</v>
      </c>
      <c r="O45" s="7">
        <v>10062</v>
      </c>
      <c r="P45" s="7">
        <v>9797</v>
      </c>
      <c r="Q45" s="7">
        <v>9770</v>
      </c>
      <c r="R45" s="7">
        <v>9672</v>
      </c>
      <c r="S45" s="7">
        <v>9781</v>
      </c>
      <c r="T45" s="7">
        <v>9805</v>
      </c>
      <c r="U45" s="7">
        <v>10093</v>
      </c>
      <c r="V45" s="7">
        <v>10297</v>
      </c>
      <c r="W45" s="7">
        <v>10472</v>
      </c>
      <c r="X45" s="7">
        <v>10971</v>
      </c>
      <c r="Y45" s="7">
        <v>10911</v>
      </c>
      <c r="Z45" s="7">
        <v>10889</v>
      </c>
      <c r="AA45" s="7">
        <v>10663</v>
      </c>
      <c r="AB45" s="7">
        <v>10268</v>
      </c>
      <c r="AC45" s="7">
        <v>9776</v>
      </c>
      <c r="AD45" s="7">
        <v>9985</v>
      </c>
      <c r="AE45" s="7">
        <v>9737</v>
      </c>
      <c r="AF45" s="7">
        <v>9737</v>
      </c>
      <c r="AG45" s="7">
        <v>9792</v>
      </c>
      <c r="AH45" s="7">
        <v>10279</v>
      </c>
      <c r="AI45" s="7">
        <v>10727</v>
      </c>
      <c r="AJ45" s="7">
        <v>11468</v>
      </c>
      <c r="AK45" s="7">
        <v>11952</v>
      </c>
      <c r="AL45" s="7">
        <v>12246</v>
      </c>
      <c r="AM45" s="7">
        <v>12649</v>
      </c>
      <c r="AN45" s="7">
        <v>13120</v>
      </c>
      <c r="AO45" s="7">
        <v>13384</v>
      </c>
      <c r="AP45" s="7">
        <v>13870</v>
      </c>
      <c r="AQ45" s="7">
        <v>14323</v>
      </c>
      <c r="AR45" s="7">
        <v>14535</v>
      </c>
      <c r="AS45" s="7">
        <v>14978</v>
      </c>
      <c r="AU45" s="7">
        <v>14599</v>
      </c>
      <c r="AV45" s="7">
        <v>14433</v>
      </c>
      <c r="AW45" s="7">
        <v>14169</v>
      </c>
      <c r="AX45" s="79">
        <v>8076</v>
      </c>
      <c r="AY45" s="7">
        <v>8399</v>
      </c>
      <c r="AZ45" s="7">
        <v>8812</v>
      </c>
      <c r="BA45" s="7">
        <v>9083</v>
      </c>
      <c r="BB45" s="7">
        <v>8718</v>
      </c>
      <c r="BC45" s="7">
        <v>8445</v>
      </c>
      <c r="BD45" s="7">
        <v>8362</v>
      </c>
      <c r="BE45" s="7">
        <v>8385</v>
      </c>
      <c r="BF45" s="7">
        <v>8684</v>
      </c>
      <c r="BG45" s="7">
        <v>8961</v>
      </c>
      <c r="BH45" s="7">
        <v>9312</v>
      </c>
      <c r="BI45" s="7">
        <v>10000</v>
      </c>
      <c r="BJ45" s="7">
        <v>10227</v>
      </c>
      <c r="BK45" s="7">
        <v>10602</v>
      </c>
      <c r="BL45" s="7">
        <v>10758</v>
      </c>
      <c r="BM45" s="7">
        <v>10903</v>
      </c>
      <c r="BN45" s="7">
        <v>10557</v>
      </c>
      <c r="BO45" s="7">
        <v>10888</v>
      </c>
      <c r="BP45" s="7">
        <v>11362</v>
      </c>
      <c r="BQ45" s="7">
        <v>11808</v>
      </c>
      <c r="BR45" s="7">
        <v>12584</v>
      </c>
      <c r="BS45" s="7">
        <v>13147</v>
      </c>
      <c r="BT45" s="7">
        <v>13482</v>
      </c>
      <c r="BU45" s="7">
        <v>13851</v>
      </c>
      <c r="BV45" s="7">
        <v>13857</v>
      </c>
      <c r="BW45" s="7">
        <v>13405</v>
      </c>
      <c r="BX45" s="7">
        <v>13011</v>
      </c>
      <c r="BY45" s="7">
        <v>12842</v>
      </c>
      <c r="BZ45" s="7">
        <v>13059</v>
      </c>
      <c r="CA45" s="7">
        <v>13428</v>
      </c>
      <c r="CB45" s="7">
        <v>13438</v>
      </c>
      <c r="CC45" s="7">
        <v>13563</v>
      </c>
      <c r="CD45" s="7">
        <v>14427</v>
      </c>
      <c r="CE45" s="7">
        <v>15056</v>
      </c>
      <c r="CF45" s="7">
        <v>15856</v>
      </c>
      <c r="CG45" s="7">
        <v>16323</v>
      </c>
      <c r="CH45" s="7">
        <v>16587</v>
      </c>
      <c r="CI45" s="7">
        <v>16969</v>
      </c>
      <c r="CJ45" s="7">
        <v>17258</v>
      </c>
      <c r="CK45" s="7">
        <v>17891</v>
      </c>
      <c r="CL45" s="7">
        <v>18082</v>
      </c>
      <c r="CM45" s="7">
        <v>18406</v>
      </c>
      <c r="CN45" s="7">
        <v>18978</v>
      </c>
      <c r="CO45" s="7">
        <v>19037</v>
      </c>
      <c r="CQ45" s="7">
        <v>19213</v>
      </c>
      <c r="CR45" s="7">
        <v>18720</v>
      </c>
      <c r="CS45" s="7">
        <v>18671</v>
      </c>
    </row>
    <row r="46" spans="1:97" s="7" customFormat="1">
      <c r="A46" s="72" t="s">
        <v>183</v>
      </c>
      <c r="B46" s="9">
        <v>10291</v>
      </c>
      <c r="C46" s="7">
        <v>11000</v>
      </c>
      <c r="D46" s="7">
        <v>11268</v>
      </c>
      <c r="E46" s="7">
        <v>11907</v>
      </c>
      <c r="F46" s="7">
        <v>12188</v>
      </c>
      <c r="G46" s="7">
        <v>11994</v>
      </c>
      <c r="H46" s="7">
        <v>12096</v>
      </c>
      <c r="I46" s="7">
        <v>11766</v>
      </c>
      <c r="J46" s="7">
        <v>11733</v>
      </c>
      <c r="K46" s="7">
        <v>11702</v>
      </c>
      <c r="L46" s="7">
        <v>11544</v>
      </c>
      <c r="M46" s="7">
        <v>11135</v>
      </c>
      <c r="N46" s="7">
        <v>11607</v>
      </c>
      <c r="O46" s="7">
        <v>11755</v>
      </c>
      <c r="P46" s="7">
        <v>11540</v>
      </c>
      <c r="Q46" s="7">
        <v>11563</v>
      </c>
      <c r="R46" s="7">
        <v>11684</v>
      </c>
      <c r="S46" s="7">
        <v>11433</v>
      </c>
      <c r="T46" s="7">
        <v>11376</v>
      </c>
      <c r="U46" s="7">
        <v>11452</v>
      </c>
      <c r="V46" s="7">
        <v>11710</v>
      </c>
      <c r="W46" s="7">
        <v>11531</v>
      </c>
      <c r="X46" s="7">
        <v>12301</v>
      </c>
      <c r="Y46" s="7">
        <v>12301</v>
      </c>
      <c r="Z46" s="7">
        <v>12737</v>
      </c>
      <c r="AA46" s="7">
        <v>12495</v>
      </c>
      <c r="AB46" s="7">
        <v>12144</v>
      </c>
      <c r="AC46" s="7">
        <v>12392</v>
      </c>
      <c r="AD46" s="7">
        <v>12539</v>
      </c>
      <c r="AE46" s="7">
        <v>12462</v>
      </c>
      <c r="AF46" s="7">
        <v>12808</v>
      </c>
      <c r="AG46" s="7">
        <v>13069</v>
      </c>
      <c r="AH46" s="7">
        <v>13817</v>
      </c>
      <c r="AI46" s="7">
        <v>14271</v>
      </c>
      <c r="AJ46" s="7">
        <v>14536</v>
      </c>
      <c r="AK46" s="7">
        <v>14788</v>
      </c>
      <c r="AL46" s="7">
        <v>15131</v>
      </c>
      <c r="AM46" s="7">
        <v>15255</v>
      </c>
      <c r="AN46" s="7">
        <v>15170</v>
      </c>
      <c r="AO46" s="7">
        <v>15948</v>
      </c>
      <c r="AP46" s="7">
        <v>16225</v>
      </c>
      <c r="AQ46" s="7">
        <v>16455</v>
      </c>
      <c r="AR46" s="7">
        <v>17031</v>
      </c>
      <c r="AS46" s="7">
        <v>16832</v>
      </c>
      <c r="AU46" s="7">
        <v>17590</v>
      </c>
      <c r="AV46" s="7">
        <v>17337</v>
      </c>
      <c r="AW46" s="7">
        <v>17365</v>
      </c>
      <c r="AX46" s="79">
        <v>8056</v>
      </c>
      <c r="AY46" s="7">
        <v>8378</v>
      </c>
      <c r="AZ46" s="7">
        <v>9011</v>
      </c>
      <c r="BA46" s="7">
        <v>9550</v>
      </c>
      <c r="BB46" s="7">
        <v>9563</v>
      </c>
      <c r="BC46" s="7">
        <v>9358</v>
      </c>
      <c r="BD46" s="7">
        <v>9354</v>
      </c>
      <c r="BE46" s="7">
        <v>9735</v>
      </c>
      <c r="BF46" s="7">
        <v>9926</v>
      </c>
      <c r="BG46" s="7">
        <v>10198</v>
      </c>
      <c r="BH46" s="7">
        <v>10111</v>
      </c>
      <c r="BI46" s="7">
        <v>10723</v>
      </c>
      <c r="BJ46" s="7">
        <v>11038</v>
      </c>
      <c r="BK46" s="7">
        <v>10922</v>
      </c>
      <c r="BL46" s="7">
        <v>11325</v>
      </c>
      <c r="BM46" s="7">
        <v>11388</v>
      </c>
      <c r="BN46" s="7">
        <v>11625</v>
      </c>
      <c r="BO46" s="7">
        <v>11817</v>
      </c>
      <c r="BP46" s="7">
        <v>11653</v>
      </c>
      <c r="BQ46" s="7">
        <v>12248</v>
      </c>
      <c r="BR46" s="7">
        <v>12941</v>
      </c>
      <c r="BS46" s="7">
        <v>13386</v>
      </c>
      <c r="BT46" s="7">
        <v>14251</v>
      </c>
      <c r="BU46" s="7">
        <v>14653</v>
      </c>
      <c r="BV46" s="7">
        <v>14757</v>
      </c>
      <c r="BW46" s="7">
        <v>15436</v>
      </c>
      <c r="BX46" s="7">
        <v>15162</v>
      </c>
      <c r="BY46" s="7">
        <v>15674</v>
      </c>
      <c r="BZ46" s="7">
        <v>16349</v>
      </c>
      <c r="CA46" s="7">
        <v>16539</v>
      </c>
      <c r="CB46" s="7">
        <v>17227</v>
      </c>
      <c r="CC46" s="7">
        <v>17105</v>
      </c>
      <c r="CD46" s="7">
        <v>18265</v>
      </c>
      <c r="CE46" s="7">
        <v>19020</v>
      </c>
      <c r="CF46" s="7">
        <v>19300</v>
      </c>
      <c r="CG46" s="7">
        <v>19564</v>
      </c>
      <c r="CH46" s="7">
        <v>20100</v>
      </c>
      <c r="CI46" s="7">
        <v>20500</v>
      </c>
      <c r="CJ46" s="7">
        <v>20566</v>
      </c>
      <c r="CK46" s="7">
        <v>22422</v>
      </c>
      <c r="CL46" s="7">
        <v>23423</v>
      </c>
      <c r="CM46" s="7">
        <v>24540</v>
      </c>
      <c r="CN46" s="7">
        <v>25891</v>
      </c>
      <c r="CO46" s="7">
        <v>23254</v>
      </c>
      <c r="CQ46" s="7">
        <v>23556</v>
      </c>
      <c r="CR46" s="7">
        <v>24097</v>
      </c>
      <c r="CS46" s="7">
        <v>23807</v>
      </c>
    </row>
    <row r="47" spans="1:97" s="7" customFormat="1" ht="12.75" customHeight="1">
      <c r="A47" s="72" t="s">
        <v>186</v>
      </c>
      <c r="B47" s="9">
        <v>5590</v>
      </c>
      <c r="C47" s="7">
        <v>5969</v>
      </c>
      <c r="D47" s="7">
        <v>5678</v>
      </c>
      <c r="E47" s="7">
        <v>5513</v>
      </c>
      <c r="F47" s="7">
        <v>5333</v>
      </c>
      <c r="G47" s="7">
        <v>4901</v>
      </c>
      <c r="H47" s="7">
        <v>4364</v>
      </c>
      <c r="I47" s="7">
        <v>4145</v>
      </c>
      <c r="J47" s="7">
        <v>4235</v>
      </c>
      <c r="K47" s="7">
        <v>3844</v>
      </c>
      <c r="L47" s="7">
        <v>3820</v>
      </c>
      <c r="M47" s="7">
        <v>3641</v>
      </c>
      <c r="N47" s="7">
        <v>3825</v>
      </c>
      <c r="O47" s="7">
        <v>4001</v>
      </c>
      <c r="P47" s="7">
        <v>3988</v>
      </c>
      <c r="Q47" s="7">
        <v>4068</v>
      </c>
      <c r="R47" s="7">
        <v>4051</v>
      </c>
      <c r="S47" s="7">
        <v>4007</v>
      </c>
      <c r="T47" s="7">
        <v>3838</v>
      </c>
      <c r="U47" s="7">
        <v>3979</v>
      </c>
      <c r="V47" s="7">
        <v>4022</v>
      </c>
      <c r="W47" s="7">
        <v>4118</v>
      </c>
      <c r="X47" s="7">
        <v>4263</v>
      </c>
      <c r="Y47" s="7">
        <v>4283</v>
      </c>
      <c r="Z47" s="7">
        <v>4454</v>
      </c>
      <c r="AA47" s="7">
        <v>4440</v>
      </c>
      <c r="AB47" s="7">
        <v>4408</v>
      </c>
      <c r="AC47" s="7">
        <v>4334</v>
      </c>
      <c r="AD47" s="7">
        <v>4599</v>
      </c>
      <c r="AE47" s="7">
        <v>4343</v>
      </c>
      <c r="AF47" s="7">
        <v>4779</v>
      </c>
      <c r="AG47" s="7">
        <v>4746</v>
      </c>
      <c r="AH47" s="7">
        <v>4765</v>
      </c>
      <c r="AI47" s="7">
        <v>4927</v>
      </c>
      <c r="AJ47" s="7">
        <v>5027</v>
      </c>
      <c r="AK47" s="7">
        <v>5360</v>
      </c>
      <c r="AL47" s="7">
        <v>5463</v>
      </c>
      <c r="AM47" s="7">
        <v>5437</v>
      </c>
      <c r="AN47" s="7">
        <v>5515</v>
      </c>
      <c r="AO47" s="7">
        <v>5656</v>
      </c>
      <c r="AP47" s="7">
        <v>5709</v>
      </c>
      <c r="AQ47" s="7">
        <v>5997</v>
      </c>
      <c r="AR47" s="7">
        <v>6368</v>
      </c>
      <c r="AS47" s="7">
        <v>6261</v>
      </c>
      <c r="AU47" s="7">
        <v>6060</v>
      </c>
      <c r="AV47" s="7">
        <v>6260</v>
      </c>
      <c r="AW47" s="7">
        <v>6239</v>
      </c>
      <c r="AX47" s="79">
        <v>3827</v>
      </c>
      <c r="AY47" s="7">
        <v>3907</v>
      </c>
      <c r="AZ47" s="7">
        <v>3886</v>
      </c>
      <c r="BA47" s="7">
        <v>3983</v>
      </c>
      <c r="BB47" s="7">
        <v>3813</v>
      </c>
      <c r="BC47" s="7">
        <v>3480</v>
      </c>
      <c r="BD47" s="7">
        <v>3380</v>
      </c>
      <c r="BE47" s="7">
        <v>3333</v>
      </c>
      <c r="BF47" s="7">
        <v>3422</v>
      </c>
      <c r="BG47" s="7">
        <v>3554</v>
      </c>
      <c r="BH47" s="7">
        <v>3733</v>
      </c>
      <c r="BI47" s="7">
        <v>3763</v>
      </c>
      <c r="BJ47" s="7">
        <v>3942</v>
      </c>
      <c r="BK47" s="7">
        <v>4053</v>
      </c>
      <c r="BL47" s="7">
        <v>4163</v>
      </c>
      <c r="BM47" s="7">
        <v>4262</v>
      </c>
      <c r="BN47" s="7">
        <v>4280</v>
      </c>
      <c r="BO47" s="7">
        <v>4403</v>
      </c>
      <c r="BP47" s="7">
        <v>4450</v>
      </c>
      <c r="BQ47" s="7">
        <v>4427</v>
      </c>
      <c r="BR47" s="7">
        <v>4655</v>
      </c>
      <c r="BS47" s="7">
        <v>4827</v>
      </c>
      <c r="BT47" s="7">
        <v>5154</v>
      </c>
      <c r="BU47" s="7">
        <v>5239</v>
      </c>
      <c r="BV47" s="7">
        <v>5633</v>
      </c>
      <c r="BW47" s="7">
        <v>5665</v>
      </c>
      <c r="BX47" s="7">
        <v>5481</v>
      </c>
      <c r="BY47" s="7">
        <v>5537</v>
      </c>
      <c r="BZ47" s="7">
        <v>5472</v>
      </c>
      <c r="CA47" s="7">
        <v>5681</v>
      </c>
      <c r="CB47" s="7">
        <v>5968</v>
      </c>
      <c r="CC47" s="7">
        <v>6036</v>
      </c>
      <c r="CD47" s="7">
        <v>5874</v>
      </c>
      <c r="CE47" s="7">
        <v>6098</v>
      </c>
      <c r="CF47" s="7">
        <v>6412</v>
      </c>
      <c r="CG47" s="7">
        <v>6639</v>
      </c>
      <c r="CH47" s="7">
        <v>6687</v>
      </c>
      <c r="CI47" s="7">
        <v>6895</v>
      </c>
      <c r="CJ47" s="7">
        <v>6845</v>
      </c>
      <c r="CK47" s="7">
        <v>6919</v>
      </c>
      <c r="CL47" s="7">
        <v>6887</v>
      </c>
      <c r="CM47" s="7">
        <v>7513</v>
      </c>
      <c r="CN47" s="7">
        <v>7880</v>
      </c>
      <c r="CO47" s="7">
        <v>7858</v>
      </c>
      <c r="CQ47" s="7">
        <v>8020</v>
      </c>
      <c r="CR47" s="7">
        <v>8041</v>
      </c>
      <c r="CS47" s="7">
        <v>8131</v>
      </c>
    </row>
    <row r="48" spans="1:97" s="7" customFormat="1">
      <c r="A48" s="72" t="s">
        <v>185</v>
      </c>
      <c r="B48" s="9">
        <v>2266</v>
      </c>
      <c r="C48" s="7">
        <v>2329</v>
      </c>
      <c r="D48" s="7">
        <v>2198</v>
      </c>
      <c r="E48" s="7">
        <v>2150</v>
      </c>
      <c r="F48" s="7">
        <v>2247</v>
      </c>
      <c r="G48" s="7">
        <v>2002</v>
      </c>
      <c r="H48" s="7">
        <v>1939</v>
      </c>
      <c r="I48" s="7">
        <v>1786</v>
      </c>
      <c r="J48" s="7">
        <v>1834</v>
      </c>
      <c r="K48" s="7">
        <v>1871</v>
      </c>
      <c r="L48" s="7">
        <v>1951</v>
      </c>
      <c r="M48" s="7">
        <v>1872</v>
      </c>
      <c r="N48" s="7">
        <v>1938</v>
      </c>
      <c r="O48" s="7">
        <v>2014</v>
      </c>
      <c r="P48" s="7">
        <v>2055</v>
      </c>
      <c r="Q48" s="7">
        <v>2311</v>
      </c>
      <c r="R48" s="7">
        <v>2300</v>
      </c>
      <c r="S48" s="7">
        <v>2126</v>
      </c>
      <c r="T48" s="7">
        <v>2123</v>
      </c>
      <c r="U48" s="7">
        <v>2196</v>
      </c>
      <c r="V48" s="7">
        <v>2203</v>
      </c>
      <c r="W48" s="7">
        <v>2181</v>
      </c>
      <c r="X48" s="7">
        <v>2379</v>
      </c>
      <c r="Y48" s="7">
        <v>2208</v>
      </c>
      <c r="Z48" s="7">
        <v>2258</v>
      </c>
      <c r="AA48" s="7">
        <v>2162</v>
      </c>
      <c r="AB48" s="7">
        <v>2170</v>
      </c>
      <c r="AC48" s="7">
        <v>2202</v>
      </c>
      <c r="AD48" s="7">
        <v>2131</v>
      </c>
      <c r="AE48" s="7">
        <v>2247</v>
      </c>
      <c r="AF48" s="7">
        <v>2326</v>
      </c>
      <c r="AG48" s="7">
        <v>2177</v>
      </c>
      <c r="AH48" s="7">
        <v>2215</v>
      </c>
      <c r="AI48" s="7">
        <v>2309</v>
      </c>
      <c r="AJ48" s="7">
        <v>2434</v>
      </c>
      <c r="AK48" s="7">
        <v>2501</v>
      </c>
      <c r="AL48" s="7">
        <v>2645</v>
      </c>
      <c r="AM48" s="7">
        <v>2608</v>
      </c>
      <c r="AN48" s="7">
        <v>2639</v>
      </c>
      <c r="AO48" s="7">
        <v>2638</v>
      </c>
      <c r="AP48" s="7">
        <v>2687</v>
      </c>
      <c r="AQ48" s="7">
        <v>2672</v>
      </c>
      <c r="AR48" s="7">
        <v>2739</v>
      </c>
      <c r="AS48" s="7">
        <v>2866</v>
      </c>
      <c r="AU48" s="7">
        <v>2985</v>
      </c>
      <c r="AV48" s="7">
        <v>2963</v>
      </c>
      <c r="AW48" s="7">
        <v>3149</v>
      </c>
      <c r="AX48" s="79">
        <v>1601</v>
      </c>
      <c r="AY48" s="7">
        <v>1688</v>
      </c>
      <c r="AZ48" s="7">
        <v>1765</v>
      </c>
      <c r="BA48" s="7">
        <v>1878</v>
      </c>
      <c r="BB48" s="7">
        <v>1760</v>
      </c>
      <c r="BC48" s="7">
        <v>1625</v>
      </c>
      <c r="BD48" s="7">
        <v>1602</v>
      </c>
      <c r="BE48" s="7">
        <v>1581</v>
      </c>
      <c r="BF48" s="7">
        <v>1602</v>
      </c>
      <c r="BG48" s="7">
        <v>1742</v>
      </c>
      <c r="BH48" s="7">
        <v>1751</v>
      </c>
      <c r="BI48" s="7">
        <v>1923</v>
      </c>
      <c r="BJ48" s="7">
        <v>1817</v>
      </c>
      <c r="BK48" s="7">
        <v>1922</v>
      </c>
      <c r="BL48" s="7">
        <v>2017</v>
      </c>
      <c r="BM48" s="7">
        <v>1878</v>
      </c>
      <c r="BN48" s="7">
        <v>1963</v>
      </c>
      <c r="BO48" s="7">
        <v>2083</v>
      </c>
      <c r="BP48" s="7">
        <v>1987</v>
      </c>
      <c r="BQ48" s="7">
        <v>2091</v>
      </c>
      <c r="BR48" s="7">
        <v>1999</v>
      </c>
      <c r="BS48" s="7">
        <v>2306</v>
      </c>
      <c r="BT48" s="7">
        <v>2376</v>
      </c>
      <c r="BU48" s="7">
        <v>2347</v>
      </c>
      <c r="BV48" s="7">
        <v>2300</v>
      </c>
      <c r="BW48" s="7">
        <v>2278</v>
      </c>
      <c r="BX48" s="7">
        <v>2314</v>
      </c>
      <c r="BY48" s="7">
        <v>2425</v>
      </c>
      <c r="BZ48" s="7">
        <v>2457</v>
      </c>
      <c r="CA48" s="7">
        <v>2483</v>
      </c>
      <c r="CB48" s="7">
        <v>2551</v>
      </c>
      <c r="CC48" s="7">
        <v>2511</v>
      </c>
      <c r="CD48" s="7">
        <v>2595</v>
      </c>
      <c r="CE48" s="7">
        <v>2573</v>
      </c>
      <c r="CF48" s="7">
        <v>2599</v>
      </c>
      <c r="CG48" s="7">
        <v>2660</v>
      </c>
      <c r="CH48" s="7">
        <v>2842</v>
      </c>
      <c r="CI48" s="7">
        <v>2935</v>
      </c>
      <c r="CJ48" s="7">
        <v>2892</v>
      </c>
      <c r="CK48" s="7">
        <v>2966</v>
      </c>
      <c r="CL48" s="7">
        <v>3040</v>
      </c>
      <c r="CM48" s="7">
        <v>3002</v>
      </c>
      <c r="CN48" s="7">
        <v>2940</v>
      </c>
      <c r="CO48" s="7">
        <v>3117</v>
      </c>
      <c r="CQ48" s="7">
        <v>3306</v>
      </c>
      <c r="CR48" s="7">
        <v>3335</v>
      </c>
      <c r="CS48" s="7">
        <v>3278</v>
      </c>
    </row>
    <row r="49" spans="1:97" s="7" customFormat="1">
      <c r="A49" s="72" t="s">
        <v>192</v>
      </c>
      <c r="B49" s="9">
        <v>24315</v>
      </c>
      <c r="C49" s="7">
        <v>25196</v>
      </c>
      <c r="D49" s="7">
        <v>26381</v>
      </c>
      <c r="E49" s="7">
        <v>26218</v>
      </c>
      <c r="F49" s="7">
        <v>26180</v>
      </c>
      <c r="G49" s="7">
        <v>25068</v>
      </c>
      <c r="H49" s="7">
        <v>23617</v>
      </c>
      <c r="I49" s="7">
        <v>22389</v>
      </c>
      <c r="J49" s="7">
        <v>21580</v>
      </c>
      <c r="K49" s="7">
        <v>21246</v>
      </c>
      <c r="L49" s="7">
        <v>20883</v>
      </c>
      <c r="M49" s="7">
        <v>20911</v>
      </c>
      <c r="N49" s="7">
        <v>21229</v>
      </c>
      <c r="O49" s="7">
        <v>21720</v>
      </c>
      <c r="P49" s="7">
        <v>21428</v>
      </c>
      <c r="Q49" s="7">
        <v>21822</v>
      </c>
      <c r="R49" s="7">
        <v>21771</v>
      </c>
      <c r="S49" s="7">
        <v>21962</v>
      </c>
      <c r="T49" s="7">
        <v>21288</v>
      </c>
      <c r="U49" s="7">
        <v>21984</v>
      </c>
      <c r="V49" s="7">
        <v>22257</v>
      </c>
      <c r="W49" s="7">
        <v>22662</v>
      </c>
      <c r="X49" s="7">
        <v>23280</v>
      </c>
      <c r="Y49" s="7">
        <v>23790</v>
      </c>
      <c r="Z49" s="7">
        <v>23370</v>
      </c>
      <c r="AA49" s="7">
        <v>22659</v>
      </c>
      <c r="AB49" s="7">
        <v>21975</v>
      </c>
      <c r="AC49" s="7">
        <v>21803</v>
      </c>
      <c r="AD49" s="7">
        <v>21752</v>
      </c>
      <c r="AE49" s="7">
        <v>21588</v>
      </c>
      <c r="AF49" s="7">
        <v>21449</v>
      </c>
      <c r="AG49" s="7">
        <v>21745</v>
      </c>
      <c r="AH49" s="7">
        <v>22442</v>
      </c>
      <c r="AI49" s="7">
        <v>23489</v>
      </c>
      <c r="AJ49" s="7">
        <v>24166</v>
      </c>
      <c r="AK49" s="7">
        <v>24401</v>
      </c>
      <c r="AL49" s="7">
        <v>25133</v>
      </c>
      <c r="AM49" s="7">
        <v>25501</v>
      </c>
      <c r="AN49" s="7">
        <v>26040</v>
      </c>
      <c r="AO49" s="7">
        <v>26514</v>
      </c>
      <c r="AP49" s="7">
        <v>26889</v>
      </c>
      <c r="AQ49" s="7">
        <v>28420</v>
      </c>
      <c r="AR49" s="7">
        <v>29246</v>
      </c>
      <c r="AS49" s="7">
        <v>28665</v>
      </c>
      <c r="AU49" s="7">
        <v>29990</v>
      </c>
      <c r="AV49" s="7">
        <v>30431</v>
      </c>
      <c r="AW49" s="7">
        <v>31178</v>
      </c>
      <c r="AX49" s="79">
        <v>17496</v>
      </c>
      <c r="AY49" s="7">
        <v>19117</v>
      </c>
      <c r="AZ49" s="7">
        <v>20405</v>
      </c>
      <c r="BA49" s="7">
        <v>21257</v>
      </c>
      <c r="BB49" s="7">
        <v>21530</v>
      </c>
      <c r="BC49" s="7">
        <v>20534</v>
      </c>
      <c r="BD49" s="7">
        <v>19355</v>
      </c>
      <c r="BE49" s="7">
        <v>18758</v>
      </c>
      <c r="BF49" s="7">
        <v>18814</v>
      </c>
      <c r="BG49" s="7">
        <v>19404</v>
      </c>
      <c r="BH49" s="7">
        <v>19824</v>
      </c>
      <c r="BI49" s="7">
        <v>20389</v>
      </c>
      <c r="BJ49" s="7">
        <v>20968</v>
      </c>
      <c r="BK49" s="7">
        <v>21210</v>
      </c>
      <c r="BL49" s="7">
        <v>21099</v>
      </c>
      <c r="BM49" s="7">
        <v>21251</v>
      </c>
      <c r="BN49" s="7">
        <v>21344</v>
      </c>
      <c r="BO49" s="7">
        <v>22013</v>
      </c>
      <c r="BP49" s="7">
        <v>22233</v>
      </c>
      <c r="BQ49" s="7">
        <v>23157</v>
      </c>
      <c r="BR49" s="7">
        <v>24787</v>
      </c>
      <c r="BS49" s="7">
        <v>26137</v>
      </c>
      <c r="BT49" s="7">
        <v>27277</v>
      </c>
      <c r="BU49" s="7">
        <v>27697</v>
      </c>
      <c r="BV49" s="7">
        <v>27612</v>
      </c>
      <c r="BW49" s="7">
        <v>26929</v>
      </c>
      <c r="BX49" s="7">
        <v>26706</v>
      </c>
      <c r="BY49" s="7">
        <v>27213</v>
      </c>
      <c r="BZ49" s="7">
        <v>27328</v>
      </c>
      <c r="CA49" s="7">
        <v>28148</v>
      </c>
      <c r="CB49" s="7">
        <v>28400</v>
      </c>
      <c r="CC49" s="7">
        <v>29111</v>
      </c>
      <c r="CD49" s="7">
        <v>30306</v>
      </c>
      <c r="CE49" s="7">
        <v>31363</v>
      </c>
      <c r="CF49" s="7">
        <v>32084</v>
      </c>
      <c r="CG49" s="7">
        <v>32568</v>
      </c>
      <c r="CH49" s="7">
        <v>33389</v>
      </c>
      <c r="CI49" s="7">
        <v>33524</v>
      </c>
      <c r="CJ49" s="7">
        <v>33345</v>
      </c>
      <c r="CK49" s="7">
        <v>33534</v>
      </c>
      <c r="CL49" s="7">
        <v>34097</v>
      </c>
      <c r="CM49" s="7">
        <v>35462</v>
      </c>
      <c r="CN49" s="7">
        <v>37490</v>
      </c>
      <c r="CO49" s="7">
        <v>37528</v>
      </c>
      <c r="CQ49" s="7">
        <v>39645</v>
      </c>
      <c r="CR49" s="7">
        <v>39621</v>
      </c>
      <c r="CS49" s="7">
        <v>40453</v>
      </c>
    </row>
    <row r="50" spans="1:97" s="7" customFormat="1">
      <c r="A50" s="72" t="s">
        <v>196</v>
      </c>
      <c r="B50" s="9">
        <v>2549</v>
      </c>
      <c r="C50" s="7">
        <v>2634</v>
      </c>
      <c r="D50" s="7">
        <v>2698</v>
      </c>
      <c r="E50" s="7">
        <v>2842</v>
      </c>
      <c r="F50" s="7">
        <v>2757</v>
      </c>
      <c r="G50" s="7">
        <v>2390</v>
      </c>
      <c r="H50" s="7">
        <v>2072</v>
      </c>
      <c r="I50" s="7">
        <v>2147</v>
      </c>
      <c r="J50" s="7">
        <v>2097</v>
      </c>
      <c r="K50" s="7">
        <v>2080</v>
      </c>
      <c r="L50" s="7">
        <v>2119</v>
      </c>
      <c r="M50" s="7">
        <v>2083</v>
      </c>
      <c r="N50" s="7">
        <v>1985</v>
      </c>
      <c r="O50" s="7">
        <v>2156</v>
      </c>
      <c r="P50" s="7">
        <v>2185</v>
      </c>
      <c r="Q50" s="7">
        <v>2120</v>
      </c>
      <c r="R50" s="7">
        <v>2039</v>
      </c>
      <c r="S50" s="7">
        <v>1936</v>
      </c>
      <c r="T50" s="7">
        <v>1791</v>
      </c>
      <c r="U50" s="7">
        <v>1847</v>
      </c>
      <c r="V50" s="7">
        <v>1728</v>
      </c>
      <c r="W50" s="7">
        <v>1682</v>
      </c>
      <c r="X50" s="7">
        <v>1876</v>
      </c>
      <c r="Y50" s="7">
        <v>1952</v>
      </c>
      <c r="Z50" s="7">
        <v>1897</v>
      </c>
      <c r="AA50" s="7">
        <v>1986</v>
      </c>
      <c r="AB50" s="7">
        <v>1955</v>
      </c>
      <c r="AC50" s="7">
        <v>1917</v>
      </c>
      <c r="AD50" s="7">
        <v>1861</v>
      </c>
      <c r="AE50" s="7">
        <v>1824</v>
      </c>
      <c r="AF50" s="7">
        <v>2018</v>
      </c>
      <c r="AG50" s="7">
        <v>1835</v>
      </c>
      <c r="AH50" s="7">
        <v>1912</v>
      </c>
      <c r="AI50" s="7">
        <v>1947</v>
      </c>
      <c r="AJ50" s="7">
        <v>2093</v>
      </c>
      <c r="AK50" s="7">
        <v>2103</v>
      </c>
      <c r="AL50" s="7">
        <v>2182</v>
      </c>
      <c r="AM50" s="7">
        <v>2197</v>
      </c>
      <c r="AN50" s="7">
        <v>2220</v>
      </c>
      <c r="AO50" s="7">
        <v>2158</v>
      </c>
      <c r="AP50" s="7">
        <v>2164</v>
      </c>
      <c r="AQ50" s="7">
        <v>2247</v>
      </c>
      <c r="AR50" s="7">
        <v>2323</v>
      </c>
      <c r="AS50" s="7">
        <v>2492</v>
      </c>
      <c r="AU50" s="7">
        <v>2397</v>
      </c>
      <c r="AV50" s="7">
        <v>2419</v>
      </c>
      <c r="AW50" s="7">
        <v>2568</v>
      </c>
      <c r="AX50" s="79">
        <v>2087</v>
      </c>
      <c r="AY50" s="7">
        <v>2162</v>
      </c>
      <c r="AZ50" s="7">
        <v>2118</v>
      </c>
      <c r="BA50" s="7">
        <v>2134</v>
      </c>
      <c r="BB50" s="7">
        <v>2095</v>
      </c>
      <c r="BC50" s="7">
        <v>1775</v>
      </c>
      <c r="BD50" s="7">
        <v>1623</v>
      </c>
      <c r="BE50" s="7">
        <v>1647</v>
      </c>
      <c r="BF50" s="7">
        <v>1653</v>
      </c>
      <c r="BG50" s="7">
        <v>1609</v>
      </c>
      <c r="BH50" s="7">
        <v>1829</v>
      </c>
      <c r="BI50" s="7">
        <v>1785</v>
      </c>
      <c r="BJ50" s="7">
        <v>1924</v>
      </c>
      <c r="BK50" s="7">
        <v>2004</v>
      </c>
      <c r="BL50" s="7">
        <v>1904</v>
      </c>
      <c r="BM50" s="7">
        <v>2005</v>
      </c>
      <c r="BN50" s="7">
        <v>1940</v>
      </c>
      <c r="BO50" s="7">
        <v>1802</v>
      </c>
      <c r="BP50" s="7">
        <v>1836</v>
      </c>
      <c r="BQ50" s="7">
        <v>1851</v>
      </c>
      <c r="BR50" s="7">
        <v>1889</v>
      </c>
      <c r="BS50" s="7">
        <v>1998</v>
      </c>
      <c r="BT50" s="7">
        <v>2199</v>
      </c>
      <c r="BU50" s="7">
        <v>2300</v>
      </c>
      <c r="BV50" s="7">
        <v>2267</v>
      </c>
      <c r="BW50" s="7">
        <v>2307</v>
      </c>
      <c r="BX50" s="7">
        <v>2484</v>
      </c>
      <c r="BY50" s="7">
        <v>2313</v>
      </c>
      <c r="BZ50" s="7">
        <v>2412</v>
      </c>
      <c r="CA50" s="7">
        <v>2422</v>
      </c>
      <c r="CB50" s="7">
        <v>2476</v>
      </c>
      <c r="CC50" s="7">
        <v>2388</v>
      </c>
      <c r="CD50" s="7">
        <v>2453</v>
      </c>
      <c r="CE50" s="7">
        <v>2397</v>
      </c>
      <c r="CF50" s="7">
        <v>2659</v>
      </c>
      <c r="CG50" s="7">
        <v>2668</v>
      </c>
      <c r="CH50" s="7">
        <v>2668</v>
      </c>
      <c r="CI50" s="7">
        <v>2768</v>
      </c>
      <c r="CJ50" s="7">
        <v>2772</v>
      </c>
      <c r="CK50" s="7">
        <v>2873</v>
      </c>
      <c r="CL50" s="7">
        <v>2812</v>
      </c>
      <c r="CM50" s="7">
        <v>2964</v>
      </c>
      <c r="CN50" s="7">
        <v>3069</v>
      </c>
      <c r="CO50" s="7">
        <v>3149</v>
      </c>
      <c r="CQ50" s="7">
        <v>3241</v>
      </c>
      <c r="CR50" s="7">
        <v>3621</v>
      </c>
      <c r="CS50" s="7">
        <v>3500</v>
      </c>
    </row>
    <row r="51" spans="1:97" s="7" customFormat="1">
      <c r="A51" s="73" t="s">
        <v>199</v>
      </c>
      <c r="B51" s="9">
        <v>11308</v>
      </c>
      <c r="C51" s="7">
        <v>12319</v>
      </c>
      <c r="D51" s="7">
        <v>12947</v>
      </c>
      <c r="E51" s="7">
        <v>12735</v>
      </c>
      <c r="F51" s="7">
        <v>12795</v>
      </c>
      <c r="G51" s="7">
        <v>11575</v>
      </c>
      <c r="H51" s="7">
        <v>11168</v>
      </c>
      <c r="I51" s="7">
        <v>11063</v>
      </c>
      <c r="J51" s="7">
        <v>11068</v>
      </c>
      <c r="K51" s="7">
        <v>11101</v>
      </c>
      <c r="L51" s="7">
        <v>10837</v>
      </c>
      <c r="M51" s="7">
        <v>10869</v>
      </c>
      <c r="N51" s="7">
        <v>10910</v>
      </c>
      <c r="O51" s="7">
        <v>11309</v>
      </c>
      <c r="P51" s="7">
        <v>11801</v>
      </c>
      <c r="Q51" s="7">
        <v>11983</v>
      </c>
      <c r="R51" s="7">
        <v>12026</v>
      </c>
      <c r="S51" s="7">
        <v>12238</v>
      </c>
      <c r="T51" s="7">
        <v>11927</v>
      </c>
      <c r="U51" s="7">
        <v>12423</v>
      </c>
      <c r="V51" s="7">
        <v>11964</v>
      </c>
      <c r="W51" s="7">
        <v>11882</v>
      </c>
      <c r="X51" s="7">
        <v>12347</v>
      </c>
      <c r="Y51" s="7">
        <v>12429</v>
      </c>
      <c r="Z51" s="7">
        <v>12368</v>
      </c>
      <c r="AA51" s="7">
        <v>11936</v>
      </c>
      <c r="AB51" s="7">
        <v>11683</v>
      </c>
      <c r="AC51" s="7">
        <v>11741</v>
      </c>
      <c r="AD51" s="7">
        <v>11700</v>
      </c>
      <c r="AE51" s="7">
        <v>11604</v>
      </c>
      <c r="AF51" s="7">
        <v>11567</v>
      </c>
      <c r="AG51" s="7">
        <v>11943</v>
      </c>
      <c r="AH51" s="7">
        <v>12135</v>
      </c>
      <c r="AI51" s="7">
        <v>12412</v>
      </c>
      <c r="AJ51" s="7">
        <v>13225</v>
      </c>
      <c r="AK51" s="7">
        <v>12865</v>
      </c>
      <c r="AL51" s="7">
        <v>13089</v>
      </c>
      <c r="AM51" s="7">
        <v>13656</v>
      </c>
      <c r="AN51" s="7">
        <v>13981</v>
      </c>
      <c r="AO51" s="7">
        <v>14232</v>
      </c>
      <c r="AP51" s="7">
        <v>14777</v>
      </c>
      <c r="AQ51" s="7">
        <v>15279</v>
      </c>
      <c r="AR51" s="7">
        <v>15762</v>
      </c>
      <c r="AS51" s="7">
        <v>15934</v>
      </c>
      <c r="AU51" s="7">
        <v>16277</v>
      </c>
      <c r="AV51" s="7">
        <v>16452</v>
      </c>
      <c r="AW51" s="7">
        <v>16192</v>
      </c>
      <c r="AX51" s="79">
        <v>9628</v>
      </c>
      <c r="AY51" s="7">
        <v>10381</v>
      </c>
      <c r="AZ51" s="7">
        <v>10961</v>
      </c>
      <c r="BA51" s="7">
        <v>10655</v>
      </c>
      <c r="BB51" s="7">
        <v>10725</v>
      </c>
      <c r="BC51" s="7">
        <v>10160</v>
      </c>
      <c r="BD51" s="7">
        <v>9993</v>
      </c>
      <c r="BE51" s="7">
        <v>9740</v>
      </c>
      <c r="BF51" s="7">
        <v>10279</v>
      </c>
      <c r="BG51" s="7">
        <v>10633</v>
      </c>
      <c r="BH51" s="7">
        <v>10970</v>
      </c>
      <c r="BI51" s="7">
        <v>11157</v>
      </c>
      <c r="BJ51" s="7">
        <v>11461</v>
      </c>
      <c r="BK51" s="7">
        <v>11877</v>
      </c>
      <c r="BL51" s="7">
        <v>12026</v>
      </c>
      <c r="BM51" s="7">
        <v>12168</v>
      </c>
      <c r="BN51" s="7">
        <v>12505</v>
      </c>
      <c r="BO51" s="7">
        <v>13084</v>
      </c>
      <c r="BP51" s="7">
        <v>13130</v>
      </c>
      <c r="BQ51" s="7">
        <v>13181</v>
      </c>
      <c r="BR51" s="7">
        <v>14312</v>
      </c>
      <c r="BS51" s="7">
        <v>14461</v>
      </c>
      <c r="BT51" s="7">
        <v>15195</v>
      </c>
      <c r="BU51" s="7">
        <v>15280</v>
      </c>
      <c r="BV51" s="7">
        <v>15116</v>
      </c>
      <c r="BW51" s="7">
        <v>15007</v>
      </c>
      <c r="BX51" s="7">
        <v>15253</v>
      </c>
      <c r="BY51" s="7">
        <v>15664</v>
      </c>
      <c r="BZ51" s="7">
        <v>15679</v>
      </c>
      <c r="CA51" s="7">
        <v>15741</v>
      </c>
      <c r="CB51" s="7">
        <v>15976</v>
      </c>
      <c r="CC51" s="7">
        <v>16550</v>
      </c>
      <c r="CD51" s="7">
        <v>16648</v>
      </c>
      <c r="CE51" s="7">
        <v>17233</v>
      </c>
      <c r="CF51" s="7">
        <v>18534</v>
      </c>
      <c r="CG51" s="7">
        <v>18279</v>
      </c>
      <c r="CH51" s="7">
        <v>18345</v>
      </c>
      <c r="CI51" s="7">
        <v>18990</v>
      </c>
      <c r="CJ51" s="7">
        <v>19206</v>
      </c>
      <c r="CK51" s="7">
        <v>19419</v>
      </c>
      <c r="CL51" s="7">
        <v>19332</v>
      </c>
      <c r="CM51" s="7">
        <v>20000</v>
      </c>
      <c r="CN51" s="7">
        <v>20240</v>
      </c>
      <c r="CO51" s="7">
        <v>20993</v>
      </c>
      <c r="CQ51" s="7">
        <v>21278</v>
      </c>
      <c r="CR51" s="7">
        <v>21041</v>
      </c>
      <c r="CS51" s="7">
        <v>20831</v>
      </c>
    </row>
    <row r="52" spans="1:97">
      <c r="A52" s="54" t="s">
        <v>247</v>
      </c>
      <c r="B52" s="68">
        <f t="shared" ref="B52:BR52" si="53">SUM(B54:B62)</f>
        <v>106666</v>
      </c>
      <c r="C52" s="55">
        <f t="shared" si="53"/>
        <v>111627</v>
      </c>
      <c r="D52" s="55">
        <f t="shared" si="53"/>
        <v>120546</v>
      </c>
      <c r="E52" s="55">
        <f t="shared" si="53"/>
        <v>126764</v>
      </c>
      <c r="F52" s="55">
        <f t="shared" si="53"/>
        <v>129330</v>
      </c>
      <c r="G52" s="55">
        <f t="shared" si="53"/>
        <v>124913</v>
      </c>
      <c r="H52" s="55">
        <f t="shared" si="53"/>
        <v>126012</v>
      </c>
      <c r="I52" s="55">
        <f t="shared" si="53"/>
        <v>125197</v>
      </c>
      <c r="J52" s="55">
        <f t="shared" si="53"/>
        <v>123439</v>
      </c>
      <c r="K52" s="55">
        <f t="shared" si="53"/>
        <v>120950</v>
      </c>
      <c r="L52" s="55">
        <f t="shared" si="53"/>
        <v>119581</v>
      </c>
      <c r="M52" s="55">
        <f t="shared" si="53"/>
        <v>116712</v>
      </c>
      <c r="N52" s="55">
        <f t="shared" si="53"/>
        <v>117196</v>
      </c>
      <c r="O52" s="55">
        <f t="shared" si="53"/>
        <v>117195</v>
      </c>
      <c r="P52" s="55">
        <f t="shared" si="53"/>
        <v>117198</v>
      </c>
      <c r="Q52" s="55">
        <f t="shared" si="53"/>
        <v>116809</v>
      </c>
      <c r="R52" s="55">
        <f t="shared" si="53"/>
        <v>116928</v>
      </c>
      <c r="S52" s="55">
        <f t="shared" si="53"/>
        <v>115646</v>
      </c>
      <c r="T52" s="55">
        <f t="shared" si="53"/>
        <v>115740</v>
      </c>
      <c r="U52" s="55">
        <f t="shared" si="53"/>
        <v>115899</v>
      </c>
      <c r="V52" s="55">
        <f t="shared" si="53"/>
        <v>117707</v>
      </c>
      <c r="W52" s="55">
        <f t="shared" si="53"/>
        <v>120302</v>
      </c>
      <c r="X52" s="55">
        <f t="shared" si="53"/>
        <v>123244</v>
      </c>
      <c r="Y52" s="55">
        <f t="shared" si="53"/>
        <v>124089</v>
      </c>
      <c r="Z52" s="55">
        <f t="shared" si="53"/>
        <v>120338</v>
      </c>
      <c r="AA52" s="55">
        <f t="shared" si="53"/>
        <v>118415</v>
      </c>
      <c r="AB52" s="55">
        <f t="shared" si="53"/>
        <v>117354</v>
      </c>
      <c r="AC52" s="55">
        <f t="shared" si="53"/>
        <v>115260</v>
      </c>
      <c r="AD52" s="55">
        <f t="shared" si="53"/>
        <v>113352</v>
      </c>
      <c r="AE52" s="55">
        <f t="shared" si="53"/>
        <v>112283</v>
      </c>
      <c r="AF52" s="55">
        <f t="shared" si="53"/>
        <v>115285</v>
      </c>
      <c r="AG52" s="55">
        <f t="shared" si="53"/>
        <v>115359</v>
      </c>
      <c r="AH52" s="55">
        <f t="shared" si="53"/>
        <v>117616</v>
      </c>
      <c r="AI52" s="55">
        <f t="shared" si="53"/>
        <v>123664</v>
      </c>
      <c r="AJ52" s="55">
        <f t="shared" si="53"/>
        <v>127450</v>
      </c>
      <c r="AK52" s="55">
        <f t="shared" si="53"/>
        <v>130960</v>
      </c>
      <c r="AL52" s="55">
        <f t="shared" si="53"/>
        <v>133281</v>
      </c>
      <c r="AM52" s="55">
        <f t="shared" si="53"/>
        <v>137490</v>
      </c>
      <c r="AN52" s="55">
        <f t="shared" si="53"/>
        <v>142304</v>
      </c>
      <c r="AO52" s="55">
        <f t="shared" si="53"/>
        <v>146452</v>
      </c>
      <c r="AP52" s="55">
        <f t="shared" ref="AP52:AQ52" si="54">SUM(AP54:AP62)</f>
        <v>150913</v>
      </c>
      <c r="AQ52" s="55">
        <f t="shared" si="54"/>
        <v>152555</v>
      </c>
      <c r="AR52" s="55">
        <f t="shared" ref="AR52:AS52" si="55">SUM(AR54:AR62)</f>
        <v>156841</v>
      </c>
      <c r="AS52" s="55">
        <f t="shared" si="55"/>
        <v>160548</v>
      </c>
      <c r="AT52" s="55">
        <f t="shared" ref="AT52:AW52" si="56">SUM(AT54:AT62)</f>
        <v>0</v>
      </c>
      <c r="AU52" s="55">
        <f t="shared" si="56"/>
        <v>167081</v>
      </c>
      <c r="AV52" s="55">
        <f t="shared" si="56"/>
        <v>168848</v>
      </c>
      <c r="AW52" s="55">
        <f t="shared" si="56"/>
        <v>171629</v>
      </c>
      <c r="AX52" s="77">
        <f t="shared" si="53"/>
        <v>82486</v>
      </c>
      <c r="AY52" s="55">
        <f t="shared" si="53"/>
        <v>89465</v>
      </c>
      <c r="AZ52" s="55">
        <f t="shared" si="53"/>
        <v>96744</v>
      </c>
      <c r="BA52" s="55">
        <f t="shared" si="53"/>
        <v>103325</v>
      </c>
      <c r="BB52" s="55">
        <f t="shared" si="53"/>
        <v>107244</v>
      </c>
      <c r="BC52" s="55">
        <f t="shared" si="53"/>
        <v>108938</v>
      </c>
      <c r="BD52" s="55">
        <f t="shared" si="53"/>
        <v>111597</v>
      </c>
      <c r="BE52" s="55">
        <f t="shared" si="53"/>
        <v>112214</v>
      </c>
      <c r="BF52" s="55">
        <f t="shared" si="53"/>
        <v>113732</v>
      </c>
      <c r="BG52" s="55">
        <f t="shared" si="53"/>
        <v>115547</v>
      </c>
      <c r="BH52" s="55">
        <f t="shared" si="53"/>
        <v>117914</v>
      </c>
      <c r="BI52" s="55">
        <f t="shared" si="53"/>
        <v>120171</v>
      </c>
      <c r="BJ52" s="55">
        <f t="shared" si="53"/>
        <v>125028</v>
      </c>
      <c r="BK52" s="55">
        <f t="shared" si="53"/>
        <v>126992</v>
      </c>
      <c r="BL52" s="55">
        <f t="shared" si="53"/>
        <v>126555</v>
      </c>
      <c r="BM52" s="55">
        <f t="shared" si="53"/>
        <v>128447</v>
      </c>
      <c r="BN52" s="55">
        <f t="shared" si="53"/>
        <v>128320</v>
      </c>
      <c r="BO52" s="55">
        <f t="shared" si="53"/>
        <v>130227</v>
      </c>
      <c r="BP52" s="55">
        <f t="shared" si="53"/>
        <v>131640</v>
      </c>
      <c r="BQ52" s="55">
        <f t="shared" si="53"/>
        <v>133594</v>
      </c>
      <c r="BR52" s="55">
        <f t="shared" si="53"/>
        <v>137879</v>
      </c>
      <c r="BS52" s="55">
        <f t="shared" ref="BS52:CK52" si="57">SUM(BS54:BS62)</f>
        <v>143313</v>
      </c>
      <c r="BT52" s="55">
        <f t="shared" si="57"/>
        <v>147926</v>
      </c>
      <c r="BU52" s="55">
        <f t="shared" si="57"/>
        <v>148499</v>
      </c>
      <c r="BV52" s="55">
        <f t="shared" si="57"/>
        <v>145951</v>
      </c>
      <c r="BW52" s="55">
        <f t="shared" si="57"/>
        <v>143896</v>
      </c>
      <c r="BX52" s="55">
        <f t="shared" si="57"/>
        <v>144907</v>
      </c>
      <c r="BY52" s="55">
        <f t="shared" si="57"/>
        <v>147034</v>
      </c>
      <c r="BZ52" s="55">
        <f t="shared" si="57"/>
        <v>147648</v>
      </c>
      <c r="CA52" s="55">
        <f t="shared" si="57"/>
        <v>150728</v>
      </c>
      <c r="CB52" s="55">
        <f t="shared" si="57"/>
        <v>156406</v>
      </c>
      <c r="CC52" s="55">
        <f t="shared" si="57"/>
        <v>156864</v>
      </c>
      <c r="CD52" s="55">
        <f t="shared" si="57"/>
        <v>162395</v>
      </c>
      <c r="CE52" s="55">
        <f t="shared" si="57"/>
        <v>171346</v>
      </c>
      <c r="CF52" s="55">
        <f t="shared" ref="CF52" si="58">SUM(CF54:CF62)</f>
        <v>175538</v>
      </c>
      <c r="CG52" s="55">
        <f t="shared" si="57"/>
        <v>179946</v>
      </c>
      <c r="CH52" s="55">
        <f t="shared" si="57"/>
        <v>183935</v>
      </c>
      <c r="CI52" s="55">
        <f t="shared" si="57"/>
        <v>186824</v>
      </c>
      <c r="CJ52" s="55">
        <f t="shared" si="57"/>
        <v>191250</v>
      </c>
      <c r="CK52" s="55">
        <f t="shared" si="57"/>
        <v>194787</v>
      </c>
      <c r="CL52" s="55">
        <f t="shared" ref="CL52:CM52" si="59">SUM(CL54:CL62)</f>
        <v>200465</v>
      </c>
      <c r="CM52" s="55">
        <f t="shared" si="59"/>
        <v>203759</v>
      </c>
      <c r="CN52" s="55">
        <f t="shared" ref="CN52:CO52" si="60">SUM(CN54:CN62)</f>
        <v>210239</v>
      </c>
      <c r="CO52" s="55">
        <f t="shared" si="60"/>
        <v>212472</v>
      </c>
      <c r="CP52" s="55">
        <f t="shared" ref="CP52:CS52" si="61">SUM(CP54:CP62)</f>
        <v>0</v>
      </c>
      <c r="CQ52" s="55">
        <f t="shared" si="61"/>
        <v>218872</v>
      </c>
      <c r="CR52" s="55">
        <f t="shared" si="61"/>
        <v>222464</v>
      </c>
      <c r="CS52" s="55">
        <f t="shared" si="61"/>
        <v>225627</v>
      </c>
    </row>
    <row r="53" spans="1:97">
      <c r="A53" s="56" t="s">
        <v>244</v>
      </c>
      <c r="B53" s="69">
        <f t="shared" ref="B53:BR53" si="62">(B52/B4)*100</f>
        <v>23.795034242755484</v>
      </c>
      <c r="C53" s="57">
        <f t="shared" si="62"/>
        <v>23.614366585714649</v>
      </c>
      <c r="D53" s="57">
        <f t="shared" si="62"/>
        <v>24.234443604548307</v>
      </c>
      <c r="E53" s="57">
        <f t="shared" si="62"/>
        <v>24.617619413825516</v>
      </c>
      <c r="F53" s="57">
        <f t="shared" si="62"/>
        <v>24.674046177268512</v>
      </c>
      <c r="G53" s="57">
        <f t="shared" si="62"/>
        <v>24.891993144952373</v>
      </c>
      <c r="H53" s="57">
        <f t="shared" si="62"/>
        <v>25.112797538383049</v>
      </c>
      <c r="I53" s="57">
        <f t="shared" si="62"/>
        <v>25.406472717827167</v>
      </c>
      <c r="J53" s="57">
        <f t="shared" si="62"/>
        <v>25.506771416645655</v>
      </c>
      <c r="K53" s="57">
        <f t="shared" si="62"/>
        <v>25.509988863766747</v>
      </c>
      <c r="L53" s="57">
        <f t="shared" si="62"/>
        <v>25.405522542485592</v>
      </c>
      <c r="M53" s="57">
        <f t="shared" si="62"/>
        <v>25.001124613614895</v>
      </c>
      <c r="N53" s="57">
        <f t="shared" si="62"/>
        <v>24.91554574773637</v>
      </c>
      <c r="O53" s="57">
        <f t="shared" si="62"/>
        <v>24.62390217254276</v>
      </c>
      <c r="P53" s="57">
        <f t="shared" si="62"/>
        <v>24.476421202121884</v>
      </c>
      <c r="Q53" s="57">
        <f t="shared" si="62"/>
        <v>24.3827547050081</v>
      </c>
      <c r="R53" s="57">
        <f t="shared" si="62"/>
        <v>24.231070512315718</v>
      </c>
      <c r="S53" s="57">
        <f t="shared" si="62"/>
        <v>24.208005559765386</v>
      </c>
      <c r="T53" s="57">
        <f t="shared" si="62"/>
        <v>24.43236031715205</v>
      </c>
      <c r="U53" s="57">
        <f t="shared" si="62"/>
        <v>24.152568863548272</v>
      </c>
      <c r="V53" s="57">
        <f t="shared" si="62"/>
        <v>24.084259202422604</v>
      </c>
      <c r="W53" s="57">
        <f t="shared" si="62"/>
        <v>24.006768878325822</v>
      </c>
      <c r="X53" s="57">
        <f t="shared" si="62"/>
        <v>23.801881454100208</v>
      </c>
      <c r="Y53" s="57">
        <f t="shared" si="62"/>
        <v>23.422918365497871</v>
      </c>
      <c r="Z53" s="57">
        <f t="shared" si="62"/>
        <v>22.731402687238734</v>
      </c>
      <c r="AA53" s="57">
        <f t="shared" si="62"/>
        <v>22.630846676324328</v>
      </c>
      <c r="AB53" s="57">
        <f t="shared" si="62"/>
        <v>22.583668340257987</v>
      </c>
      <c r="AC53" s="57">
        <f t="shared" si="62"/>
        <v>22.257711314046922</v>
      </c>
      <c r="AD53" s="57">
        <f t="shared" si="62"/>
        <v>21.912956737414529</v>
      </c>
      <c r="AE53" s="57">
        <f t="shared" si="62"/>
        <v>21.752177484346909</v>
      </c>
      <c r="AF53" s="57">
        <f t="shared" si="62"/>
        <v>21.843174777608308</v>
      </c>
      <c r="AG53" s="57">
        <f t="shared" si="62"/>
        <v>21.795128550052144</v>
      </c>
      <c r="AH53" s="57">
        <f t="shared" si="62"/>
        <v>21.499377589947848</v>
      </c>
      <c r="AI53" s="57">
        <f t="shared" si="62"/>
        <v>21.681516780453254</v>
      </c>
      <c r="AJ53" s="57">
        <f t="shared" si="62"/>
        <v>21.521372774830212</v>
      </c>
      <c r="AK53" s="57">
        <f t="shared" si="62"/>
        <v>21.4638559548433</v>
      </c>
      <c r="AL53" s="57">
        <f t="shared" si="62"/>
        <v>21.521650669801449</v>
      </c>
      <c r="AM53" s="57">
        <f t="shared" si="62"/>
        <v>21.259652584279394</v>
      </c>
      <c r="AN53" s="57">
        <f t="shared" si="62"/>
        <v>21.39845418182912</v>
      </c>
      <c r="AO53" s="57">
        <f t="shared" si="62"/>
        <v>21.458923097662041</v>
      </c>
      <c r="AP53" s="57">
        <f t="shared" ref="AP53:AQ53" si="63">(AP52/AP4)*100</f>
        <v>21.481910629284627</v>
      </c>
      <c r="AQ53" s="57">
        <f t="shared" si="63"/>
        <v>21.350965905353451</v>
      </c>
      <c r="AR53" s="57">
        <f t="shared" ref="AR53:AS53" si="64">(AR52/AR4)*100</f>
        <v>20.841549950833176</v>
      </c>
      <c r="AS53" s="57">
        <f t="shared" si="64"/>
        <v>20.774898485762129</v>
      </c>
      <c r="AT53" s="57" t="e">
        <f t="shared" ref="AT53:AW53" si="65">(AT52/AT4)*100</f>
        <v>#DIV/0!</v>
      </c>
      <c r="AU53" s="57">
        <f t="shared" si="65"/>
        <v>21.037462525512872</v>
      </c>
      <c r="AV53" s="57">
        <f t="shared" si="65"/>
        <v>21.016495997669924</v>
      </c>
      <c r="AW53" s="57">
        <f t="shared" si="65"/>
        <v>21.006861571527537</v>
      </c>
      <c r="AX53" s="78">
        <f t="shared" si="62"/>
        <v>24.388340099166516</v>
      </c>
      <c r="AY53" s="57">
        <f t="shared" si="62"/>
        <v>24.569184505746495</v>
      </c>
      <c r="AZ53" s="57">
        <f t="shared" si="62"/>
        <v>25.019007866929417</v>
      </c>
      <c r="BA53" s="57">
        <f t="shared" si="62"/>
        <v>25.564674358130596</v>
      </c>
      <c r="BB53" s="57">
        <f t="shared" si="62"/>
        <v>25.628133498382173</v>
      </c>
      <c r="BC53" s="57">
        <f t="shared" si="62"/>
        <v>26.055987677353308</v>
      </c>
      <c r="BD53" s="57">
        <f t="shared" si="62"/>
        <v>26.518876196767749</v>
      </c>
      <c r="BE53" s="57">
        <f t="shared" si="62"/>
        <v>26.465316364939955</v>
      </c>
      <c r="BF53" s="57">
        <f t="shared" si="62"/>
        <v>26.214650719489963</v>
      </c>
      <c r="BG53" s="57">
        <f t="shared" si="62"/>
        <v>26.022282228042638</v>
      </c>
      <c r="BH53" s="57">
        <f t="shared" si="62"/>
        <v>25.883024376323903</v>
      </c>
      <c r="BI53" s="57">
        <f t="shared" si="62"/>
        <v>25.840780657314145</v>
      </c>
      <c r="BJ53" s="57">
        <f t="shared" si="62"/>
        <v>26.081460234680577</v>
      </c>
      <c r="BK53" s="57">
        <f t="shared" si="62"/>
        <v>25.91102369273711</v>
      </c>
      <c r="BL53" s="57">
        <f t="shared" si="62"/>
        <v>25.740191960753606</v>
      </c>
      <c r="BM53" s="57">
        <f t="shared" si="62"/>
        <v>25.864242277797917</v>
      </c>
      <c r="BN53" s="57">
        <f t="shared" si="62"/>
        <v>25.583259233857948</v>
      </c>
      <c r="BO53" s="57">
        <f t="shared" si="62"/>
        <v>25.526797580357456</v>
      </c>
      <c r="BP53" s="57">
        <f t="shared" si="62"/>
        <v>25.50243516871825</v>
      </c>
      <c r="BQ53" s="57">
        <f t="shared" si="62"/>
        <v>25.045556463768548</v>
      </c>
      <c r="BR53" s="57">
        <f t="shared" si="62"/>
        <v>24.65078692504769</v>
      </c>
      <c r="BS53" s="57">
        <f t="shared" ref="BS53:CK53" si="66">(BS52/BS4)*100</f>
        <v>24.284411940136643</v>
      </c>
      <c r="BT53" s="57">
        <f t="shared" si="66"/>
        <v>24.038702170740663</v>
      </c>
      <c r="BU53" s="57">
        <f t="shared" si="66"/>
        <v>23.498275990296808</v>
      </c>
      <c r="BV53" s="57">
        <f t="shared" si="66"/>
        <v>22.932044936758583</v>
      </c>
      <c r="BW53" s="57">
        <f t="shared" si="66"/>
        <v>22.710715210131248</v>
      </c>
      <c r="BX53" s="57">
        <f t="shared" si="66"/>
        <v>22.572906654869296</v>
      </c>
      <c r="BY53" s="57">
        <f t="shared" si="66"/>
        <v>22.552333856876412</v>
      </c>
      <c r="BZ53" s="57">
        <f t="shared" si="66"/>
        <v>22.235742727541069</v>
      </c>
      <c r="CA53" s="57">
        <f t="shared" si="66"/>
        <v>22.128881561271815</v>
      </c>
      <c r="CB53" s="57">
        <f t="shared" si="66"/>
        <v>22.120831111670551</v>
      </c>
      <c r="CC53" s="57">
        <f t="shared" si="66"/>
        <v>22.037279506386518</v>
      </c>
      <c r="CD53" s="57">
        <f t="shared" si="66"/>
        <v>21.898277749909653</v>
      </c>
      <c r="CE53" s="57">
        <f t="shared" si="66"/>
        <v>22.108134331824587</v>
      </c>
      <c r="CF53" s="57">
        <f t="shared" si="66"/>
        <v>21.856681093518873</v>
      </c>
      <c r="CG53" s="57">
        <f t="shared" si="66"/>
        <v>21.793857858982914</v>
      </c>
      <c r="CH53" s="57">
        <f t="shared" si="66"/>
        <v>21.805363406916879</v>
      </c>
      <c r="CI53" s="57">
        <f t="shared" si="66"/>
        <v>21.37743139904638</v>
      </c>
      <c r="CJ53" s="57">
        <f t="shared" si="66"/>
        <v>21.383982530544156</v>
      </c>
      <c r="CK53" s="57">
        <f t="shared" si="66"/>
        <v>21.279452378039188</v>
      </c>
      <c r="CL53" s="57">
        <f t="shared" ref="CL53:CM53" si="67">(CL52/CL4)*100</f>
        <v>21.313978350573556</v>
      </c>
      <c r="CM53" s="57">
        <f t="shared" si="67"/>
        <v>21.288650907666188</v>
      </c>
      <c r="CN53" s="57">
        <f t="shared" ref="CN53:CO53" si="68">(CN52/CN4)*100</f>
        <v>20.730460333972616</v>
      </c>
      <c r="CO53" s="57">
        <f t="shared" si="68"/>
        <v>20.465164662742616</v>
      </c>
      <c r="CP53" s="57" t="e">
        <f t="shared" ref="CP53:CS53" si="69">(CP52/CP4)*100</f>
        <v>#DIV/0!</v>
      </c>
      <c r="CQ53" s="57">
        <f t="shared" si="69"/>
        <v>20.594968689572756</v>
      </c>
      <c r="CR53" s="57">
        <f t="shared" si="69"/>
        <v>20.628754925042912</v>
      </c>
      <c r="CS53" s="57">
        <f t="shared" si="69"/>
        <v>20.587701233015583</v>
      </c>
    </row>
    <row r="54" spans="1:97" s="7" customFormat="1">
      <c r="A54" s="72" t="s">
        <v>171</v>
      </c>
      <c r="B54" s="9">
        <v>6260</v>
      </c>
      <c r="C54" s="7">
        <v>6470</v>
      </c>
      <c r="D54" s="7">
        <v>7036</v>
      </c>
      <c r="E54" s="7">
        <v>7628</v>
      </c>
      <c r="F54" s="7">
        <v>7764</v>
      </c>
      <c r="G54" s="7">
        <v>7174</v>
      </c>
      <c r="H54" s="7">
        <v>7099</v>
      </c>
      <c r="I54" s="7">
        <v>6898</v>
      </c>
      <c r="J54" s="7">
        <v>6801</v>
      </c>
      <c r="K54" s="7">
        <v>6349</v>
      </c>
      <c r="L54" s="7">
        <v>6425</v>
      </c>
      <c r="M54" s="7">
        <v>6512</v>
      </c>
      <c r="N54" s="7">
        <v>6353</v>
      </c>
      <c r="O54" s="7">
        <v>6084</v>
      </c>
      <c r="P54" s="7">
        <v>6329</v>
      </c>
      <c r="Q54" s="7">
        <v>6448</v>
      </c>
      <c r="R54" s="7">
        <v>6598</v>
      </c>
      <c r="S54" s="7">
        <v>6397</v>
      </c>
      <c r="T54" s="7">
        <v>6275</v>
      </c>
      <c r="U54" s="7">
        <v>6191</v>
      </c>
      <c r="V54" s="7">
        <v>6472</v>
      </c>
      <c r="W54" s="7">
        <v>6533</v>
      </c>
      <c r="X54" s="7">
        <v>6841</v>
      </c>
      <c r="Y54" s="7">
        <v>6853</v>
      </c>
      <c r="Z54" s="7">
        <v>6223</v>
      </c>
      <c r="AA54" s="7">
        <v>6173</v>
      </c>
      <c r="AB54" s="7">
        <v>5914</v>
      </c>
      <c r="AC54" s="7">
        <v>5972</v>
      </c>
      <c r="AD54" s="7">
        <v>5969</v>
      </c>
      <c r="AE54" s="7">
        <v>6123</v>
      </c>
      <c r="AF54" s="7">
        <v>6444</v>
      </c>
      <c r="AG54" s="7">
        <v>6028</v>
      </c>
      <c r="AH54" s="7">
        <v>6122</v>
      </c>
      <c r="AI54" s="7">
        <v>6548</v>
      </c>
      <c r="AJ54" s="7">
        <v>6930</v>
      </c>
      <c r="AK54" s="7">
        <v>7027</v>
      </c>
      <c r="AL54" s="7">
        <v>7149</v>
      </c>
      <c r="AM54" s="7">
        <v>7621</v>
      </c>
      <c r="AN54" s="7">
        <v>7942</v>
      </c>
      <c r="AO54" s="7">
        <v>8038</v>
      </c>
      <c r="AP54" s="7">
        <v>8292</v>
      </c>
      <c r="AQ54" s="7">
        <v>8270</v>
      </c>
      <c r="AR54" s="7">
        <v>8793</v>
      </c>
      <c r="AS54" s="7">
        <v>9021</v>
      </c>
      <c r="AU54" s="7">
        <v>9704</v>
      </c>
      <c r="AV54" s="7">
        <v>9700</v>
      </c>
      <c r="AW54" s="7">
        <v>10012</v>
      </c>
      <c r="AX54" s="79">
        <v>4658</v>
      </c>
      <c r="AY54" s="7">
        <v>5029</v>
      </c>
      <c r="AZ54" s="7">
        <v>5529</v>
      </c>
      <c r="BA54" s="7">
        <v>5989</v>
      </c>
      <c r="BB54" s="7">
        <v>6493</v>
      </c>
      <c r="BC54" s="7">
        <v>6473</v>
      </c>
      <c r="BD54" s="7">
        <v>6529</v>
      </c>
      <c r="BE54" s="7">
        <v>6498</v>
      </c>
      <c r="BF54" s="7">
        <v>6632</v>
      </c>
      <c r="BG54" s="7">
        <v>6352</v>
      </c>
      <c r="BH54" s="7">
        <v>6586</v>
      </c>
      <c r="BI54" s="7">
        <v>6800</v>
      </c>
      <c r="BJ54" s="7">
        <v>6862</v>
      </c>
      <c r="BK54" s="7">
        <v>7036</v>
      </c>
      <c r="BL54" s="7">
        <v>6979</v>
      </c>
      <c r="BM54" s="7">
        <v>7068</v>
      </c>
      <c r="BN54" s="7">
        <v>7419</v>
      </c>
      <c r="BO54" s="7">
        <v>7102</v>
      </c>
      <c r="BP54" s="7">
        <v>7405</v>
      </c>
      <c r="BQ54" s="7">
        <v>7334</v>
      </c>
      <c r="BR54" s="7">
        <v>7707</v>
      </c>
      <c r="BS54" s="7">
        <v>8097</v>
      </c>
      <c r="BT54" s="7">
        <v>8178</v>
      </c>
      <c r="BU54" s="7">
        <v>8078</v>
      </c>
      <c r="BV54" s="7">
        <v>7706</v>
      </c>
      <c r="BW54" s="7">
        <v>7799</v>
      </c>
      <c r="BX54" s="7">
        <v>7487</v>
      </c>
      <c r="BY54" s="7">
        <v>7541</v>
      </c>
      <c r="BZ54" s="7">
        <v>7609</v>
      </c>
      <c r="CA54" s="7">
        <v>7852</v>
      </c>
      <c r="CB54" s="7">
        <v>8628</v>
      </c>
      <c r="CC54" s="7">
        <v>8052</v>
      </c>
      <c r="CD54" s="7">
        <v>8525</v>
      </c>
      <c r="CE54" s="7">
        <v>9302</v>
      </c>
      <c r="CF54" s="7">
        <v>9713</v>
      </c>
      <c r="CG54" s="7">
        <v>9590</v>
      </c>
      <c r="CH54" s="7">
        <v>9994</v>
      </c>
      <c r="CI54" s="7">
        <v>10669</v>
      </c>
      <c r="CJ54" s="7">
        <v>10773</v>
      </c>
      <c r="CK54" s="7">
        <v>10912</v>
      </c>
      <c r="CL54" s="7">
        <v>11191</v>
      </c>
      <c r="CM54" s="7">
        <v>10993</v>
      </c>
      <c r="CN54" s="7">
        <v>11917</v>
      </c>
      <c r="CO54" s="7">
        <v>12020</v>
      </c>
      <c r="CQ54" s="7">
        <v>12186</v>
      </c>
      <c r="CR54" s="7">
        <v>12513</v>
      </c>
      <c r="CS54" s="7">
        <v>12902</v>
      </c>
    </row>
    <row r="55" spans="1:97" s="7" customFormat="1">
      <c r="A55" s="72" t="s">
        <v>180</v>
      </c>
      <c r="B55" s="9">
        <v>2462</v>
      </c>
      <c r="C55" s="7">
        <v>2582</v>
      </c>
      <c r="D55" s="7">
        <v>2536</v>
      </c>
      <c r="E55" s="7">
        <v>2606</v>
      </c>
      <c r="F55" s="7">
        <v>2647</v>
      </c>
      <c r="G55" s="7">
        <v>2584</v>
      </c>
      <c r="H55" s="7">
        <v>2652</v>
      </c>
      <c r="I55" s="7">
        <v>2500</v>
      </c>
      <c r="J55" s="7">
        <v>2648</v>
      </c>
      <c r="K55" s="7">
        <v>2504</v>
      </c>
      <c r="L55" s="7">
        <v>2509</v>
      </c>
      <c r="M55" s="7">
        <v>2355</v>
      </c>
      <c r="N55" s="7">
        <v>2314</v>
      </c>
      <c r="O55" s="7">
        <v>2294</v>
      </c>
      <c r="P55" s="7">
        <v>2203</v>
      </c>
      <c r="Q55" s="7">
        <v>2318</v>
      </c>
      <c r="R55" s="7">
        <v>2329</v>
      </c>
      <c r="S55" s="7">
        <v>2263</v>
      </c>
      <c r="T55" s="7">
        <v>2296</v>
      </c>
      <c r="U55" s="7">
        <v>2238</v>
      </c>
      <c r="V55" s="7">
        <v>2095</v>
      </c>
      <c r="W55" s="7">
        <v>2225</v>
      </c>
      <c r="X55" s="7">
        <v>2507</v>
      </c>
      <c r="Y55" s="7">
        <v>2772</v>
      </c>
      <c r="Z55" s="7">
        <v>2538</v>
      </c>
      <c r="AA55" s="7">
        <v>2541</v>
      </c>
      <c r="AB55" s="7">
        <v>2422</v>
      </c>
      <c r="AC55" s="7">
        <v>2342</v>
      </c>
      <c r="AD55" s="7">
        <v>2338</v>
      </c>
      <c r="AE55" s="7">
        <v>2322</v>
      </c>
      <c r="AF55" s="7">
        <v>2299</v>
      </c>
      <c r="AG55" s="7">
        <v>2244</v>
      </c>
      <c r="AH55" s="7">
        <v>2427</v>
      </c>
      <c r="AI55" s="7">
        <v>2485</v>
      </c>
      <c r="AJ55" s="7">
        <v>2405</v>
      </c>
      <c r="AK55" s="7">
        <v>2635</v>
      </c>
      <c r="AL55" s="7">
        <v>2802</v>
      </c>
      <c r="AM55" s="7">
        <v>2803</v>
      </c>
      <c r="AN55" s="7">
        <v>2928</v>
      </c>
      <c r="AO55" s="7">
        <v>2869</v>
      </c>
      <c r="AP55" s="7">
        <v>3055</v>
      </c>
      <c r="AQ55" s="7">
        <v>3077</v>
      </c>
      <c r="AR55" s="7">
        <v>3281</v>
      </c>
      <c r="AS55" s="7">
        <v>3116</v>
      </c>
      <c r="AU55" s="7">
        <v>3109</v>
      </c>
      <c r="AV55" s="7">
        <v>3260</v>
      </c>
      <c r="AW55" s="7">
        <v>3232</v>
      </c>
      <c r="AX55" s="79">
        <v>1656</v>
      </c>
      <c r="AY55" s="7">
        <v>1900</v>
      </c>
      <c r="AZ55" s="7">
        <v>1854</v>
      </c>
      <c r="BA55" s="7">
        <v>1996</v>
      </c>
      <c r="BB55" s="7">
        <v>2110</v>
      </c>
      <c r="BC55" s="7">
        <v>2106</v>
      </c>
      <c r="BD55" s="7">
        <v>2064</v>
      </c>
      <c r="BE55" s="7">
        <v>2100</v>
      </c>
      <c r="BF55" s="7">
        <v>2031</v>
      </c>
      <c r="BG55" s="7">
        <v>2055</v>
      </c>
      <c r="BH55" s="7">
        <v>2339</v>
      </c>
      <c r="BI55" s="7">
        <v>2462</v>
      </c>
      <c r="BJ55" s="7">
        <v>2364</v>
      </c>
      <c r="BK55" s="7">
        <v>2585</v>
      </c>
      <c r="BL55" s="7">
        <v>2679</v>
      </c>
      <c r="BM55" s="7">
        <v>2701</v>
      </c>
      <c r="BN55" s="7">
        <v>2849</v>
      </c>
      <c r="BO55" s="7">
        <v>2859</v>
      </c>
      <c r="BP55" s="7">
        <v>2872</v>
      </c>
      <c r="BQ55" s="7">
        <v>2935</v>
      </c>
      <c r="BR55" s="7">
        <v>2849</v>
      </c>
      <c r="BS55" s="7">
        <v>3002</v>
      </c>
      <c r="BT55" s="7">
        <v>3271</v>
      </c>
      <c r="BU55" s="7">
        <v>3204</v>
      </c>
      <c r="BV55" s="7">
        <v>3415</v>
      </c>
      <c r="BW55" s="7">
        <v>3352</v>
      </c>
      <c r="BX55" s="7">
        <v>3197</v>
      </c>
      <c r="BY55" s="7">
        <v>3223</v>
      </c>
      <c r="BZ55" s="7">
        <v>3104</v>
      </c>
      <c r="CA55" s="7">
        <v>3259</v>
      </c>
      <c r="CB55" s="7">
        <v>3373</v>
      </c>
      <c r="CC55" s="7">
        <v>3185</v>
      </c>
      <c r="CD55" s="7">
        <v>3366</v>
      </c>
      <c r="CE55" s="7">
        <v>3673</v>
      </c>
      <c r="CF55" s="7">
        <v>3654</v>
      </c>
      <c r="CG55" s="7">
        <v>3865</v>
      </c>
      <c r="CH55" s="7">
        <v>3742</v>
      </c>
      <c r="CI55" s="7">
        <v>4097</v>
      </c>
      <c r="CJ55" s="7">
        <v>4181</v>
      </c>
      <c r="CK55" s="7">
        <v>4040</v>
      </c>
      <c r="CL55" s="7">
        <v>4033</v>
      </c>
      <c r="CM55" s="7">
        <v>4270</v>
      </c>
      <c r="CN55" s="7">
        <v>4403</v>
      </c>
      <c r="CO55" s="7">
        <v>4219</v>
      </c>
      <c r="CQ55" s="7">
        <v>4309</v>
      </c>
      <c r="CR55" s="7">
        <v>4392</v>
      </c>
      <c r="CS55" s="7">
        <v>4456</v>
      </c>
    </row>
    <row r="56" spans="1:97" s="7" customFormat="1">
      <c r="A56" s="72" t="s">
        <v>179</v>
      </c>
      <c r="B56" s="9">
        <v>16272</v>
      </c>
      <c r="C56" s="7">
        <v>16696</v>
      </c>
      <c r="D56" s="7">
        <v>17998</v>
      </c>
      <c r="E56" s="7">
        <v>19020</v>
      </c>
      <c r="F56" s="7">
        <v>19731</v>
      </c>
      <c r="G56" s="7">
        <v>19380</v>
      </c>
      <c r="H56" s="7">
        <v>19749</v>
      </c>
      <c r="I56" s="7">
        <v>19357</v>
      </c>
      <c r="J56" s="7">
        <v>19963</v>
      </c>
      <c r="K56" s="7">
        <v>19013</v>
      </c>
      <c r="L56" s="7">
        <v>18858</v>
      </c>
      <c r="M56" s="7">
        <v>18770</v>
      </c>
      <c r="N56" s="7">
        <v>18952</v>
      </c>
      <c r="O56" s="7">
        <v>18561</v>
      </c>
      <c r="P56" s="7">
        <v>18715</v>
      </c>
      <c r="Q56" s="7">
        <v>18588</v>
      </c>
      <c r="R56" s="7">
        <v>18942</v>
      </c>
      <c r="S56" s="7">
        <v>19000</v>
      </c>
      <c r="T56" s="7">
        <v>19001</v>
      </c>
      <c r="U56" s="7">
        <v>18989</v>
      </c>
      <c r="V56" s="7">
        <v>19230</v>
      </c>
      <c r="W56" s="7">
        <v>19690</v>
      </c>
      <c r="X56" s="7">
        <v>19909</v>
      </c>
      <c r="Y56" s="7">
        <v>19411</v>
      </c>
      <c r="Z56" s="7">
        <v>18990</v>
      </c>
      <c r="AA56" s="7">
        <v>18401</v>
      </c>
      <c r="AB56" s="7">
        <v>18415</v>
      </c>
      <c r="AC56" s="7">
        <v>17727</v>
      </c>
      <c r="AD56" s="7">
        <v>17902</v>
      </c>
      <c r="AE56" s="7">
        <v>17636</v>
      </c>
      <c r="AF56" s="7">
        <v>18394</v>
      </c>
      <c r="AG56" s="7">
        <v>18342</v>
      </c>
      <c r="AH56" s="7">
        <v>18215</v>
      </c>
      <c r="AI56" s="7">
        <v>18945</v>
      </c>
      <c r="AJ56" s="7">
        <v>19510</v>
      </c>
      <c r="AK56" s="7">
        <v>19115</v>
      </c>
      <c r="AL56" s="7">
        <v>19785</v>
      </c>
      <c r="AM56" s="7">
        <v>20314</v>
      </c>
      <c r="AN56" s="7">
        <v>21152</v>
      </c>
      <c r="AO56" s="7">
        <v>21546</v>
      </c>
      <c r="AP56" s="7">
        <v>22401</v>
      </c>
      <c r="AQ56" s="7">
        <v>22994</v>
      </c>
      <c r="AR56" s="7">
        <v>23804</v>
      </c>
      <c r="AS56" s="7">
        <v>24405</v>
      </c>
      <c r="AU56" s="7">
        <v>25666</v>
      </c>
      <c r="AV56" s="7">
        <v>26068</v>
      </c>
      <c r="AW56" s="7">
        <v>26494</v>
      </c>
      <c r="AX56" s="79">
        <v>13183</v>
      </c>
      <c r="AY56" s="7">
        <v>13936</v>
      </c>
      <c r="AZ56" s="7">
        <v>15069</v>
      </c>
      <c r="BA56" s="7">
        <v>15922</v>
      </c>
      <c r="BB56" s="7">
        <v>16734</v>
      </c>
      <c r="BC56" s="7">
        <v>17189</v>
      </c>
      <c r="BD56" s="7">
        <v>17710</v>
      </c>
      <c r="BE56" s="7">
        <v>18048</v>
      </c>
      <c r="BF56" s="7">
        <v>18471</v>
      </c>
      <c r="BG56" s="7">
        <v>18790</v>
      </c>
      <c r="BH56" s="7">
        <v>19427</v>
      </c>
      <c r="BI56" s="7">
        <v>20022</v>
      </c>
      <c r="BJ56" s="7">
        <v>20964</v>
      </c>
      <c r="BK56" s="7">
        <v>20610</v>
      </c>
      <c r="BL56" s="7">
        <v>21430</v>
      </c>
      <c r="BM56" s="7">
        <v>21870</v>
      </c>
      <c r="BN56" s="7">
        <v>21441</v>
      </c>
      <c r="BO56" s="7">
        <v>22570</v>
      </c>
      <c r="BP56" s="7">
        <v>22800</v>
      </c>
      <c r="BQ56" s="7">
        <v>22816</v>
      </c>
      <c r="BR56" s="7">
        <v>24261</v>
      </c>
      <c r="BS56" s="7">
        <v>24797</v>
      </c>
      <c r="BT56" s="7">
        <v>25142</v>
      </c>
      <c r="BU56" s="7">
        <v>23336</v>
      </c>
      <c r="BV56" s="7">
        <v>23361</v>
      </c>
      <c r="BW56" s="7">
        <v>21878</v>
      </c>
      <c r="BX56" s="7">
        <v>22310</v>
      </c>
      <c r="BY56" s="7">
        <v>22702</v>
      </c>
      <c r="BZ56" s="7">
        <v>22825</v>
      </c>
      <c r="CA56" s="7">
        <v>23605</v>
      </c>
      <c r="CB56" s="7">
        <v>23914</v>
      </c>
      <c r="CC56" s="7">
        <v>24389</v>
      </c>
      <c r="CD56" s="7">
        <v>24882</v>
      </c>
      <c r="CE56" s="7">
        <v>25781</v>
      </c>
      <c r="CF56" s="7">
        <v>26073</v>
      </c>
      <c r="CG56" s="7">
        <v>26599</v>
      </c>
      <c r="CH56" s="7">
        <v>27239</v>
      </c>
      <c r="CI56" s="7">
        <v>27571</v>
      </c>
      <c r="CJ56" s="7">
        <v>28374</v>
      </c>
      <c r="CK56" s="7">
        <v>28560</v>
      </c>
      <c r="CL56" s="7">
        <v>29802</v>
      </c>
      <c r="CM56" s="7">
        <v>30720</v>
      </c>
      <c r="CN56" s="7">
        <v>31955</v>
      </c>
      <c r="CO56" s="7">
        <v>32579</v>
      </c>
      <c r="CQ56" s="7">
        <v>33849</v>
      </c>
      <c r="CR56" s="7">
        <v>34926</v>
      </c>
      <c r="CS56" s="7">
        <v>35113</v>
      </c>
    </row>
    <row r="57" spans="1:97" s="7" customFormat="1">
      <c r="A57" s="72" t="s">
        <v>187</v>
      </c>
      <c r="B57" s="9">
        <v>2704</v>
      </c>
      <c r="C57" s="7">
        <v>2801</v>
      </c>
      <c r="D57" s="7">
        <v>2947</v>
      </c>
      <c r="E57" s="7">
        <v>2941</v>
      </c>
      <c r="F57" s="7">
        <v>3115</v>
      </c>
      <c r="G57" s="7">
        <v>2943</v>
      </c>
      <c r="H57" s="7">
        <v>2943</v>
      </c>
      <c r="I57" s="7">
        <v>2931</v>
      </c>
      <c r="J57" s="7">
        <v>3340</v>
      </c>
      <c r="K57" s="7">
        <v>2872</v>
      </c>
      <c r="L57" s="7">
        <v>3151</v>
      </c>
      <c r="M57" s="7">
        <v>3198</v>
      </c>
      <c r="N57" s="7">
        <v>3207</v>
      </c>
      <c r="O57" s="7">
        <v>3332</v>
      </c>
      <c r="P57" s="7">
        <v>3170</v>
      </c>
      <c r="Q57" s="7">
        <v>3084</v>
      </c>
      <c r="R57" s="7">
        <v>3202</v>
      </c>
      <c r="S57" s="7">
        <v>3257</v>
      </c>
      <c r="T57" s="7">
        <v>3203</v>
      </c>
      <c r="U57" s="7">
        <v>3233</v>
      </c>
      <c r="V57" s="7">
        <v>3248</v>
      </c>
      <c r="W57" s="7">
        <v>3305</v>
      </c>
      <c r="X57" s="7">
        <v>3427</v>
      </c>
      <c r="Y57" s="7">
        <v>3486</v>
      </c>
      <c r="Z57" s="7">
        <v>3421</v>
      </c>
      <c r="AA57" s="7">
        <v>3250</v>
      </c>
      <c r="AB57" s="7">
        <v>3369</v>
      </c>
      <c r="AC57" s="7">
        <v>3217</v>
      </c>
      <c r="AD57" s="7">
        <v>3367</v>
      </c>
      <c r="AE57" s="7">
        <v>3210</v>
      </c>
      <c r="AF57" s="7">
        <v>3335</v>
      </c>
      <c r="AG57" s="7">
        <v>2993</v>
      </c>
      <c r="AH57" s="7">
        <v>3059</v>
      </c>
      <c r="AI57" s="7">
        <v>3151</v>
      </c>
      <c r="AJ57" s="7">
        <v>3310</v>
      </c>
      <c r="AK57" s="7">
        <v>3425</v>
      </c>
      <c r="AL57" s="7">
        <v>3406</v>
      </c>
      <c r="AM57" s="7">
        <v>3543</v>
      </c>
      <c r="AN57" s="7">
        <v>3543</v>
      </c>
      <c r="AO57" s="7">
        <v>3823</v>
      </c>
      <c r="AP57" s="7">
        <v>3943</v>
      </c>
      <c r="AQ57" s="7">
        <v>4071</v>
      </c>
      <c r="AR57" s="7">
        <v>3973</v>
      </c>
      <c r="AS57" s="7">
        <v>4243</v>
      </c>
      <c r="AU57" s="7">
        <v>4939</v>
      </c>
      <c r="AV57" s="7">
        <v>5140</v>
      </c>
      <c r="AW57" s="7">
        <v>6009</v>
      </c>
      <c r="AX57" s="79">
        <v>1476</v>
      </c>
      <c r="AY57" s="7">
        <v>1527</v>
      </c>
      <c r="AZ57" s="7">
        <v>1754</v>
      </c>
      <c r="BA57" s="7">
        <v>1984</v>
      </c>
      <c r="BB57" s="7">
        <v>2144</v>
      </c>
      <c r="BC57" s="7">
        <v>2080</v>
      </c>
      <c r="BD57" s="7">
        <v>2311</v>
      </c>
      <c r="BE57" s="7">
        <v>2369</v>
      </c>
      <c r="BF57" s="7">
        <v>2837</v>
      </c>
      <c r="BG57" s="7">
        <v>2546</v>
      </c>
      <c r="BH57" s="7">
        <v>2600</v>
      </c>
      <c r="BI57" s="7">
        <v>2827</v>
      </c>
      <c r="BJ57" s="7">
        <v>2904</v>
      </c>
      <c r="BK57" s="7">
        <v>3369</v>
      </c>
      <c r="BL57" s="7">
        <v>3146</v>
      </c>
      <c r="BM57" s="7">
        <v>3229</v>
      </c>
      <c r="BN57" s="7">
        <v>3356</v>
      </c>
      <c r="BO57" s="7">
        <v>3513</v>
      </c>
      <c r="BP57" s="7">
        <v>3575</v>
      </c>
      <c r="BQ57" s="7">
        <v>3564</v>
      </c>
      <c r="BR57" s="7">
        <v>3497</v>
      </c>
      <c r="BS57" s="7">
        <v>3823</v>
      </c>
      <c r="BT57" s="7">
        <v>4003</v>
      </c>
      <c r="BU57" s="7">
        <v>4038</v>
      </c>
      <c r="BV57" s="7">
        <v>4125</v>
      </c>
      <c r="BW57" s="7">
        <v>4145</v>
      </c>
      <c r="BX57" s="7">
        <v>4288</v>
      </c>
      <c r="BY57" s="7">
        <v>4364</v>
      </c>
      <c r="BZ57" s="7">
        <v>4233</v>
      </c>
      <c r="CA57" s="7">
        <v>4243</v>
      </c>
      <c r="CB57" s="7">
        <v>4441</v>
      </c>
      <c r="CC57" s="7">
        <v>4261</v>
      </c>
      <c r="CD57" s="7">
        <v>4190</v>
      </c>
      <c r="CE57" s="7">
        <v>4412</v>
      </c>
      <c r="CF57" s="7">
        <v>4598</v>
      </c>
      <c r="CG57" s="7">
        <v>4682</v>
      </c>
      <c r="CH57" s="7">
        <v>4624</v>
      </c>
      <c r="CI57" s="7">
        <v>4763</v>
      </c>
      <c r="CJ57" s="7">
        <v>4917</v>
      </c>
      <c r="CK57" s="7">
        <v>5056</v>
      </c>
      <c r="CL57" s="7">
        <v>5453</v>
      </c>
      <c r="CM57" s="7">
        <v>5408</v>
      </c>
      <c r="CN57" s="7">
        <v>5297</v>
      </c>
      <c r="CO57" s="7">
        <v>5526</v>
      </c>
      <c r="CQ57" s="7">
        <v>6893</v>
      </c>
      <c r="CR57" s="7">
        <v>7387</v>
      </c>
      <c r="CS57" s="7">
        <v>8860</v>
      </c>
    </row>
    <row r="58" spans="1:97" s="7" customFormat="1">
      <c r="A58" s="72" t="s">
        <v>188</v>
      </c>
      <c r="B58" s="9">
        <v>9870</v>
      </c>
      <c r="C58" s="7">
        <v>10843</v>
      </c>
      <c r="D58" s="7">
        <v>12005</v>
      </c>
      <c r="E58" s="7">
        <v>12894</v>
      </c>
      <c r="F58" s="7">
        <v>13421</v>
      </c>
      <c r="G58" s="7">
        <v>13260</v>
      </c>
      <c r="H58" s="7">
        <v>13357</v>
      </c>
      <c r="I58" s="7">
        <v>13165</v>
      </c>
      <c r="J58" s="7">
        <v>12650</v>
      </c>
      <c r="K58" s="7">
        <v>12886</v>
      </c>
      <c r="L58" s="7">
        <v>12266</v>
      </c>
      <c r="M58" s="7">
        <v>11812</v>
      </c>
      <c r="N58" s="7">
        <v>11861</v>
      </c>
      <c r="O58" s="7">
        <v>11911</v>
      </c>
      <c r="P58" s="7">
        <v>11275</v>
      </c>
      <c r="Q58" s="7">
        <v>11190</v>
      </c>
      <c r="R58" s="7">
        <v>11153</v>
      </c>
      <c r="S58" s="7">
        <v>10977</v>
      </c>
      <c r="T58" s="7">
        <v>10492</v>
      </c>
      <c r="U58" s="7">
        <v>10614</v>
      </c>
      <c r="V58" s="7">
        <v>10682</v>
      </c>
      <c r="W58" s="7">
        <v>10537</v>
      </c>
      <c r="X58" s="7">
        <v>10943</v>
      </c>
      <c r="Y58" s="7">
        <v>11328</v>
      </c>
      <c r="Z58" s="7">
        <v>11338</v>
      </c>
      <c r="AA58" s="7">
        <v>11017</v>
      </c>
      <c r="AB58" s="7">
        <v>10797</v>
      </c>
      <c r="AC58" s="7">
        <v>10781</v>
      </c>
      <c r="AD58" s="7">
        <v>10716</v>
      </c>
      <c r="AE58" s="7">
        <v>10684</v>
      </c>
      <c r="AF58" s="7">
        <v>11464</v>
      </c>
      <c r="AG58" s="7">
        <v>11327</v>
      </c>
      <c r="AH58" s="7">
        <v>11857</v>
      </c>
      <c r="AI58" s="7">
        <v>12468</v>
      </c>
      <c r="AJ58" s="7">
        <v>12732</v>
      </c>
      <c r="AK58" s="7">
        <v>13295</v>
      </c>
      <c r="AL58" s="7">
        <v>13593</v>
      </c>
      <c r="AM58" s="7">
        <v>14213</v>
      </c>
      <c r="AN58" s="7">
        <v>14633</v>
      </c>
      <c r="AO58" s="7">
        <v>14994</v>
      </c>
      <c r="AP58" s="7">
        <v>15726</v>
      </c>
      <c r="AQ58" s="7">
        <v>16338</v>
      </c>
      <c r="AR58" s="7">
        <v>17540</v>
      </c>
      <c r="AS58" s="7">
        <v>17924</v>
      </c>
      <c r="AU58" s="7">
        <v>18633</v>
      </c>
      <c r="AV58" s="7">
        <v>19036</v>
      </c>
      <c r="AW58" s="7">
        <v>19499</v>
      </c>
      <c r="AX58" s="79">
        <v>8137</v>
      </c>
      <c r="AY58" s="7">
        <v>8847</v>
      </c>
      <c r="AZ58" s="7">
        <v>10189</v>
      </c>
      <c r="BA58" s="7">
        <v>10866</v>
      </c>
      <c r="BB58" s="7">
        <v>11391</v>
      </c>
      <c r="BC58" s="7">
        <v>11928</v>
      </c>
      <c r="BD58" s="7">
        <v>12455</v>
      </c>
      <c r="BE58" s="7">
        <v>12369</v>
      </c>
      <c r="BF58" s="7">
        <v>12436</v>
      </c>
      <c r="BG58" s="7">
        <v>12347</v>
      </c>
      <c r="BH58" s="7">
        <v>12165</v>
      </c>
      <c r="BI58" s="7">
        <v>12662</v>
      </c>
      <c r="BJ58" s="7">
        <v>13031</v>
      </c>
      <c r="BK58" s="7">
        <v>13596</v>
      </c>
      <c r="BL58" s="7">
        <v>12793</v>
      </c>
      <c r="BM58" s="7">
        <v>12574</v>
      </c>
      <c r="BN58" s="7">
        <v>12297</v>
      </c>
      <c r="BO58" s="7">
        <v>12351</v>
      </c>
      <c r="BP58" s="7">
        <v>11835</v>
      </c>
      <c r="BQ58" s="7">
        <v>12284</v>
      </c>
      <c r="BR58" s="7">
        <v>12177</v>
      </c>
      <c r="BS58" s="7">
        <v>13087</v>
      </c>
      <c r="BT58" s="7">
        <v>13264</v>
      </c>
      <c r="BU58" s="7">
        <v>13857</v>
      </c>
      <c r="BV58" s="7">
        <v>13896</v>
      </c>
      <c r="BW58" s="7">
        <v>13610</v>
      </c>
      <c r="BX58" s="7">
        <v>13775</v>
      </c>
      <c r="BY58" s="7">
        <v>14064</v>
      </c>
      <c r="BZ58" s="7">
        <v>14340</v>
      </c>
      <c r="CA58" s="7">
        <v>14890</v>
      </c>
      <c r="CB58" s="7">
        <v>15475</v>
      </c>
      <c r="CC58" s="7">
        <v>15621</v>
      </c>
      <c r="CD58" s="7">
        <v>16519</v>
      </c>
      <c r="CE58" s="7">
        <v>17136</v>
      </c>
      <c r="CF58" s="7">
        <v>17832</v>
      </c>
      <c r="CG58" s="7">
        <v>18692</v>
      </c>
      <c r="CH58" s="7">
        <v>18658</v>
      </c>
      <c r="CI58" s="7">
        <v>18514</v>
      </c>
      <c r="CJ58" s="7">
        <v>19012</v>
      </c>
      <c r="CK58" s="7">
        <v>19631</v>
      </c>
      <c r="CL58" s="7">
        <v>20275</v>
      </c>
      <c r="CM58" s="7">
        <v>20749</v>
      </c>
      <c r="CN58" s="7">
        <v>22264</v>
      </c>
      <c r="CO58" s="7">
        <v>22371</v>
      </c>
      <c r="CQ58" s="7">
        <v>23383</v>
      </c>
      <c r="CR58" s="7">
        <v>23443</v>
      </c>
      <c r="CS58" s="7">
        <v>24221</v>
      </c>
    </row>
    <row r="59" spans="1:97" s="7" customFormat="1">
      <c r="A59" s="72" t="s">
        <v>191</v>
      </c>
      <c r="B59" s="9">
        <v>36829</v>
      </c>
      <c r="C59" s="7">
        <v>38880</v>
      </c>
      <c r="D59" s="7">
        <v>42769</v>
      </c>
      <c r="E59" s="7">
        <v>44031</v>
      </c>
      <c r="F59" s="7">
        <v>44711</v>
      </c>
      <c r="G59" s="7">
        <v>43292</v>
      </c>
      <c r="H59" s="7">
        <v>44710</v>
      </c>
      <c r="I59" s="7">
        <v>45335</v>
      </c>
      <c r="J59" s="7">
        <v>43723</v>
      </c>
      <c r="K59" s="7">
        <v>43258</v>
      </c>
      <c r="L59" s="7">
        <v>42183</v>
      </c>
      <c r="M59" s="7">
        <v>40957</v>
      </c>
      <c r="N59" s="7">
        <v>41252</v>
      </c>
      <c r="O59" s="7">
        <v>41210</v>
      </c>
      <c r="P59" s="7">
        <v>41956</v>
      </c>
      <c r="Q59" s="7">
        <v>41558</v>
      </c>
      <c r="R59" s="7">
        <v>41142</v>
      </c>
      <c r="S59" s="7">
        <v>40511</v>
      </c>
      <c r="T59" s="7">
        <v>40889</v>
      </c>
      <c r="U59" s="7">
        <v>40554</v>
      </c>
      <c r="V59" s="7">
        <v>41040</v>
      </c>
      <c r="W59" s="7">
        <v>42710</v>
      </c>
      <c r="X59" s="7">
        <v>43454</v>
      </c>
      <c r="Y59" s="7">
        <v>43846</v>
      </c>
      <c r="Z59" s="7">
        <v>42078</v>
      </c>
      <c r="AA59" s="7">
        <v>41899</v>
      </c>
      <c r="AB59" s="7">
        <v>42364</v>
      </c>
      <c r="AC59" s="7">
        <v>41777</v>
      </c>
      <c r="AD59" s="7">
        <v>39174</v>
      </c>
      <c r="AE59" s="7">
        <v>38417</v>
      </c>
      <c r="AF59" s="7">
        <v>38811</v>
      </c>
      <c r="AG59" s="7">
        <v>39680</v>
      </c>
      <c r="AH59" s="7">
        <v>40388</v>
      </c>
      <c r="AI59" s="7">
        <v>42937</v>
      </c>
      <c r="AJ59" s="7">
        <v>44157</v>
      </c>
      <c r="AK59" s="7">
        <v>45703</v>
      </c>
      <c r="AL59" s="7">
        <v>45672</v>
      </c>
      <c r="AM59" s="7">
        <v>47241</v>
      </c>
      <c r="AN59" s="7">
        <v>49418</v>
      </c>
      <c r="AO59" s="7">
        <v>50901</v>
      </c>
      <c r="AP59" s="7">
        <v>52036</v>
      </c>
      <c r="AQ59" s="7">
        <v>51461</v>
      </c>
      <c r="AR59" s="7">
        <v>52503</v>
      </c>
      <c r="AS59" s="7">
        <v>54438</v>
      </c>
      <c r="AU59" s="7">
        <v>56607</v>
      </c>
      <c r="AV59" s="7">
        <v>57328</v>
      </c>
      <c r="AW59" s="7">
        <v>57859</v>
      </c>
      <c r="AX59" s="79">
        <v>30652</v>
      </c>
      <c r="AY59" s="7">
        <v>33355</v>
      </c>
      <c r="AZ59" s="7">
        <v>36036</v>
      </c>
      <c r="BA59" s="7">
        <v>38136</v>
      </c>
      <c r="BB59" s="7">
        <v>39196</v>
      </c>
      <c r="BC59" s="7">
        <v>39637</v>
      </c>
      <c r="BD59" s="7">
        <v>40834</v>
      </c>
      <c r="BE59" s="7">
        <v>41509</v>
      </c>
      <c r="BF59" s="7">
        <v>41498</v>
      </c>
      <c r="BG59" s="7">
        <v>42343</v>
      </c>
      <c r="BH59" s="7">
        <v>42957</v>
      </c>
      <c r="BI59" s="7">
        <v>42826</v>
      </c>
      <c r="BJ59" s="7">
        <v>44888</v>
      </c>
      <c r="BK59" s="7">
        <v>45154</v>
      </c>
      <c r="BL59" s="7">
        <v>45138</v>
      </c>
      <c r="BM59" s="7">
        <v>46045</v>
      </c>
      <c r="BN59" s="7">
        <v>46043</v>
      </c>
      <c r="BO59" s="7">
        <v>46121</v>
      </c>
      <c r="BP59" s="7">
        <v>46182</v>
      </c>
      <c r="BQ59" s="7">
        <v>47165</v>
      </c>
      <c r="BR59" s="7">
        <v>48527</v>
      </c>
      <c r="BS59" s="7">
        <v>49919</v>
      </c>
      <c r="BT59" s="7">
        <v>52157</v>
      </c>
      <c r="BU59" s="7">
        <v>53258</v>
      </c>
      <c r="BV59" s="7">
        <v>51056</v>
      </c>
      <c r="BW59" s="7">
        <v>51650</v>
      </c>
      <c r="BX59" s="7">
        <v>52931</v>
      </c>
      <c r="BY59" s="7">
        <v>53513</v>
      </c>
      <c r="BZ59" s="7">
        <v>53315</v>
      </c>
      <c r="CA59" s="7">
        <v>53625</v>
      </c>
      <c r="CB59" s="7">
        <v>55606</v>
      </c>
      <c r="CC59" s="7">
        <v>56607</v>
      </c>
      <c r="CD59" s="7">
        <v>57944</v>
      </c>
      <c r="CE59" s="7">
        <v>62166</v>
      </c>
      <c r="CF59" s="7">
        <v>62832</v>
      </c>
      <c r="CG59" s="7">
        <v>64149</v>
      </c>
      <c r="CH59" s="7">
        <v>66094</v>
      </c>
      <c r="CI59" s="7">
        <v>66840</v>
      </c>
      <c r="CJ59" s="7">
        <v>68969</v>
      </c>
      <c r="CK59" s="7">
        <v>70098</v>
      </c>
      <c r="CL59" s="7">
        <v>71667</v>
      </c>
      <c r="CM59" s="7">
        <v>73067</v>
      </c>
      <c r="CN59" s="7">
        <v>74082</v>
      </c>
      <c r="CO59" s="7">
        <v>75423</v>
      </c>
      <c r="CQ59" s="7">
        <v>76974</v>
      </c>
      <c r="CR59" s="7">
        <v>78962</v>
      </c>
      <c r="CS59" s="7">
        <v>78821</v>
      </c>
    </row>
    <row r="60" spans="1:97" s="7" customFormat="1">
      <c r="A60" s="72" t="s">
        <v>194</v>
      </c>
      <c r="B60" s="9">
        <v>27608</v>
      </c>
      <c r="C60" s="7">
        <v>28517</v>
      </c>
      <c r="D60" s="7">
        <v>29893</v>
      </c>
      <c r="E60" s="7">
        <v>31875</v>
      </c>
      <c r="F60" s="7">
        <v>32075</v>
      </c>
      <c r="G60" s="7">
        <v>30645</v>
      </c>
      <c r="H60" s="7">
        <v>29926</v>
      </c>
      <c r="I60" s="7">
        <v>29324</v>
      </c>
      <c r="J60" s="7">
        <v>28576</v>
      </c>
      <c r="K60" s="7">
        <v>28254</v>
      </c>
      <c r="L60" s="7">
        <v>28564</v>
      </c>
      <c r="M60" s="7">
        <v>27563</v>
      </c>
      <c r="N60" s="7">
        <v>27712</v>
      </c>
      <c r="O60" s="7">
        <v>28323</v>
      </c>
      <c r="P60" s="7">
        <v>28057</v>
      </c>
      <c r="Q60" s="7">
        <v>28162</v>
      </c>
      <c r="R60" s="7">
        <v>27921</v>
      </c>
      <c r="S60" s="7">
        <v>27746</v>
      </c>
      <c r="T60" s="7">
        <v>27902</v>
      </c>
      <c r="U60" s="7">
        <v>28132</v>
      </c>
      <c r="V60" s="7">
        <v>28767</v>
      </c>
      <c r="W60" s="7">
        <v>28957</v>
      </c>
      <c r="X60" s="7">
        <v>29715</v>
      </c>
      <c r="Y60" s="7">
        <v>29909</v>
      </c>
      <c r="Z60" s="7">
        <v>29513</v>
      </c>
      <c r="AA60" s="7">
        <v>28838</v>
      </c>
      <c r="AB60" s="7">
        <v>28037</v>
      </c>
      <c r="AC60" s="7">
        <v>27724</v>
      </c>
      <c r="AD60" s="7">
        <v>28238</v>
      </c>
      <c r="AE60" s="7">
        <v>28089</v>
      </c>
      <c r="AF60" s="7">
        <v>28702</v>
      </c>
      <c r="AG60" s="7">
        <v>28852</v>
      </c>
      <c r="AH60" s="7">
        <v>29610</v>
      </c>
      <c r="AI60" s="7">
        <v>31200</v>
      </c>
      <c r="AJ60" s="7">
        <v>32363</v>
      </c>
      <c r="AK60" s="7">
        <v>33527</v>
      </c>
      <c r="AL60" s="7">
        <v>34569</v>
      </c>
      <c r="AM60" s="7">
        <v>35145</v>
      </c>
      <c r="AN60" s="7">
        <v>35644</v>
      </c>
      <c r="AO60" s="7">
        <v>36974</v>
      </c>
      <c r="AP60" s="7">
        <v>38007</v>
      </c>
      <c r="AQ60" s="7">
        <v>38686</v>
      </c>
      <c r="AR60" s="7">
        <v>39350</v>
      </c>
      <c r="AS60" s="7">
        <v>39568</v>
      </c>
      <c r="AU60" s="7">
        <v>40349</v>
      </c>
      <c r="AV60" s="7">
        <v>40158</v>
      </c>
      <c r="AW60" s="7">
        <v>40231</v>
      </c>
      <c r="AX60" s="79">
        <v>19707</v>
      </c>
      <c r="AY60" s="7">
        <v>21557</v>
      </c>
      <c r="AZ60" s="7">
        <v>22725</v>
      </c>
      <c r="BA60" s="7">
        <v>24387</v>
      </c>
      <c r="BB60" s="7">
        <v>24914</v>
      </c>
      <c r="BC60" s="7">
        <v>24900</v>
      </c>
      <c r="BD60" s="7">
        <v>24645</v>
      </c>
      <c r="BE60" s="7">
        <v>24462</v>
      </c>
      <c r="BF60" s="7">
        <v>24938</v>
      </c>
      <c r="BG60" s="7">
        <v>25959</v>
      </c>
      <c r="BH60" s="7">
        <v>26439</v>
      </c>
      <c r="BI60" s="7">
        <v>26883</v>
      </c>
      <c r="BJ60" s="7">
        <v>27775</v>
      </c>
      <c r="BK60" s="7">
        <v>28649</v>
      </c>
      <c r="BL60" s="7">
        <v>28280</v>
      </c>
      <c r="BM60" s="7">
        <v>28709</v>
      </c>
      <c r="BN60" s="7">
        <v>28748</v>
      </c>
      <c r="BO60" s="7">
        <v>29401</v>
      </c>
      <c r="BP60" s="7">
        <v>30446</v>
      </c>
      <c r="BQ60" s="7">
        <v>30758</v>
      </c>
      <c r="BR60" s="7">
        <v>31728</v>
      </c>
      <c r="BS60" s="7">
        <v>33227</v>
      </c>
      <c r="BT60" s="7">
        <v>34589</v>
      </c>
      <c r="BU60" s="7">
        <v>35164</v>
      </c>
      <c r="BV60" s="7">
        <v>34813</v>
      </c>
      <c r="BW60" s="7">
        <v>34189</v>
      </c>
      <c r="BX60" s="7">
        <v>33716</v>
      </c>
      <c r="BY60" s="7">
        <v>34719</v>
      </c>
      <c r="BZ60" s="7">
        <v>35246</v>
      </c>
      <c r="CA60" s="7">
        <v>35897</v>
      </c>
      <c r="CB60" s="7">
        <v>37571</v>
      </c>
      <c r="CC60" s="7">
        <v>37662</v>
      </c>
      <c r="CD60" s="7">
        <v>39389</v>
      </c>
      <c r="CE60" s="7">
        <v>41151</v>
      </c>
      <c r="CF60" s="7">
        <v>42980</v>
      </c>
      <c r="CG60" s="7">
        <v>44238</v>
      </c>
      <c r="CH60" s="7">
        <v>45222</v>
      </c>
      <c r="CI60" s="7">
        <v>45897</v>
      </c>
      <c r="CJ60" s="7">
        <v>46488</v>
      </c>
      <c r="CK60" s="7">
        <v>47718</v>
      </c>
      <c r="CL60" s="7">
        <v>48962</v>
      </c>
      <c r="CM60" s="7">
        <v>49247</v>
      </c>
      <c r="CN60" s="7">
        <v>50622</v>
      </c>
      <c r="CO60" s="7">
        <v>50901</v>
      </c>
      <c r="CQ60" s="7">
        <v>51507</v>
      </c>
      <c r="CR60" s="7">
        <v>50853</v>
      </c>
      <c r="CS60" s="7">
        <v>51042</v>
      </c>
    </row>
    <row r="61" spans="1:97" s="7" customFormat="1">
      <c r="A61" s="72" t="s">
        <v>195</v>
      </c>
      <c r="B61" s="9">
        <v>2969</v>
      </c>
      <c r="C61" s="7">
        <v>3022</v>
      </c>
      <c r="D61" s="7">
        <v>3513</v>
      </c>
      <c r="E61" s="7">
        <v>3893</v>
      </c>
      <c r="F61" s="7">
        <v>3826</v>
      </c>
      <c r="G61" s="7">
        <v>3666</v>
      </c>
      <c r="H61" s="7">
        <v>3563</v>
      </c>
      <c r="I61" s="7">
        <v>3621</v>
      </c>
      <c r="J61" s="7">
        <v>3919</v>
      </c>
      <c r="K61" s="7">
        <v>3976</v>
      </c>
      <c r="L61" s="7">
        <v>3745</v>
      </c>
      <c r="M61" s="7">
        <v>3689</v>
      </c>
      <c r="N61" s="7">
        <v>3664</v>
      </c>
      <c r="O61" s="7">
        <v>3681</v>
      </c>
      <c r="P61" s="7">
        <v>3688</v>
      </c>
      <c r="Q61" s="7">
        <v>3611</v>
      </c>
      <c r="R61" s="7">
        <v>3776</v>
      </c>
      <c r="S61" s="7">
        <v>3625</v>
      </c>
      <c r="T61" s="7">
        <v>3749</v>
      </c>
      <c r="U61" s="7">
        <v>4045</v>
      </c>
      <c r="V61" s="7">
        <v>4079</v>
      </c>
      <c r="W61" s="7">
        <v>4294</v>
      </c>
      <c r="X61" s="7">
        <v>4312</v>
      </c>
      <c r="Y61" s="7">
        <v>4272</v>
      </c>
      <c r="Z61" s="7">
        <v>4071</v>
      </c>
      <c r="AA61" s="7">
        <v>4147</v>
      </c>
      <c r="AB61" s="7">
        <v>3978</v>
      </c>
      <c r="AC61" s="7">
        <v>3789</v>
      </c>
      <c r="AD61" s="7">
        <v>3649</v>
      </c>
      <c r="AE61" s="7">
        <v>3706</v>
      </c>
      <c r="AF61" s="7">
        <v>3663</v>
      </c>
      <c r="AG61" s="7">
        <v>3788</v>
      </c>
      <c r="AH61" s="7">
        <v>3884</v>
      </c>
      <c r="AI61" s="7">
        <v>3898</v>
      </c>
      <c r="AJ61" s="7">
        <v>3988</v>
      </c>
      <c r="AK61" s="7">
        <v>4070</v>
      </c>
      <c r="AL61" s="7">
        <v>4042</v>
      </c>
      <c r="AM61" s="7">
        <v>4299</v>
      </c>
      <c r="AN61" s="7">
        <v>4564</v>
      </c>
      <c r="AO61" s="7">
        <v>4557</v>
      </c>
      <c r="AP61" s="7">
        <v>4621</v>
      </c>
      <c r="AQ61" s="7">
        <v>4856</v>
      </c>
      <c r="AR61" s="7">
        <v>4720</v>
      </c>
      <c r="AS61" s="7">
        <v>4831</v>
      </c>
      <c r="AU61" s="7">
        <v>5100</v>
      </c>
      <c r="AV61" s="7">
        <v>5124</v>
      </c>
      <c r="AW61" s="7">
        <v>5151</v>
      </c>
      <c r="AX61" s="79">
        <v>1824</v>
      </c>
      <c r="AY61" s="7">
        <v>2085</v>
      </c>
      <c r="AZ61" s="7">
        <v>2092</v>
      </c>
      <c r="BA61" s="7">
        <v>2368</v>
      </c>
      <c r="BB61" s="7">
        <v>2481</v>
      </c>
      <c r="BC61" s="7">
        <v>2813</v>
      </c>
      <c r="BD61" s="7">
        <v>2932</v>
      </c>
      <c r="BE61" s="7">
        <v>2924</v>
      </c>
      <c r="BF61" s="7">
        <v>2940</v>
      </c>
      <c r="BG61" s="7">
        <v>3211</v>
      </c>
      <c r="BH61" s="7">
        <v>3313</v>
      </c>
      <c r="BI61" s="7">
        <v>3574</v>
      </c>
      <c r="BJ61" s="7">
        <v>3836</v>
      </c>
      <c r="BK61" s="7">
        <v>3907</v>
      </c>
      <c r="BL61" s="7">
        <v>4013</v>
      </c>
      <c r="BM61" s="7">
        <v>4025</v>
      </c>
      <c r="BN61" s="7">
        <v>4033</v>
      </c>
      <c r="BO61" s="7">
        <v>4112</v>
      </c>
      <c r="BP61" s="7">
        <v>4185</v>
      </c>
      <c r="BQ61" s="7">
        <v>4448</v>
      </c>
      <c r="BR61" s="7">
        <v>4710</v>
      </c>
      <c r="BS61" s="7">
        <v>4859</v>
      </c>
      <c r="BT61" s="7">
        <v>4937</v>
      </c>
      <c r="BU61" s="7">
        <v>5069</v>
      </c>
      <c r="BV61" s="7">
        <v>5074</v>
      </c>
      <c r="BW61" s="7">
        <v>4831</v>
      </c>
      <c r="BX61" s="7">
        <v>4766</v>
      </c>
      <c r="BY61" s="7">
        <v>4530</v>
      </c>
      <c r="BZ61" s="7">
        <v>4520</v>
      </c>
      <c r="CA61" s="7">
        <v>4690</v>
      </c>
      <c r="CB61" s="7">
        <v>4739</v>
      </c>
      <c r="CC61" s="7">
        <v>4495</v>
      </c>
      <c r="CD61" s="7">
        <v>4961</v>
      </c>
      <c r="CE61" s="7">
        <v>5212</v>
      </c>
      <c r="CF61" s="7">
        <v>5263</v>
      </c>
      <c r="CG61" s="7">
        <v>5402</v>
      </c>
      <c r="CH61" s="7">
        <v>5644</v>
      </c>
      <c r="CI61" s="7">
        <v>5683</v>
      </c>
      <c r="CJ61" s="7">
        <v>5701</v>
      </c>
      <c r="CK61" s="7">
        <v>5734</v>
      </c>
      <c r="CL61" s="7">
        <v>6026</v>
      </c>
      <c r="CM61" s="7">
        <v>6007</v>
      </c>
      <c r="CN61" s="7">
        <v>6293</v>
      </c>
      <c r="CO61" s="7">
        <v>6229</v>
      </c>
      <c r="CQ61" s="7">
        <v>6585</v>
      </c>
      <c r="CR61" s="7">
        <v>6800</v>
      </c>
      <c r="CS61" s="7">
        <v>6926</v>
      </c>
    </row>
    <row r="62" spans="1:97" s="7" customFormat="1">
      <c r="A62" s="73" t="s">
        <v>198</v>
      </c>
      <c r="B62" s="9">
        <v>1692</v>
      </c>
      <c r="C62" s="7">
        <v>1816</v>
      </c>
      <c r="D62" s="7">
        <v>1849</v>
      </c>
      <c r="E62" s="7">
        <v>1876</v>
      </c>
      <c r="F62" s="7">
        <v>2040</v>
      </c>
      <c r="G62" s="7">
        <v>1969</v>
      </c>
      <c r="H62" s="7">
        <v>2013</v>
      </c>
      <c r="I62" s="7">
        <v>2066</v>
      </c>
      <c r="J62" s="7">
        <v>1819</v>
      </c>
      <c r="K62" s="7">
        <v>1838</v>
      </c>
      <c r="L62" s="7">
        <v>1880</v>
      </c>
      <c r="M62" s="7">
        <v>1856</v>
      </c>
      <c r="N62" s="7">
        <v>1881</v>
      </c>
      <c r="O62" s="7">
        <v>1799</v>
      </c>
      <c r="P62" s="7">
        <v>1805</v>
      </c>
      <c r="Q62" s="7">
        <v>1850</v>
      </c>
      <c r="R62" s="7">
        <v>1865</v>
      </c>
      <c r="S62" s="7">
        <v>1870</v>
      </c>
      <c r="T62" s="7">
        <v>1933</v>
      </c>
      <c r="U62" s="7">
        <v>1903</v>
      </c>
      <c r="V62" s="7">
        <v>2094</v>
      </c>
      <c r="W62" s="7">
        <v>2051</v>
      </c>
      <c r="X62" s="7">
        <v>2136</v>
      </c>
      <c r="Y62" s="7">
        <v>2212</v>
      </c>
      <c r="Z62" s="7">
        <v>2166</v>
      </c>
      <c r="AA62" s="7">
        <v>2149</v>
      </c>
      <c r="AB62" s="7">
        <v>2058</v>
      </c>
      <c r="AC62" s="7">
        <v>1931</v>
      </c>
      <c r="AD62" s="7">
        <v>1999</v>
      </c>
      <c r="AE62" s="7">
        <v>2096</v>
      </c>
      <c r="AF62" s="7">
        <v>2173</v>
      </c>
      <c r="AG62" s="7">
        <v>2105</v>
      </c>
      <c r="AH62" s="7">
        <v>2054</v>
      </c>
      <c r="AI62" s="7">
        <v>2032</v>
      </c>
      <c r="AJ62" s="7">
        <v>2055</v>
      </c>
      <c r="AK62" s="7">
        <v>2163</v>
      </c>
      <c r="AL62" s="7">
        <v>2263</v>
      </c>
      <c r="AM62" s="7">
        <v>2311</v>
      </c>
      <c r="AN62" s="7">
        <v>2480</v>
      </c>
      <c r="AO62" s="7">
        <v>2750</v>
      </c>
      <c r="AP62" s="7">
        <v>2832</v>
      </c>
      <c r="AQ62" s="7">
        <v>2802</v>
      </c>
      <c r="AR62" s="7">
        <v>2877</v>
      </c>
      <c r="AS62" s="7">
        <v>3002</v>
      </c>
      <c r="AU62" s="7">
        <v>2974</v>
      </c>
      <c r="AV62" s="7">
        <v>3034</v>
      </c>
      <c r="AW62" s="7">
        <v>3142</v>
      </c>
      <c r="AX62" s="79">
        <v>1193</v>
      </c>
      <c r="AY62" s="7">
        <v>1229</v>
      </c>
      <c r="AZ62" s="7">
        <v>1496</v>
      </c>
      <c r="BA62" s="7">
        <v>1677</v>
      </c>
      <c r="BB62" s="7">
        <v>1781</v>
      </c>
      <c r="BC62" s="7">
        <v>1812</v>
      </c>
      <c r="BD62" s="7">
        <v>2117</v>
      </c>
      <c r="BE62" s="7">
        <v>1935</v>
      </c>
      <c r="BF62" s="7">
        <v>1949</v>
      </c>
      <c r="BG62" s="7">
        <v>1944</v>
      </c>
      <c r="BH62" s="7">
        <v>2088</v>
      </c>
      <c r="BI62" s="7">
        <v>2115</v>
      </c>
      <c r="BJ62" s="7">
        <v>2404</v>
      </c>
      <c r="BK62" s="7">
        <v>2086</v>
      </c>
      <c r="BL62" s="7">
        <v>2097</v>
      </c>
      <c r="BM62" s="7">
        <v>2226</v>
      </c>
      <c r="BN62" s="7">
        <v>2134</v>
      </c>
      <c r="BO62" s="7">
        <v>2198</v>
      </c>
      <c r="BP62" s="7">
        <v>2340</v>
      </c>
      <c r="BQ62" s="7">
        <v>2290</v>
      </c>
      <c r="BR62" s="7">
        <v>2423</v>
      </c>
      <c r="BS62" s="7">
        <v>2502</v>
      </c>
      <c r="BT62" s="7">
        <v>2385</v>
      </c>
      <c r="BU62" s="7">
        <v>2495</v>
      </c>
      <c r="BV62" s="7">
        <v>2505</v>
      </c>
      <c r="BW62" s="7">
        <v>2442</v>
      </c>
      <c r="BX62" s="7">
        <v>2437</v>
      </c>
      <c r="BY62" s="7">
        <v>2378</v>
      </c>
      <c r="BZ62" s="7">
        <v>2456</v>
      </c>
      <c r="CA62" s="7">
        <v>2667</v>
      </c>
      <c r="CB62" s="7">
        <v>2659</v>
      </c>
      <c r="CC62" s="7">
        <v>2592</v>
      </c>
      <c r="CD62" s="7">
        <v>2619</v>
      </c>
      <c r="CE62" s="7">
        <v>2513</v>
      </c>
      <c r="CF62" s="7">
        <v>2593</v>
      </c>
      <c r="CG62" s="7">
        <v>2729</v>
      </c>
      <c r="CH62" s="7">
        <v>2718</v>
      </c>
      <c r="CI62" s="7">
        <v>2790</v>
      </c>
      <c r="CJ62" s="7">
        <v>2835</v>
      </c>
      <c r="CK62" s="7">
        <v>3038</v>
      </c>
      <c r="CL62" s="7">
        <v>3056</v>
      </c>
      <c r="CM62" s="7">
        <v>3298</v>
      </c>
      <c r="CN62" s="7">
        <v>3406</v>
      </c>
      <c r="CO62" s="7">
        <v>3204</v>
      </c>
      <c r="CQ62" s="7">
        <v>3186</v>
      </c>
      <c r="CR62" s="7">
        <v>3188</v>
      </c>
      <c r="CS62" s="7">
        <v>3286</v>
      </c>
    </row>
    <row r="63" spans="1:97" s="7" customFormat="1">
      <c r="A63" s="65" t="s">
        <v>172</v>
      </c>
      <c r="B63" s="70">
        <v>3112</v>
      </c>
      <c r="C63" s="60">
        <v>3140</v>
      </c>
      <c r="D63" s="60">
        <v>3391</v>
      </c>
      <c r="E63" s="60">
        <v>3424</v>
      </c>
      <c r="F63" s="60">
        <v>3703</v>
      </c>
      <c r="G63" s="60">
        <v>3462</v>
      </c>
      <c r="H63" s="60">
        <v>3742</v>
      </c>
      <c r="I63" s="60">
        <v>3359</v>
      </c>
      <c r="J63" s="60">
        <v>3288</v>
      </c>
      <c r="K63" s="60">
        <v>3236</v>
      </c>
      <c r="L63" s="60">
        <v>3105</v>
      </c>
      <c r="M63" s="60">
        <v>3162</v>
      </c>
      <c r="N63" s="60">
        <v>3085</v>
      </c>
      <c r="O63" s="60">
        <v>3076</v>
      </c>
      <c r="P63" s="60">
        <v>3052</v>
      </c>
      <c r="Q63" s="60">
        <v>3192</v>
      </c>
      <c r="R63" s="60">
        <v>3138</v>
      </c>
      <c r="S63" s="60">
        <v>3010</v>
      </c>
      <c r="T63" s="60">
        <v>3056</v>
      </c>
      <c r="U63" s="60">
        <v>3292</v>
      </c>
      <c r="V63" s="60">
        <v>3273</v>
      </c>
      <c r="W63" s="60">
        <v>3260</v>
      </c>
      <c r="X63" s="60">
        <v>3513</v>
      </c>
      <c r="Y63" s="60">
        <v>3527</v>
      </c>
      <c r="Z63" s="60">
        <v>3042</v>
      </c>
      <c r="AA63" s="60">
        <v>2977</v>
      </c>
      <c r="AB63" s="60">
        <v>2970</v>
      </c>
      <c r="AC63" s="60">
        <v>3018</v>
      </c>
      <c r="AD63" s="60">
        <v>3058</v>
      </c>
      <c r="AE63" s="60">
        <v>2939</v>
      </c>
      <c r="AF63" s="60">
        <v>2759</v>
      </c>
      <c r="AG63" s="60">
        <v>3363</v>
      </c>
      <c r="AH63" s="60">
        <v>3420</v>
      </c>
      <c r="AI63" s="60">
        <v>3605</v>
      </c>
      <c r="AJ63" s="60">
        <v>3818</v>
      </c>
      <c r="AK63" s="60">
        <v>3767</v>
      </c>
      <c r="AL63" s="60">
        <v>4274</v>
      </c>
      <c r="AM63" s="60">
        <v>4144</v>
      </c>
      <c r="AN63" s="60">
        <v>4255</v>
      </c>
      <c r="AO63" s="60">
        <v>4374</v>
      </c>
      <c r="AP63" s="60">
        <v>3479</v>
      </c>
      <c r="AQ63" s="60">
        <v>3239</v>
      </c>
      <c r="AR63" s="60">
        <v>3637</v>
      </c>
      <c r="AS63" s="60">
        <v>3720</v>
      </c>
      <c r="AT63" s="60"/>
      <c r="AU63" s="60">
        <v>3660</v>
      </c>
      <c r="AV63" s="91">
        <v>3743</v>
      </c>
      <c r="AW63" s="91">
        <v>3829</v>
      </c>
      <c r="AX63" s="81">
        <v>2742</v>
      </c>
      <c r="AY63" s="60">
        <v>2857</v>
      </c>
      <c r="AZ63" s="60">
        <v>2986</v>
      </c>
      <c r="BA63" s="60">
        <v>3111</v>
      </c>
      <c r="BB63" s="60">
        <v>3161</v>
      </c>
      <c r="BC63" s="60">
        <v>3179</v>
      </c>
      <c r="BD63" s="60">
        <v>3247</v>
      </c>
      <c r="BE63" s="60">
        <v>3252</v>
      </c>
      <c r="BF63" s="60">
        <v>3439</v>
      </c>
      <c r="BG63" s="60">
        <v>3597</v>
      </c>
      <c r="BH63" s="60">
        <v>3427</v>
      </c>
      <c r="BI63" s="60">
        <v>3645</v>
      </c>
      <c r="BJ63" s="60">
        <v>3700</v>
      </c>
      <c r="BK63" s="60">
        <v>3838</v>
      </c>
      <c r="BL63" s="60">
        <v>3722</v>
      </c>
      <c r="BM63" s="60">
        <v>3901</v>
      </c>
      <c r="BN63" s="60">
        <v>3737</v>
      </c>
      <c r="BO63" s="60">
        <v>3701</v>
      </c>
      <c r="BP63" s="60">
        <v>3877</v>
      </c>
      <c r="BQ63" s="60">
        <v>4190</v>
      </c>
      <c r="BR63" s="60">
        <v>4210</v>
      </c>
      <c r="BS63" s="60">
        <v>4354</v>
      </c>
      <c r="BT63" s="60">
        <v>4693</v>
      </c>
      <c r="BU63" s="60">
        <v>4568</v>
      </c>
      <c r="BV63" s="60">
        <v>4142</v>
      </c>
      <c r="BW63" s="60">
        <v>4050</v>
      </c>
      <c r="BX63" s="60">
        <v>4143</v>
      </c>
      <c r="BY63" s="60">
        <v>4211</v>
      </c>
      <c r="BZ63" s="60">
        <v>4311</v>
      </c>
      <c r="CA63" s="60">
        <v>4086</v>
      </c>
      <c r="CB63" s="60">
        <v>4047</v>
      </c>
      <c r="CC63" s="60">
        <v>4803</v>
      </c>
      <c r="CD63" s="60">
        <v>5171</v>
      </c>
      <c r="CE63" s="60">
        <v>5295</v>
      </c>
      <c r="CF63" s="60">
        <v>5617</v>
      </c>
      <c r="CG63" s="60">
        <v>5432</v>
      </c>
      <c r="CH63" s="60">
        <v>6282</v>
      </c>
      <c r="CI63" s="60">
        <v>6117</v>
      </c>
      <c r="CJ63" s="60">
        <v>6481</v>
      </c>
      <c r="CK63" s="60">
        <v>6583</v>
      </c>
      <c r="CL63" s="60">
        <v>5175</v>
      </c>
      <c r="CM63" s="60">
        <v>4905</v>
      </c>
      <c r="CN63" s="60">
        <v>5575</v>
      </c>
      <c r="CO63" s="60">
        <v>5579</v>
      </c>
      <c r="CP63" s="60"/>
      <c r="CQ63" s="60">
        <v>5612</v>
      </c>
      <c r="CR63" s="91">
        <v>5594</v>
      </c>
      <c r="CS63" s="91">
        <v>5690</v>
      </c>
    </row>
    <row r="64" spans="1:97">
      <c r="AV64" s="7"/>
      <c r="AW64" s="7"/>
      <c r="CR64" s="7"/>
      <c r="CS64" s="7"/>
    </row>
    <row r="65" spans="2:90" ht="12.75" customHeight="1">
      <c r="B65" s="1" t="s">
        <v>81</v>
      </c>
      <c r="N65" s="3"/>
      <c r="AJ65" s="1" t="s">
        <v>81</v>
      </c>
      <c r="CF65" s="1" t="s">
        <v>81</v>
      </c>
      <c r="CK65" s="3" t="s">
        <v>81</v>
      </c>
      <c r="CL65" s="3"/>
    </row>
    <row r="66" spans="2:90" ht="12.75" customHeight="1">
      <c r="B66" s="1" t="s">
        <v>228</v>
      </c>
      <c r="N66" s="3"/>
      <c r="AJ66" s="1" t="s">
        <v>211</v>
      </c>
      <c r="CF66" s="1" t="s">
        <v>211</v>
      </c>
      <c r="CK66" s="1" t="s">
        <v>211</v>
      </c>
    </row>
    <row r="67" spans="2:90" ht="12.75" customHeight="1">
      <c r="B67" s="1" t="s">
        <v>229</v>
      </c>
      <c r="N67" s="3"/>
      <c r="AJ67" s="1" t="s">
        <v>212</v>
      </c>
      <c r="CF67" s="1" t="s">
        <v>212</v>
      </c>
      <c r="CK67" s="1" t="s">
        <v>212</v>
      </c>
    </row>
    <row r="68" spans="2:90" ht="12.75" customHeight="1">
      <c r="B68" s="1" t="s">
        <v>230</v>
      </c>
      <c r="N68" s="3"/>
      <c r="AJ68" s="1" t="s">
        <v>213</v>
      </c>
      <c r="CF68" s="1" t="s">
        <v>213</v>
      </c>
      <c r="CK68" s="1" t="s">
        <v>213</v>
      </c>
    </row>
    <row r="69" spans="2:90" ht="12.75" customHeight="1">
      <c r="B69" s="1" t="s">
        <v>231</v>
      </c>
      <c r="AJ69" s="1" t="s">
        <v>41</v>
      </c>
      <c r="CF69" s="1" t="s">
        <v>41</v>
      </c>
      <c r="CK69" s="1" t="s">
        <v>41</v>
      </c>
    </row>
    <row r="70" spans="2:90" ht="12.75" customHeight="1">
      <c r="B70" s="1" t="s">
        <v>232</v>
      </c>
      <c r="AJ70" s="1" t="s">
        <v>214</v>
      </c>
      <c r="CF70" s="1" t="s">
        <v>214</v>
      </c>
      <c r="CK70" s="1" t="s">
        <v>214</v>
      </c>
    </row>
    <row r="71" spans="2:90" ht="12.75" customHeight="1">
      <c r="B71" s="1" t="s">
        <v>233</v>
      </c>
      <c r="AJ71" s="1" t="s">
        <v>215</v>
      </c>
      <c r="CF71" s="1" t="s">
        <v>215</v>
      </c>
      <c r="CK71" s="1" t="s">
        <v>215</v>
      </c>
    </row>
    <row r="72" spans="2:90" ht="12.75" customHeight="1">
      <c r="B72" s="1" t="s">
        <v>234</v>
      </c>
      <c r="AJ72" s="1" t="s">
        <v>46</v>
      </c>
      <c r="CF72" s="1" t="s">
        <v>46</v>
      </c>
      <c r="CK72" s="1" t="s">
        <v>46</v>
      </c>
    </row>
    <row r="73" spans="2:90" ht="12.75" customHeight="1">
      <c r="B73" s="1" t="s">
        <v>235</v>
      </c>
      <c r="AJ73" s="1" t="s">
        <v>216</v>
      </c>
      <c r="CF73" s="1" t="s">
        <v>216</v>
      </c>
      <c r="CK73" s="1" t="s">
        <v>216</v>
      </c>
    </row>
    <row r="74" spans="2:90" ht="12.75" customHeight="1">
      <c r="AJ74" s="1" t="s">
        <v>217</v>
      </c>
      <c r="CF74" s="1" t="s">
        <v>217</v>
      </c>
      <c r="CK74" s="1" t="s">
        <v>217</v>
      </c>
    </row>
    <row r="75" spans="2:90">
      <c r="AJ75" s="1" t="s">
        <v>218</v>
      </c>
      <c r="CF75" s="1" t="s">
        <v>218</v>
      </c>
      <c r="CK75" s="1" t="s">
        <v>218</v>
      </c>
    </row>
  </sheetData>
  <phoneticPr fontId="0" type="noConversion"/>
  <hyperlinks>
    <hyperlink ref="AJ75" r:id="rId1" display="www.nces.ed.gov" xr:uid="{00000000-0004-0000-0300-000000000000}"/>
    <hyperlink ref="CF75" r:id="rId2" display="www.nces.ed.gov" xr:uid="{00000000-0004-0000-0300-000001000000}"/>
    <hyperlink ref="CK75" r:id="rId3" display="www.nces.ed.gov" xr:uid="{00000000-0004-0000-0300-000002000000}"/>
  </hyperlinks>
  <pageMargins left="0.75" right="0.5" top="0.5" bottom="0.55000000000000004" header="0.5" footer="0.5"/>
  <pageSetup orientation="portrait" verticalDpi="300" r:id="rId4"/>
  <headerFooter alignWithMargins="0">
    <oddFooter>&amp;LSREB Fact Book 1996/1997&amp;CDraft&amp;R&amp;D</oddFooter>
  </headerFooter>
  <legacyDrawing r:id="rId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62"/>
  </sheetPr>
  <dimension ref="A1:CL75"/>
  <sheetViews>
    <sheetView zoomScale="80" zoomScaleNormal="80" workbookViewId="0">
      <pane xSplit="1" ySplit="3" topLeftCell="AH4" activePane="bottomRight" state="frozen"/>
      <selection pane="topRight" activeCell="B1" sqref="B1"/>
      <selection pane="bottomLeft" activeCell="A4" sqref="A4"/>
      <selection pane="bottomRight" activeCell="BS31" sqref="BS31"/>
    </sheetView>
  </sheetViews>
  <sheetFormatPr defaultRowHeight="12.75"/>
  <cols>
    <col min="1" max="1" width="20.28515625" style="1" customWidth="1"/>
    <col min="2" max="33" width="9.42578125" style="1" customWidth="1"/>
    <col min="34" max="35" width="9.85546875" style="1" customWidth="1"/>
    <col min="36" max="36" width="7.85546875" style="15" customWidth="1"/>
    <col min="37" max="37" width="7.7109375" style="15" customWidth="1"/>
    <col min="38" max="73" width="9.42578125" style="15" customWidth="1"/>
    <col min="74" max="75" width="9.85546875" style="1" customWidth="1"/>
    <col min="76" max="83" width="9.42578125" style="151" customWidth="1"/>
    <col min="84" max="84" width="9.140625" style="15"/>
    <col min="85" max="16384" width="9.140625" style="1"/>
  </cols>
  <sheetData>
    <row r="1" spans="1:90">
      <c r="A1" s="6" t="s">
        <v>157</v>
      </c>
      <c r="B1" s="120"/>
      <c r="Y1" s="33"/>
      <c r="AJ1" s="150"/>
      <c r="AW1" s="150"/>
    </row>
    <row r="2" spans="1:90">
      <c r="B2" s="121" t="s">
        <v>224</v>
      </c>
      <c r="C2" s="117" t="s">
        <v>224</v>
      </c>
      <c r="D2" s="117" t="s">
        <v>224</v>
      </c>
      <c r="E2" s="117" t="s">
        <v>224</v>
      </c>
      <c r="F2" s="117" t="s">
        <v>224</v>
      </c>
      <c r="G2" s="117" t="s">
        <v>224</v>
      </c>
      <c r="H2" s="117" t="s">
        <v>224</v>
      </c>
      <c r="I2" s="117" t="s">
        <v>224</v>
      </c>
      <c r="J2" s="117" t="s">
        <v>224</v>
      </c>
      <c r="K2" s="117" t="s">
        <v>224</v>
      </c>
      <c r="L2" s="117" t="s">
        <v>224</v>
      </c>
      <c r="M2" s="117" t="s">
        <v>224</v>
      </c>
      <c r="N2" s="117" t="s">
        <v>224</v>
      </c>
      <c r="O2" s="117" t="s">
        <v>224</v>
      </c>
      <c r="P2" s="117" t="s">
        <v>224</v>
      </c>
      <c r="Q2" s="117" t="s">
        <v>224</v>
      </c>
      <c r="R2" s="117" t="s">
        <v>224</v>
      </c>
      <c r="S2" s="117" t="s">
        <v>224</v>
      </c>
      <c r="T2" s="117" t="s">
        <v>224</v>
      </c>
      <c r="U2" s="117" t="s">
        <v>224</v>
      </c>
      <c r="V2" s="117" t="s">
        <v>224</v>
      </c>
      <c r="W2" s="117" t="s">
        <v>224</v>
      </c>
      <c r="X2" s="117" t="s">
        <v>224</v>
      </c>
      <c r="Y2" s="117" t="s">
        <v>224</v>
      </c>
      <c r="Z2" s="117" t="s">
        <v>224</v>
      </c>
      <c r="AA2" s="117" t="s">
        <v>224</v>
      </c>
      <c r="AB2" s="117" t="s">
        <v>224</v>
      </c>
      <c r="AC2" s="117" t="s">
        <v>224</v>
      </c>
      <c r="AD2" s="117" t="s">
        <v>224</v>
      </c>
      <c r="AE2" s="117" t="s">
        <v>224</v>
      </c>
      <c r="AF2" s="117" t="s">
        <v>224</v>
      </c>
      <c r="AG2" s="117" t="s">
        <v>224</v>
      </c>
      <c r="AH2" s="117" t="s">
        <v>224</v>
      </c>
      <c r="AI2" s="117" t="s">
        <v>224</v>
      </c>
      <c r="AJ2" s="181" t="s">
        <v>155</v>
      </c>
      <c r="AL2" s="153" t="s">
        <v>253</v>
      </c>
      <c r="AM2" s="153" t="s">
        <v>253</v>
      </c>
      <c r="AN2" s="153" t="s">
        <v>253</v>
      </c>
      <c r="AO2" s="153" t="s">
        <v>253</v>
      </c>
      <c r="AP2" s="153" t="s">
        <v>253</v>
      </c>
      <c r="AQ2" s="153" t="s">
        <v>253</v>
      </c>
      <c r="AR2" s="153" t="s">
        <v>253</v>
      </c>
      <c r="AS2" s="153" t="s">
        <v>253</v>
      </c>
      <c r="AT2" s="153" t="s">
        <v>253</v>
      </c>
      <c r="AU2" s="153" t="s">
        <v>253</v>
      </c>
      <c r="AV2" s="153" t="s">
        <v>253</v>
      </c>
      <c r="AW2" s="152" t="s">
        <v>154</v>
      </c>
      <c r="AX2" s="153"/>
      <c r="AY2" s="153" t="s">
        <v>254</v>
      </c>
      <c r="AZ2" s="153" t="s">
        <v>254</v>
      </c>
      <c r="BA2" s="153" t="s">
        <v>254</v>
      </c>
      <c r="BB2" s="153" t="s">
        <v>254</v>
      </c>
      <c r="BC2" s="153" t="s">
        <v>254</v>
      </c>
      <c r="BD2" s="153" t="s">
        <v>254</v>
      </c>
      <c r="BE2" s="153" t="s">
        <v>254</v>
      </c>
      <c r="BF2" s="153" t="s">
        <v>254</v>
      </c>
      <c r="BG2" s="153" t="s">
        <v>254</v>
      </c>
      <c r="BH2" s="153" t="s">
        <v>254</v>
      </c>
      <c r="BI2" s="152" t="s">
        <v>256</v>
      </c>
      <c r="BJ2" s="153" t="s">
        <v>255</v>
      </c>
      <c r="BK2" s="153" t="s">
        <v>255</v>
      </c>
      <c r="BL2" s="153" t="s">
        <v>255</v>
      </c>
      <c r="BM2" s="153" t="s">
        <v>255</v>
      </c>
      <c r="BN2" s="153" t="s">
        <v>255</v>
      </c>
      <c r="BO2" s="153" t="s">
        <v>255</v>
      </c>
      <c r="BP2" s="153" t="s">
        <v>255</v>
      </c>
      <c r="BQ2" s="153" t="s">
        <v>255</v>
      </c>
      <c r="BR2" s="153" t="s">
        <v>255</v>
      </c>
      <c r="BS2" s="153" t="s">
        <v>255</v>
      </c>
      <c r="BT2" s="153" t="s">
        <v>255</v>
      </c>
      <c r="BU2" s="153" t="s">
        <v>255</v>
      </c>
      <c r="BV2" s="153" t="s">
        <v>255</v>
      </c>
      <c r="BW2" s="153" t="s">
        <v>255</v>
      </c>
      <c r="BX2" s="191" t="s">
        <v>165</v>
      </c>
      <c r="BY2" s="189"/>
      <c r="BZ2" s="190"/>
      <c r="CA2" s="190"/>
      <c r="CB2" s="190"/>
      <c r="CC2" s="190"/>
      <c r="CD2" s="190"/>
      <c r="CE2" s="190"/>
      <c r="CF2" s="19"/>
      <c r="CG2" s="19"/>
    </row>
    <row r="3" spans="1:90" s="6" customFormat="1">
      <c r="B3" s="122" t="s">
        <v>5</v>
      </c>
      <c r="C3" s="71" t="s">
        <v>6</v>
      </c>
      <c r="D3" s="71" t="s">
        <v>7</v>
      </c>
      <c r="E3" s="71" t="s">
        <v>65</v>
      </c>
      <c r="F3" s="71" t="s">
        <v>67</v>
      </c>
      <c r="G3" s="71" t="s">
        <v>69</v>
      </c>
      <c r="H3" s="71" t="s">
        <v>71</v>
      </c>
      <c r="I3" s="71" t="s">
        <v>72</v>
      </c>
      <c r="J3" s="71" t="s">
        <v>9</v>
      </c>
      <c r="K3" s="71" t="s">
        <v>74</v>
      </c>
      <c r="L3" s="71" t="s">
        <v>161</v>
      </c>
      <c r="M3" s="71" t="s">
        <v>162</v>
      </c>
      <c r="N3" s="71" t="s">
        <v>163</v>
      </c>
      <c r="O3" s="71" t="s">
        <v>58</v>
      </c>
      <c r="P3" s="71" t="s">
        <v>164</v>
      </c>
      <c r="Q3" s="71" t="s">
        <v>201</v>
      </c>
      <c r="R3" s="71" t="s">
        <v>202</v>
      </c>
      <c r="S3" s="71" t="s">
        <v>225</v>
      </c>
      <c r="T3" s="71" t="s">
        <v>226</v>
      </c>
      <c r="U3" s="71" t="s">
        <v>210</v>
      </c>
      <c r="V3" s="71" t="s">
        <v>221</v>
      </c>
      <c r="W3" s="71" t="s">
        <v>222</v>
      </c>
      <c r="X3" s="63" t="s">
        <v>227</v>
      </c>
      <c r="Y3" s="71" t="s">
        <v>236</v>
      </c>
      <c r="Z3" s="71" t="s">
        <v>240</v>
      </c>
      <c r="AA3" s="71" t="s">
        <v>242</v>
      </c>
      <c r="AB3" s="71" t="s">
        <v>258</v>
      </c>
      <c r="AC3" s="71" t="s">
        <v>259</v>
      </c>
      <c r="AD3" s="71" t="s">
        <v>262</v>
      </c>
      <c r="AE3" s="71" t="s">
        <v>263</v>
      </c>
      <c r="AF3" s="71" t="s">
        <v>265</v>
      </c>
      <c r="AG3" s="71" t="s">
        <v>266</v>
      </c>
      <c r="AH3" s="198" t="s">
        <v>269</v>
      </c>
      <c r="AI3" s="198" t="s">
        <v>270</v>
      </c>
      <c r="AJ3" s="122" t="s">
        <v>67</v>
      </c>
      <c r="AK3" s="71" t="s">
        <v>69</v>
      </c>
      <c r="AL3" s="71" t="s">
        <v>71</v>
      </c>
      <c r="AM3" s="71" t="s">
        <v>72</v>
      </c>
      <c r="AN3" s="71" t="s">
        <v>9</v>
      </c>
      <c r="AO3" s="71" t="s">
        <v>74</v>
      </c>
      <c r="AP3" s="71" t="s">
        <v>161</v>
      </c>
      <c r="AQ3" s="71" t="s">
        <v>162</v>
      </c>
      <c r="AR3" s="71" t="s">
        <v>163</v>
      </c>
      <c r="AS3" s="71" t="s">
        <v>58</v>
      </c>
      <c r="AT3" s="71" t="s">
        <v>164</v>
      </c>
      <c r="AU3" s="71" t="s">
        <v>201</v>
      </c>
      <c r="AV3" s="132" t="s">
        <v>202</v>
      </c>
      <c r="AW3" s="133" t="s">
        <v>69</v>
      </c>
      <c r="AX3" s="71" t="s">
        <v>71</v>
      </c>
      <c r="AY3" s="71" t="s">
        <v>72</v>
      </c>
      <c r="AZ3" s="71" t="s">
        <v>9</v>
      </c>
      <c r="BA3" s="71" t="s">
        <v>74</v>
      </c>
      <c r="BB3" s="71" t="s">
        <v>161</v>
      </c>
      <c r="BC3" s="71" t="s">
        <v>162</v>
      </c>
      <c r="BD3" s="71" t="s">
        <v>163</v>
      </c>
      <c r="BE3" s="71" t="s">
        <v>58</v>
      </c>
      <c r="BF3" s="71" t="s">
        <v>164</v>
      </c>
      <c r="BG3" s="71" t="s">
        <v>201</v>
      </c>
      <c r="BH3" s="71" t="s">
        <v>202</v>
      </c>
      <c r="BI3" s="122" t="s">
        <v>210</v>
      </c>
      <c r="BJ3" s="71" t="s">
        <v>221</v>
      </c>
      <c r="BK3" s="71" t="s">
        <v>222</v>
      </c>
      <c r="BL3" s="63" t="s">
        <v>227</v>
      </c>
      <c r="BM3" s="71" t="s">
        <v>236</v>
      </c>
      <c r="BN3" s="71" t="s">
        <v>240</v>
      </c>
      <c r="BO3" s="71" t="s">
        <v>242</v>
      </c>
      <c r="BP3" s="71" t="s">
        <v>258</v>
      </c>
      <c r="BQ3" s="71" t="s">
        <v>259</v>
      </c>
      <c r="BR3" s="71" t="s">
        <v>262</v>
      </c>
      <c r="BS3" s="71" t="s">
        <v>263</v>
      </c>
      <c r="BT3" s="71" t="s">
        <v>265</v>
      </c>
      <c r="BU3" s="71" t="s">
        <v>266</v>
      </c>
      <c r="BV3" s="198" t="s">
        <v>269</v>
      </c>
      <c r="BW3" s="198" t="s">
        <v>270</v>
      </c>
      <c r="BX3" s="135" t="s">
        <v>210</v>
      </c>
      <c r="BY3" s="136" t="s">
        <v>221</v>
      </c>
      <c r="BZ3" s="136" t="s">
        <v>222</v>
      </c>
      <c r="CA3" s="136" t="s">
        <v>227</v>
      </c>
      <c r="CB3" s="136" t="s">
        <v>236</v>
      </c>
      <c r="CC3" s="136" t="s">
        <v>240</v>
      </c>
      <c r="CD3" s="136" t="s">
        <v>242</v>
      </c>
      <c r="CE3" s="137" t="s">
        <v>258</v>
      </c>
      <c r="CF3" s="137" t="s">
        <v>259</v>
      </c>
      <c r="CG3" s="137" t="s">
        <v>262</v>
      </c>
      <c r="CH3" s="137" t="s">
        <v>263</v>
      </c>
      <c r="CI3" s="137" t="s">
        <v>265</v>
      </c>
      <c r="CJ3" s="137" t="s">
        <v>266</v>
      </c>
      <c r="CK3" s="137" t="s">
        <v>269</v>
      </c>
      <c r="CL3" s="137" t="s">
        <v>270</v>
      </c>
    </row>
    <row r="4" spans="1:90">
      <c r="A4" s="52" t="s">
        <v>243</v>
      </c>
      <c r="B4" s="123">
        <f>38488+20212</f>
        <v>58700</v>
      </c>
      <c r="C4" s="119">
        <v>60301</v>
      </c>
      <c r="D4" s="119">
        <v>60729</v>
      </c>
      <c r="E4" s="119">
        <v>57025</v>
      </c>
      <c r="F4" s="119">
        <f>39391+18172</f>
        <v>57563</v>
      </c>
      <c r="G4" s="118">
        <f>G5+G23+G38+G52+G63</f>
        <v>54812</v>
      </c>
      <c r="H4" s="119">
        <f>35807+21030</f>
        <v>56837</v>
      </c>
      <c r="I4" s="119">
        <f>37574+21727</f>
        <v>59301</v>
      </c>
      <c r="J4" s="118">
        <f t="shared" ref="J4:AA4" si="0">J5+J23+J38+J52+J63</f>
        <v>71035</v>
      </c>
      <c r="K4" s="118">
        <f t="shared" si="0"/>
        <v>76374</v>
      </c>
      <c r="L4" s="118">
        <f t="shared" si="0"/>
        <v>81989</v>
      </c>
      <c r="M4" s="118">
        <f t="shared" si="0"/>
        <v>84967</v>
      </c>
      <c r="N4" s="118">
        <f t="shared" si="0"/>
        <v>89081</v>
      </c>
      <c r="O4" s="118">
        <f t="shared" si="0"/>
        <v>91806</v>
      </c>
      <c r="P4" s="118">
        <f t="shared" si="0"/>
        <v>95411</v>
      </c>
      <c r="Q4" s="118">
        <f t="shared" si="0"/>
        <v>0</v>
      </c>
      <c r="R4" s="118">
        <f t="shared" si="0"/>
        <v>103985</v>
      </c>
      <c r="S4" s="118">
        <f t="shared" ref="S4:T4" si="1">S5+S23+S38+S52+S63</f>
        <v>0</v>
      </c>
      <c r="T4" s="118">
        <f t="shared" si="1"/>
        <v>0</v>
      </c>
      <c r="U4" s="118">
        <f t="shared" si="0"/>
        <v>117570</v>
      </c>
      <c r="V4" s="118">
        <f t="shared" si="0"/>
        <v>123237</v>
      </c>
      <c r="W4" s="118">
        <f t="shared" si="0"/>
        <v>126922</v>
      </c>
      <c r="X4" s="118">
        <f t="shared" si="0"/>
        <v>131425</v>
      </c>
      <c r="Y4" s="118">
        <f t="shared" si="0"/>
        <v>137253</v>
      </c>
      <c r="Z4" s="118">
        <f t="shared" si="0"/>
        <v>142264</v>
      </c>
      <c r="AA4" s="118">
        <f t="shared" si="0"/>
        <v>145681</v>
      </c>
      <c r="AB4" s="118">
        <f t="shared" ref="AB4:AC4" si="2">AB5+AB23+AB38+AB52+AB63</f>
        <v>150686</v>
      </c>
      <c r="AC4" s="118">
        <f t="shared" si="2"/>
        <v>154246</v>
      </c>
      <c r="AD4" s="118">
        <f t="shared" ref="AD4:AE4" si="3">AD5+AD23+AD38+AD52+AD63</f>
        <v>169128</v>
      </c>
      <c r="AE4" s="118">
        <f t="shared" si="3"/>
        <v>174998</v>
      </c>
      <c r="AF4" s="118">
        <f t="shared" ref="AF4:AI4" si="4">AF5+AF23+AF38+AF52+AF63</f>
        <v>0</v>
      </c>
      <c r="AG4" s="118">
        <f t="shared" si="4"/>
        <v>177187</v>
      </c>
      <c r="AH4" s="53">
        <f t="shared" si="4"/>
        <v>180559</v>
      </c>
      <c r="AI4" s="53">
        <f t="shared" si="4"/>
        <v>182729</v>
      </c>
      <c r="AJ4" s="154" t="e">
        <f t="shared" ref="AJ4:BH4" si="5">AJ5+AJ23+AJ38+AJ52+AJ63</f>
        <v>#VALUE!</v>
      </c>
      <c r="AK4" s="155">
        <f t="shared" si="5"/>
        <v>16895</v>
      </c>
      <c r="AL4" s="155" t="e">
        <f t="shared" si="5"/>
        <v>#VALUE!</v>
      </c>
      <c r="AM4" s="155" t="e">
        <f t="shared" si="5"/>
        <v>#VALUE!</v>
      </c>
      <c r="AN4" s="155">
        <f t="shared" si="5"/>
        <v>21002</v>
      </c>
      <c r="AO4" s="155">
        <f t="shared" si="5"/>
        <v>23041</v>
      </c>
      <c r="AP4" s="155">
        <f t="shared" si="5"/>
        <v>24313</v>
      </c>
      <c r="AQ4" s="155">
        <f t="shared" si="5"/>
        <v>25923</v>
      </c>
      <c r="AR4" s="155">
        <f t="shared" si="5"/>
        <v>27397</v>
      </c>
      <c r="AS4" s="155">
        <f t="shared" si="5"/>
        <v>27077</v>
      </c>
      <c r="AT4" s="155">
        <f t="shared" si="5"/>
        <v>27509</v>
      </c>
      <c r="AU4" s="155">
        <f t="shared" ref="AU4" si="6">AU5+AU23+AU38+AU52+AU63</f>
        <v>0</v>
      </c>
      <c r="AV4" s="156">
        <f t="shared" si="5"/>
        <v>28606</v>
      </c>
      <c r="AW4" s="157">
        <f t="shared" si="5"/>
        <v>15909</v>
      </c>
      <c r="AX4" s="155">
        <f t="shared" si="5"/>
        <v>13697</v>
      </c>
      <c r="AY4" s="155">
        <f t="shared" si="5"/>
        <v>14131</v>
      </c>
      <c r="AZ4" s="155">
        <f t="shared" si="5"/>
        <v>19146</v>
      </c>
      <c r="BA4" s="155">
        <f t="shared" si="5"/>
        <v>21739</v>
      </c>
      <c r="BB4" s="155">
        <f t="shared" si="5"/>
        <v>23295</v>
      </c>
      <c r="BC4" s="155">
        <f t="shared" si="5"/>
        <v>23863</v>
      </c>
      <c r="BD4" s="155">
        <f t="shared" si="5"/>
        <v>25177</v>
      </c>
      <c r="BE4" s="155">
        <f t="shared" si="5"/>
        <v>25063</v>
      </c>
      <c r="BF4" s="155">
        <f t="shared" si="5"/>
        <v>25400</v>
      </c>
      <c r="BG4" s="155">
        <f t="shared" si="5"/>
        <v>0</v>
      </c>
      <c r="BH4" s="155">
        <f t="shared" si="5"/>
        <v>25382</v>
      </c>
      <c r="BI4" s="154">
        <f t="shared" ref="BI4:BO4" si="7">BI5+BI23+BI38+BI52+BI63</f>
        <v>30385</v>
      </c>
      <c r="BJ4" s="155">
        <f t="shared" si="7"/>
        <v>29440</v>
      </c>
      <c r="BK4" s="155">
        <f t="shared" si="7"/>
        <v>31277</v>
      </c>
      <c r="BL4" s="155">
        <f t="shared" si="7"/>
        <v>32586</v>
      </c>
      <c r="BM4" s="155">
        <f t="shared" si="7"/>
        <v>33285</v>
      </c>
      <c r="BN4" s="155">
        <f t="shared" si="7"/>
        <v>34604</v>
      </c>
      <c r="BO4" s="155">
        <f t="shared" si="7"/>
        <v>34932</v>
      </c>
      <c r="BP4" s="155">
        <f t="shared" ref="BP4:BQ4" si="8">BP5+BP23+BP38+BP52+BP63</f>
        <v>34613</v>
      </c>
      <c r="BQ4" s="155">
        <f t="shared" si="8"/>
        <v>36784</v>
      </c>
      <c r="BR4" s="155">
        <f t="shared" ref="BR4:BS4" si="9">BR5+BR23+BR38+BR52+BR63</f>
        <v>37539</v>
      </c>
      <c r="BS4" s="155">
        <f t="shared" si="9"/>
        <v>37210</v>
      </c>
      <c r="BT4" s="155">
        <f t="shared" ref="BT4:BW4" si="10">BT5+BT23+BT38+BT52+BT63</f>
        <v>0</v>
      </c>
      <c r="BU4" s="155">
        <f t="shared" si="10"/>
        <v>28709</v>
      </c>
      <c r="BV4" s="53">
        <f t="shared" si="10"/>
        <v>35147</v>
      </c>
      <c r="BW4" s="53">
        <f t="shared" si="10"/>
        <v>34090</v>
      </c>
      <c r="BX4" s="158">
        <f t="shared" ref="BX4:CJ5" si="11">BI4/U4</f>
        <v>0.2584417793654844</v>
      </c>
      <c r="BY4" s="159">
        <f t="shared" si="11"/>
        <v>0.23888929461119632</v>
      </c>
      <c r="BZ4" s="159">
        <f t="shared" si="11"/>
        <v>0.24642693938009172</v>
      </c>
      <c r="CA4" s="159">
        <f t="shared" si="11"/>
        <v>0.24794369412212289</v>
      </c>
      <c r="CB4" s="159">
        <f t="shared" si="11"/>
        <v>0.24250836047299512</v>
      </c>
      <c r="CC4" s="159">
        <f t="shared" si="11"/>
        <v>0.24323792385986617</v>
      </c>
      <c r="CD4" s="159">
        <f t="shared" si="11"/>
        <v>0.23978418599542836</v>
      </c>
      <c r="CE4" s="159">
        <f t="shared" si="11"/>
        <v>0.22970282574359926</v>
      </c>
      <c r="CF4" s="159">
        <f t="shared" si="11"/>
        <v>0.23847620035527664</v>
      </c>
      <c r="CG4" s="159">
        <f t="shared" si="11"/>
        <v>0.2219561515538527</v>
      </c>
      <c r="CH4" s="159">
        <f t="shared" si="11"/>
        <v>0.21263100149715997</v>
      </c>
      <c r="CI4" s="159" t="e">
        <f t="shared" si="11"/>
        <v>#DIV/0!</v>
      </c>
      <c r="CJ4" s="159">
        <f t="shared" si="11"/>
        <v>0.16202655951057357</v>
      </c>
      <c r="CK4" s="159">
        <f t="shared" ref="CK4:CL5" si="12">BV4/AH4</f>
        <v>0.1946565942434329</v>
      </c>
      <c r="CL4" s="159">
        <f t="shared" si="12"/>
        <v>0.18656042554821622</v>
      </c>
    </row>
    <row r="5" spans="1:90">
      <c r="A5" s="54" t="s">
        <v>11</v>
      </c>
      <c r="B5" s="124">
        <f t="shared" ref="B5:I5" si="13">SUM(B7:B22)</f>
        <v>28029</v>
      </c>
      <c r="C5" s="7">
        <f t="shared" si="13"/>
        <v>29490</v>
      </c>
      <c r="D5" s="7">
        <f t="shared" si="13"/>
        <v>29879</v>
      </c>
      <c r="E5" s="7">
        <f t="shared" si="13"/>
        <v>28175</v>
      </c>
      <c r="F5" s="7">
        <f t="shared" si="13"/>
        <v>28894</v>
      </c>
      <c r="G5" s="85">
        <f t="shared" si="13"/>
        <v>28653</v>
      </c>
      <c r="H5" s="7">
        <f t="shared" si="13"/>
        <v>29330</v>
      </c>
      <c r="I5" s="7">
        <f t="shared" si="13"/>
        <v>30679</v>
      </c>
      <c r="J5" s="85">
        <f t="shared" ref="J5:AA5" si="14">SUM(J7:J22)</f>
        <v>36375</v>
      </c>
      <c r="K5" s="85">
        <f t="shared" si="14"/>
        <v>39779</v>
      </c>
      <c r="L5" s="85">
        <f t="shared" si="14"/>
        <v>43531</v>
      </c>
      <c r="M5" s="85">
        <f t="shared" si="14"/>
        <v>45063</v>
      </c>
      <c r="N5" s="85">
        <f t="shared" si="14"/>
        <v>47839</v>
      </c>
      <c r="O5" s="85">
        <f t="shared" si="14"/>
        <v>48998</v>
      </c>
      <c r="P5" s="85">
        <f t="shared" si="14"/>
        <v>51202</v>
      </c>
      <c r="Q5" s="85">
        <f t="shared" si="14"/>
        <v>0</v>
      </c>
      <c r="R5" s="85">
        <f t="shared" si="14"/>
        <v>56371</v>
      </c>
      <c r="S5" s="85">
        <f t="shared" ref="S5:T5" si="15">SUM(S7:S22)</f>
        <v>0</v>
      </c>
      <c r="T5" s="85">
        <f t="shared" si="15"/>
        <v>0</v>
      </c>
      <c r="U5" s="85">
        <f t="shared" si="14"/>
        <v>63963</v>
      </c>
      <c r="V5" s="85">
        <f t="shared" si="14"/>
        <v>67407</v>
      </c>
      <c r="W5" s="85">
        <f t="shared" si="14"/>
        <v>69307</v>
      </c>
      <c r="X5" s="85">
        <f t="shared" si="14"/>
        <v>71351</v>
      </c>
      <c r="Y5" s="85">
        <f t="shared" si="14"/>
        <v>72932</v>
      </c>
      <c r="Z5" s="85">
        <f t="shared" si="14"/>
        <v>75621</v>
      </c>
      <c r="AA5" s="85">
        <f t="shared" si="14"/>
        <v>77862</v>
      </c>
      <c r="AB5" s="85">
        <f t="shared" ref="AB5:AC5" si="16">SUM(AB7:AB22)</f>
        <v>80870</v>
      </c>
      <c r="AC5" s="85">
        <f t="shared" si="16"/>
        <v>85784</v>
      </c>
      <c r="AD5" s="85">
        <f t="shared" ref="AD5:AE5" si="17">SUM(AD7:AD22)</f>
        <v>90784</v>
      </c>
      <c r="AE5" s="85">
        <f t="shared" si="17"/>
        <v>93223</v>
      </c>
      <c r="AF5" s="85">
        <f t="shared" ref="AF5:AI5" si="18">SUM(AF7:AF22)</f>
        <v>0</v>
      </c>
      <c r="AG5" s="85">
        <f t="shared" si="18"/>
        <v>94576</v>
      </c>
      <c r="AH5" s="55">
        <f t="shared" si="18"/>
        <v>97031</v>
      </c>
      <c r="AI5" s="55">
        <f t="shared" si="18"/>
        <v>98527</v>
      </c>
      <c r="AJ5" s="160">
        <f t="shared" ref="AJ5:BH5" si="19">SUM(AJ7:AJ22)</f>
        <v>14857</v>
      </c>
      <c r="AK5" s="161">
        <f t="shared" si="19"/>
        <v>14313</v>
      </c>
      <c r="AL5" s="161">
        <f t="shared" si="19"/>
        <v>13742</v>
      </c>
      <c r="AM5" s="161">
        <f t="shared" si="19"/>
        <v>14198</v>
      </c>
      <c r="AN5" s="161">
        <f t="shared" si="19"/>
        <v>17386</v>
      </c>
      <c r="AO5" s="161">
        <f t="shared" si="19"/>
        <v>19207</v>
      </c>
      <c r="AP5" s="161">
        <f t="shared" si="19"/>
        <v>20644</v>
      </c>
      <c r="AQ5" s="161">
        <f t="shared" si="19"/>
        <v>21360</v>
      </c>
      <c r="AR5" s="161">
        <f t="shared" si="19"/>
        <v>22745</v>
      </c>
      <c r="AS5" s="161">
        <f t="shared" si="19"/>
        <v>22777</v>
      </c>
      <c r="AT5" s="161">
        <f t="shared" si="19"/>
        <v>23120</v>
      </c>
      <c r="AU5" s="161">
        <f t="shared" ref="AU5" si="20">SUM(AU7:AU22)</f>
        <v>0</v>
      </c>
      <c r="AV5" s="161">
        <f t="shared" si="19"/>
        <v>23648</v>
      </c>
      <c r="AW5" s="160">
        <f t="shared" si="19"/>
        <v>14313</v>
      </c>
      <c r="AX5" s="161">
        <f t="shared" si="19"/>
        <v>13697</v>
      </c>
      <c r="AY5" s="161">
        <f t="shared" si="19"/>
        <v>14131</v>
      </c>
      <c r="AZ5" s="161">
        <f t="shared" si="19"/>
        <v>17299</v>
      </c>
      <c r="BA5" s="161">
        <f t="shared" si="19"/>
        <v>19177</v>
      </c>
      <c r="BB5" s="161">
        <f t="shared" si="19"/>
        <v>20763</v>
      </c>
      <c r="BC5" s="161">
        <f t="shared" si="19"/>
        <v>21361</v>
      </c>
      <c r="BD5" s="161">
        <f t="shared" si="19"/>
        <v>22689</v>
      </c>
      <c r="BE5" s="161">
        <f t="shared" si="19"/>
        <v>22602</v>
      </c>
      <c r="BF5" s="161">
        <f t="shared" si="19"/>
        <v>22920</v>
      </c>
      <c r="BG5" s="161">
        <f t="shared" si="19"/>
        <v>0</v>
      </c>
      <c r="BH5" s="161">
        <f t="shared" si="19"/>
        <v>23223</v>
      </c>
      <c r="BI5" s="160">
        <f t="shared" ref="BI5:BO5" si="21">SUM(BI7:BI22)</f>
        <v>24923</v>
      </c>
      <c r="BJ5" s="161">
        <f t="shared" si="21"/>
        <v>25194</v>
      </c>
      <c r="BK5" s="161">
        <f t="shared" si="21"/>
        <v>25982</v>
      </c>
      <c r="BL5" s="161">
        <f t="shared" si="21"/>
        <v>27219</v>
      </c>
      <c r="BM5" s="161">
        <f t="shared" si="21"/>
        <v>27119</v>
      </c>
      <c r="BN5" s="161">
        <f t="shared" si="21"/>
        <v>28146</v>
      </c>
      <c r="BO5" s="161">
        <f t="shared" si="21"/>
        <v>28142</v>
      </c>
      <c r="BP5" s="161">
        <f t="shared" ref="BP5:BQ5" si="22">SUM(BP7:BP22)</f>
        <v>28975</v>
      </c>
      <c r="BQ5" s="161">
        <f t="shared" si="22"/>
        <v>31382</v>
      </c>
      <c r="BR5" s="161">
        <f t="shared" ref="BR5:BS5" si="23">SUM(BR7:BR22)</f>
        <v>32009</v>
      </c>
      <c r="BS5" s="161">
        <f t="shared" si="23"/>
        <v>31898</v>
      </c>
      <c r="BT5" s="161">
        <f t="shared" ref="BT5:BW5" si="24">SUM(BT7:BT22)</f>
        <v>0</v>
      </c>
      <c r="BU5" s="161">
        <f t="shared" si="24"/>
        <v>25670</v>
      </c>
      <c r="BV5" s="55">
        <f t="shared" si="24"/>
        <v>29768</v>
      </c>
      <c r="BW5" s="55">
        <f t="shared" si="24"/>
        <v>29580</v>
      </c>
      <c r="BX5" s="162">
        <f t="shared" si="11"/>
        <v>0.38964713975266951</v>
      </c>
      <c r="BY5" s="163">
        <f t="shared" si="11"/>
        <v>0.37375940184253859</v>
      </c>
      <c r="BZ5" s="163">
        <f t="shared" si="11"/>
        <v>0.37488276797437486</v>
      </c>
      <c r="CA5" s="163">
        <f t="shared" si="11"/>
        <v>0.38148028759232527</v>
      </c>
      <c r="CB5" s="163">
        <f t="shared" si="11"/>
        <v>0.37183952174628421</v>
      </c>
      <c r="CC5" s="163">
        <f t="shared" si="11"/>
        <v>0.37219819891300038</v>
      </c>
      <c r="CD5" s="163">
        <f t="shared" si="11"/>
        <v>0.36143433253705276</v>
      </c>
      <c r="CE5" s="163">
        <f t="shared" si="11"/>
        <v>0.35829108445653518</v>
      </c>
      <c r="CF5" s="163">
        <f t="shared" si="11"/>
        <v>0.36582579502005036</v>
      </c>
      <c r="CG5" s="163">
        <f t="shared" si="11"/>
        <v>0.3525841557983786</v>
      </c>
      <c r="CH5" s="163">
        <f t="shared" si="11"/>
        <v>0.34216877809124358</v>
      </c>
      <c r="CI5" s="163" t="e">
        <f t="shared" si="11"/>
        <v>#DIV/0!</v>
      </c>
      <c r="CJ5" s="163">
        <f t="shared" si="11"/>
        <v>0.27142192522415837</v>
      </c>
      <c r="CK5" s="163">
        <f t="shared" si="12"/>
        <v>0.30678855211221157</v>
      </c>
      <c r="CL5" s="163">
        <f t="shared" si="12"/>
        <v>0.3002222740974555</v>
      </c>
    </row>
    <row r="6" spans="1:90">
      <c r="A6" s="56" t="s">
        <v>244</v>
      </c>
      <c r="B6" s="125">
        <f t="shared" ref="B6:I6" si="25">(B5/B4)*100</f>
        <v>47.749574105621804</v>
      </c>
      <c r="C6" s="2">
        <f t="shared" si="25"/>
        <v>48.904661614235252</v>
      </c>
      <c r="D6" s="2">
        <f t="shared" si="25"/>
        <v>49.200546691037232</v>
      </c>
      <c r="E6" s="2">
        <f t="shared" si="25"/>
        <v>49.408154318281454</v>
      </c>
      <c r="F6" s="2">
        <f t="shared" si="25"/>
        <v>50.195438041797679</v>
      </c>
      <c r="G6" s="57">
        <f t="shared" si="25"/>
        <v>52.275049259286291</v>
      </c>
      <c r="H6" s="2">
        <f t="shared" si="25"/>
        <v>51.60370885162834</v>
      </c>
      <c r="I6" s="2">
        <f t="shared" si="25"/>
        <v>51.734372101650905</v>
      </c>
      <c r="J6" s="57">
        <f t="shared" ref="J6:AA6" si="26">(J5/J4)*100</f>
        <v>51.207151404237351</v>
      </c>
      <c r="K6" s="57">
        <f t="shared" si="26"/>
        <v>52.08447901118182</v>
      </c>
      <c r="L6" s="57">
        <f t="shared" si="26"/>
        <v>53.093707692495343</v>
      </c>
      <c r="M6" s="57">
        <f t="shared" si="26"/>
        <v>53.035884519872425</v>
      </c>
      <c r="N6" s="57">
        <f t="shared" si="26"/>
        <v>53.702809802314746</v>
      </c>
      <c r="O6" s="57">
        <f t="shared" si="26"/>
        <v>53.371239352547761</v>
      </c>
      <c r="P6" s="57">
        <f t="shared" si="26"/>
        <v>53.66467178836821</v>
      </c>
      <c r="Q6" s="57" t="e">
        <f t="shared" si="26"/>
        <v>#DIV/0!</v>
      </c>
      <c r="R6" s="57">
        <f t="shared" si="26"/>
        <v>54.210703466846176</v>
      </c>
      <c r="S6" s="57" t="e">
        <f t="shared" ref="S6:T6" si="27">(S5/S4)*100</f>
        <v>#DIV/0!</v>
      </c>
      <c r="T6" s="57" t="e">
        <f t="shared" si="27"/>
        <v>#DIV/0!</v>
      </c>
      <c r="U6" s="57">
        <f t="shared" si="26"/>
        <v>54.404184741005359</v>
      </c>
      <c r="V6" s="57">
        <f t="shared" si="26"/>
        <v>54.697047153046576</v>
      </c>
      <c r="W6" s="57">
        <f t="shared" si="26"/>
        <v>54.605978474968872</v>
      </c>
      <c r="X6" s="57">
        <f t="shared" si="26"/>
        <v>54.290279627163784</v>
      </c>
      <c r="Y6" s="57">
        <f t="shared" si="26"/>
        <v>53.136907754293162</v>
      </c>
      <c r="Z6" s="57">
        <f t="shared" si="26"/>
        <v>53.155401225889896</v>
      </c>
      <c r="AA6" s="57">
        <f t="shared" si="26"/>
        <v>53.446914834467087</v>
      </c>
      <c r="AB6" s="57">
        <f t="shared" ref="AB6:AC6" si="28">(AB5/AB4)*100</f>
        <v>53.66789217312823</v>
      </c>
      <c r="AC6" s="57">
        <f t="shared" si="28"/>
        <v>55.615056468239047</v>
      </c>
      <c r="AD6" s="57">
        <f t="shared" ref="AD6:AE6" si="29">(AD5/AD4)*100</f>
        <v>53.677687905018686</v>
      </c>
      <c r="AE6" s="57">
        <f t="shared" si="29"/>
        <v>53.270894524508847</v>
      </c>
      <c r="AF6" s="57" t="e">
        <f t="shared" ref="AF6:AI6" si="30">(AF5/AF4)*100</f>
        <v>#DIV/0!</v>
      </c>
      <c r="AG6" s="57">
        <f t="shared" si="30"/>
        <v>53.376376370726973</v>
      </c>
      <c r="AH6" s="57">
        <f t="shared" si="30"/>
        <v>53.739220974861404</v>
      </c>
      <c r="AI6" s="57">
        <f t="shared" si="30"/>
        <v>53.919739067143148</v>
      </c>
      <c r="AJ6" s="164" t="e">
        <f t="shared" ref="AJ6:BH6" si="31">(AJ5/AJ4)*100</f>
        <v>#VALUE!</v>
      </c>
      <c r="AK6" s="165">
        <f t="shared" si="31"/>
        <v>84.717372003551347</v>
      </c>
      <c r="AL6" s="165" t="e">
        <f t="shared" si="31"/>
        <v>#VALUE!</v>
      </c>
      <c r="AM6" s="165" t="e">
        <f t="shared" si="31"/>
        <v>#VALUE!</v>
      </c>
      <c r="AN6" s="165">
        <f t="shared" si="31"/>
        <v>82.782592134082464</v>
      </c>
      <c r="AO6" s="165">
        <f t="shared" si="31"/>
        <v>83.360097218002693</v>
      </c>
      <c r="AP6" s="165">
        <f t="shared" si="31"/>
        <v>84.909307777732081</v>
      </c>
      <c r="AQ6" s="165">
        <f t="shared" si="31"/>
        <v>82.397870616826751</v>
      </c>
      <c r="AR6" s="165">
        <f t="shared" si="31"/>
        <v>83.020038690367556</v>
      </c>
      <c r="AS6" s="165">
        <f t="shared" si="31"/>
        <v>84.119363297263362</v>
      </c>
      <c r="AT6" s="165">
        <f t="shared" si="31"/>
        <v>84.04522156385184</v>
      </c>
      <c r="AU6" s="165" t="e">
        <f t="shared" ref="AU6" si="32">(AU5/AU4)*100</f>
        <v>#DIV/0!</v>
      </c>
      <c r="AV6" s="165">
        <f t="shared" si="31"/>
        <v>82.667971754177444</v>
      </c>
      <c r="AW6" s="164">
        <f t="shared" si="31"/>
        <v>89.967942673958134</v>
      </c>
      <c r="AX6" s="165">
        <f t="shared" si="31"/>
        <v>100</v>
      </c>
      <c r="AY6" s="165">
        <f t="shared" si="31"/>
        <v>100</v>
      </c>
      <c r="AZ6" s="165">
        <f t="shared" si="31"/>
        <v>90.353076360597512</v>
      </c>
      <c r="BA6" s="165">
        <f t="shared" si="31"/>
        <v>88.214729288375722</v>
      </c>
      <c r="BB6" s="165">
        <f t="shared" si="31"/>
        <v>89.130714745653577</v>
      </c>
      <c r="BC6" s="165">
        <f t="shared" si="31"/>
        <v>89.515148975401246</v>
      </c>
      <c r="BD6" s="165">
        <f t="shared" si="31"/>
        <v>90.117964809151204</v>
      </c>
      <c r="BE6" s="165">
        <f t="shared" si="31"/>
        <v>90.18074452380003</v>
      </c>
      <c r="BF6" s="165">
        <f t="shared" si="31"/>
        <v>90.236220472440948</v>
      </c>
      <c r="BG6" s="165" t="e">
        <f t="shared" si="31"/>
        <v>#DIV/0!</v>
      </c>
      <c r="BH6" s="165">
        <f t="shared" si="31"/>
        <v>91.493972106217001</v>
      </c>
      <c r="BI6" s="164">
        <f t="shared" ref="BI6:BO6" si="33">(BI5/BI4)*100</f>
        <v>82.02402501234161</v>
      </c>
      <c r="BJ6" s="165">
        <f t="shared" si="33"/>
        <v>85.577445652173907</v>
      </c>
      <c r="BK6" s="165">
        <f t="shared" si="33"/>
        <v>83.070626978290747</v>
      </c>
      <c r="BL6" s="165">
        <f t="shared" si="33"/>
        <v>83.529736696740926</v>
      </c>
      <c r="BM6" s="165">
        <f t="shared" si="33"/>
        <v>81.475138951479636</v>
      </c>
      <c r="BN6" s="165">
        <f t="shared" si="33"/>
        <v>81.337417639579229</v>
      </c>
      <c r="BO6" s="165">
        <f t="shared" si="33"/>
        <v>80.562235199816783</v>
      </c>
      <c r="BP6" s="165">
        <f t="shared" ref="BP6:BQ6" si="34">(BP5/BP4)*100</f>
        <v>83.711322335538668</v>
      </c>
      <c r="BQ6" s="165">
        <f t="shared" si="34"/>
        <v>85.314267072640277</v>
      </c>
      <c r="BR6" s="165">
        <f t="shared" ref="BR6:BS6" si="35">(BR5/BR4)*100</f>
        <v>85.26865393324276</v>
      </c>
      <c r="BS6" s="165">
        <f t="shared" si="35"/>
        <v>85.724267669981188</v>
      </c>
      <c r="BT6" s="165" t="e">
        <f t="shared" ref="BT6:BW6" si="36">(BT5/BT4)*100</f>
        <v>#DIV/0!</v>
      </c>
      <c r="BU6" s="165">
        <f t="shared" si="36"/>
        <v>89.414469330175208</v>
      </c>
      <c r="BV6" s="57">
        <f t="shared" si="36"/>
        <v>84.695706603693054</v>
      </c>
      <c r="BW6" s="57">
        <f t="shared" si="36"/>
        <v>86.770313875036663</v>
      </c>
      <c r="BX6" s="162"/>
      <c r="BY6" s="163"/>
      <c r="BZ6" s="163"/>
      <c r="CA6" s="163"/>
      <c r="CB6" s="163"/>
      <c r="CC6" s="163"/>
      <c r="CD6" s="163"/>
      <c r="CE6" s="163"/>
      <c r="CF6" s="163"/>
      <c r="CG6" s="163"/>
      <c r="CH6" s="163"/>
      <c r="CI6" s="163"/>
      <c r="CJ6" s="163"/>
      <c r="CK6" s="163"/>
      <c r="CL6" s="163"/>
    </row>
    <row r="7" spans="1:90">
      <c r="A7" s="54" t="s">
        <v>12</v>
      </c>
      <c r="B7" s="124">
        <f>1458+964</f>
        <v>2422</v>
      </c>
      <c r="C7" s="7">
        <v>2730</v>
      </c>
      <c r="D7" s="7">
        <v>2883</v>
      </c>
      <c r="E7" s="7">
        <v>2523</v>
      </c>
      <c r="F7" s="7">
        <f>1623+892</f>
        <v>2515</v>
      </c>
      <c r="G7" s="7">
        <v>2422</v>
      </c>
      <c r="H7" s="7">
        <f>(1602+740)</f>
        <v>2342</v>
      </c>
      <c r="I7" s="7">
        <f>1582+736</f>
        <v>2318</v>
      </c>
      <c r="J7" s="7">
        <v>2718</v>
      </c>
      <c r="K7" s="7">
        <v>3213</v>
      </c>
      <c r="L7" s="7">
        <v>3494</v>
      </c>
      <c r="M7" s="7">
        <v>3647</v>
      </c>
      <c r="N7" s="7">
        <v>3768</v>
      </c>
      <c r="O7" s="7">
        <v>3981</v>
      </c>
      <c r="P7" s="7">
        <v>4070</v>
      </c>
      <c r="Q7" s="7"/>
      <c r="R7" s="7">
        <v>4368</v>
      </c>
      <c r="S7" s="7"/>
      <c r="T7" s="7"/>
      <c r="U7" s="7">
        <v>4771</v>
      </c>
      <c r="V7" s="7">
        <v>5143</v>
      </c>
      <c r="W7" s="7">
        <v>5117</v>
      </c>
      <c r="X7" s="7">
        <v>5168</v>
      </c>
      <c r="Y7" s="7">
        <v>4880</v>
      </c>
      <c r="Z7" s="7">
        <v>5624</v>
      </c>
      <c r="AA7" s="7">
        <v>5488</v>
      </c>
      <c r="AB7" s="7">
        <v>5785</v>
      </c>
      <c r="AC7" s="7">
        <v>5884</v>
      </c>
      <c r="AD7" s="7">
        <v>6376</v>
      </c>
      <c r="AE7" s="7">
        <v>6722</v>
      </c>
      <c r="AF7" s="7"/>
      <c r="AG7" s="7">
        <v>5689</v>
      </c>
      <c r="AH7" s="7">
        <v>5818</v>
      </c>
      <c r="AI7" s="7">
        <v>6073</v>
      </c>
      <c r="AJ7" s="149">
        <v>1383</v>
      </c>
      <c r="AK7" s="166">
        <v>1382</v>
      </c>
      <c r="AL7" s="166">
        <v>1174</v>
      </c>
      <c r="AM7" s="166">
        <v>1074</v>
      </c>
      <c r="AN7" s="166">
        <v>1367</v>
      </c>
      <c r="AO7" s="166">
        <v>1677</v>
      </c>
      <c r="AP7" s="166">
        <v>1809</v>
      </c>
      <c r="AQ7" s="166">
        <v>1969</v>
      </c>
      <c r="AR7" s="166">
        <v>1987</v>
      </c>
      <c r="AS7" s="166">
        <v>2041</v>
      </c>
      <c r="AT7" s="166">
        <v>2043</v>
      </c>
      <c r="AU7" s="166"/>
      <c r="AV7" s="166">
        <v>1912</v>
      </c>
      <c r="AW7" s="149">
        <v>1382</v>
      </c>
      <c r="AX7" s="166">
        <v>1174</v>
      </c>
      <c r="AY7" s="166">
        <v>1074</v>
      </c>
      <c r="AZ7" s="166">
        <v>1367</v>
      </c>
      <c r="BA7" s="166">
        <v>1677</v>
      </c>
      <c r="BB7" s="166">
        <v>1809</v>
      </c>
      <c r="BC7" s="166">
        <v>1969</v>
      </c>
      <c r="BD7" s="166">
        <v>1987</v>
      </c>
      <c r="BE7" s="166">
        <v>2041</v>
      </c>
      <c r="BF7" s="166">
        <v>2040</v>
      </c>
      <c r="BG7" s="166"/>
      <c r="BH7" s="166">
        <v>1907</v>
      </c>
      <c r="BI7" s="149">
        <v>2004</v>
      </c>
      <c r="BJ7" s="166">
        <v>2422</v>
      </c>
      <c r="BK7" s="166">
        <v>2245</v>
      </c>
      <c r="BL7" s="166">
        <v>2255</v>
      </c>
      <c r="BM7" s="166">
        <v>1910</v>
      </c>
      <c r="BN7" s="166">
        <v>2333</v>
      </c>
      <c r="BO7" s="166">
        <v>2022</v>
      </c>
      <c r="BP7" s="166">
        <v>2166</v>
      </c>
      <c r="BQ7" s="166">
        <v>2372</v>
      </c>
      <c r="BR7" s="166">
        <v>2312</v>
      </c>
      <c r="BS7" s="166">
        <v>2449</v>
      </c>
      <c r="BT7" s="166"/>
      <c r="BU7" s="166">
        <v>2023</v>
      </c>
      <c r="BV7" s="7">
        <v>2238</v>
      </c>
      <c r="BW7" s="7">
        <v>2608</v>
      </c>
      <c r="BX7" s="162">
        <f t="shared" ref="BX7:BX23" si="37">BI7/U7</f>
        <v>0.42003772793963529</v>
      </c>
      <c r="BY7" s="163">
        <f t="shared" ref="BY7:BY23" si="38">BJ7/V7</f>
        <v>0.47093136301769395</v>
      </c>
      <c r="BZ7" s="163">
        <f t="shared" ref="BZ7:BZ23" si="39">BK7/W7</f>
        <v>0.43873363298807894</v>
      </c>
      <c r="CA7" s="163">
        <f t="shared" ref="CA7:CA23" si="40">BL7/X7</f>
        <v>0.43633900928792568</v>
      </c>
      <c r="CB7" s="163">
        <f t="shared" ref="CB7:CB23" si="41">BM7/Y7</f>
        <v>0.39139344262295084</v>
      </c>
      <c r="CC7" s="163">
        <f t="shared" ref="CC7:CC23" si="42">BN7/Z7</f>
        <v>0.41482930298719772</v>
      </c>
      <c r="CD7" s="163">
        <f t="shared" ref="CD7:CD23" si="43">BO7/AA7</f>
        <v>0.3684402332361516</v>
      </c>
      <c r="CE7" s="163">
        <f t="shared" ref="CE7:CE23" si="44">BP7/AB7</f>
        <v>0.37441659464131372</v>
      </c>
      <c r="CF7" s="163">
        <f t="shared" ref="CF7:CF23" si="45">BQ7/AC7</f>
        <v>0.40312712440516657</v>
      </c>
      <c r="CG7" s="163">
        <f t="shared" ref="CG7:CG23" si="46">BR7/AD7</f>
        <v>0.36260978670012545</v>
      </c>
      <c r="CH7" s="163">
        <f t="shared" ref="CH7:CH23" si="47">BS7/AE7</f>
        <v>0.364326093424576</v>
      </c>
      <c r="CI7" s="163" t="e">
        <f t="shared" ref="CI7:CI23" si="48">BT7/AF7</f>
        <v>#DIV/0!</v>
      </c>
      <c r="CJ7" s="163">
        <f t="shared" ref="CJ7:CJ23" si="49">BU7/AG7</f>
        <v>0.35559852346633852</v>
      </c>
      <c r="CK7" s="163">
        <f t="shared" ref="CK7:CK23" si="50">BV7/AH7</f>
        <v>0.38466827088346511</v>
      </c>
      <c r="CL7" s="163">
        <f t="shared" ref="CL7:CL23" si="51">BW7/AI7</f>
        <v>0.42944179153630824</v>
      </c>
    </row>
    <row r="8" spans="1:90">
      <c r="A8" s="54" t="s">
        <v>13</v>
      </c>
      <c r="B8" s="124">
        <f>605+183</f>
        <v>788</v>
      </c>
      <c r="C8" s="7">
        <v>842</v>
      </c>
      <c r="D8" s="7">
        <v>843</v>
      </c>
      <c r="E8" s="7">
        <v>814</v>
      </c>
      <c r="F8" s="7">
        <f>585+145</f>
        <v>730</v>
      </c>
      <c r="G8" s="7">
        <v>535</v>
      </c>
      <c r="H8" s="7">
        <f>555+125</f>
        <v>680</v>
      </c>
      <c r="I8" s="7">
        <f>588+125</f>
        <v>713</v>
      </c>
      <c r="J8" s="7">
        <v>790</v>
      </c>
      <c r="K8" s="7">
        <v>802</v>
      </c>
      <c r="L8" s="7">
        <v>854</v>
      </c>
      <c r="M8" s="7">
        <v>854</v>
      </c>
      <c r="N8" s="7">
        <v>954</v>
      </c>
      <c r="O8" s="7">
        <v>981</v>
      </c>
      <c r="P8" s="7">
        <v>969</v>
      </c>
      <c r="Q8" s="7"/>
      <c r="R8" s="7">
        <v>1086</v>
      </c>
      <c r="S8" s="7"/>
      <c r="T8" s="7"/>
      <c r="U8" s="7">
        <v>1406</v>
      </c>
      <c r="V8" s="7">
        <v>1385</v>
      </c>
      <c r="W8" s="7">
        <v>1532</v>
      </c>
      <c r="X8" s="7">
        <v>1500</v>
      </c>
      <c r="Y8" s="7">
        <v>1509</v>
      </c>
      <c r="Z8" s="7">
        <v>1506</v>
      </c>
      <c r="AA8" s="7">
        <v>1543</v>
      </c>
      <c r="AB8" s="7">
        <v>1585</v>
      </c>
      <c r="AC8" s="7">
        <v>1726</v>
      </c>
      <c r="AD8" s="7">
        <v>1871</v>
      </c>
      <c r="AE8" s="7">
        <v>1839</v>
      </c>
      <c r="AF8" s="7"/>
      <c r="AG8" s="7">
        <v>1951</v>
      </c>
      <c r="AH8" s="7">
        <v>1926</v>
      </c>
      <c r="AI8" s="7">
        <v>1977</v>
      </c>
      <c r="AJ8" s="149">
        <v>298</v>
      </c>
      <c r="AK8" s="166">
        <v>208</v>
      </c>
      <c r="AL8" s="166">
        <v>302</v>
      </c>
      <c r="AM8" s="166">
        <v>315</v>
      </c>
      <c r="AN8" s="166">
        <v>363</v>
      </c>
      <c r="AO8" s="166">
        <v>339</v>
      </c>
      <c r="AP8" s="166">
        <v>421</v>
      </c>
      <c r="AQ8" s="166">
        <v>416</v>
      </c>
      <c r="AR8" s="166">
        <v>449</v>
      </c>
      <c r="AS8" s="166">
        <v>445</v>
      </c>
      <c r="AT8" s="166">
        <v>445</v>
      </c>
      <c r="AU8" s="166"/>
      <c r="AV8" s="166">
        <v>442</v>
      </c>
      <c r="AW8" s="149">
        <v>208</v>
      </c>
      <c r="AX8" s="166">
        <v>302</v>
      </c>
      <c r="AY8" s="166">
        <v>315</v>
      </c>
      <c r="AZ8" s="166">
        <v>363</v>
      </c>
      <c r="BA8" s="166">
        <v>339</v>
      </c>
      <c r="BB8" s="166">
        <v>421</v>
      </c>
      <c r="BC8" s="166">
        <v>416</v>
      </c>
      <c r="BD8" s="166">
        <v>449</v>
      </c>
      <c r="BE8" s="166">
        <v>445</v>
      </c>
      <c r="BF8" s="166">
        <v>445</v>
      </c>
      <c r="BG8" s="166"/>
      <c r="BH8" s="166">
        <v>442</v>
      </c>
      <c r="BI8" s="149">
        <v>495</v>
      </c>
      <c r="BJ8" s="166">
        <v>445</v>
      </c>
      <c r="BK8" s="166">
        <v>530</v>
      </c>
      <c r="BL8" s="166">
        <v>505</v>
      </c>
      <c r="BM8" s="166">
        <v>500</v>
      </c>
      <c r="BN8" s="166">
        <v>443</v>
      </c>
      <c r="BO8" s="166">
        <v>487</v>
      </c>
      <c r="BP8" s="166">
        <v>491</v>
      </c>
      <c r="BQ8" s="166">
        <v>511</v>
      </c>
      <c r="BR8" s="166">
        <v>613</v>
      </c>
      <c r="BS8" s="166">
        <v>546</v>
      </c>
      <c r="BT8" s="166"/>
      <c r="BU8" s="166">
        <v>475</v>
      </c>
      <c r="BV8" s="7">
        <v>511</v>
      </c>
      <c r="BW8" s="7">
        <v>484</v>
      </c>
      <c r="BX8" s="162">
        <f t="shared" si="37"/>
        <v>0.35206258890469416</v>
      </c>
      <c r="BY8" s="163">
        <f t="shared" si="38"/>
        <v>0.32129963898916969</v>
      </c>
      <c r="BZ8" s="163">
        <f t="shared" si="39"/>
        <v>0.34595300261096606</v>
      </c>
      <c r="CA8" s="163">
        <f t="shared" si="40"/>
        <v>0.33666666666666667</v>
      </c>
      <c r="CB8" s="163">
        <f t="shared" si="41"/>
        <v>0.3313452617627568</v>
      </c>
      <c r="CC8" s="163">
        <f t="shared" si="42"/>
        <v>0.29415670650730413</v>
      </c>
      <c r="CD8" s="163">
        <f t="shared" si="43"/>
        <v>0.31561892417368764</v>
      </c>
      <c r="CE8" s="163">
        <f t="shared" si="44"/>
        <v>0.30977917981072556</v>
      </c>
      <c r="CF8" s="163">
        <f t="shared" si="45"/>
        <v>0.29606025492468135</v>
      </c>
      <c r="CG8" s="163">
        <f t="shared" si="46"/>
        <v>0.327632282202031</v>
      </c>
      <c r="CH8" s="163">
        <f t="shared" si="47"/>
        <v>0.29690048939641112</v>
      </c>
      <c r="CI8" s="163" t="e">
        <f t="shared" si="48"/>
        <v>#DIV/0!</v>
      </c>
      <c r="CJ8" s="163">
        <f t="shared" si="49"/>
        <v>0.2434648898001025</v>
      </c>
      <c r="CK8" s="163">
        <f t="shared" si="50"/>
        <v>0.26531671858774664</v>
      </c>
      <c r="CL8" s="163">
        <f t="shared" si="51"/>
        <v>0.24481537683358623</v>
      </c>
    </row>
    <row r="9" spans="1:90">
      <c r="A9" s="54" t="s">
        <v>55</v>
      </c>
      <c r="B9" s="124"/>
      <c r="C9" s="7"/>
      <c r="D9" s="7"/>
      <c r="E9" s="7"/>
      <c r="F9" s="7">
        <v>230</v>
      </c>
      <c r="G9" s="7">
        <v>248</v>
      </c>
      <c r="H9" s="7">
        <v>285</v>
      </c>
      <c r="I9" s="7">
        <v>256</v>
      </c>
      <c r="J9" s="7">
        <v>328</v>
      </c>
      <c r="K9" s="7">
        <v>343</v>
      </c>
      <c r="L9" s="7">
        <v>395</v>
      </c>
      <c r="M9" s="7">
        <v>399</v>
      </c>
      <c r="N9" s="7">
        <v>408</v>
      </c>
      <c r="O9" s="7">
        <v>494</v>
      </c>
      <c r="P9" s="7">
        <v>512</v>
      </c>
      <c r="Q9" s="7"/>
      <c r="R9" s="7">
        <v>561</v>
      </c>
      <c r="S9" s="7"/>
      <c r="T9" s="7"/>
      <c r="U9" s="7">
        <v>568</v>
      </c>
      <c r="V9" s="7">
        <v>696</v>
      </c>
      <c r="W9" s="7">
        <v>623</v>
      </c>
      <c r="X9" s="7">
        <v>742</v>
      </c>
      <c r="Y9" s="7">
        <v>713</v>
      </c>
      <c r="Z9" s="7">
        <v>768</v>
      </c>
      <c r="AA9" s="7">
        <v>824</v>
      </c>
      <c r="AB9" s="7">
        <v>765</v>
      </c>
      <c r="AC9" s="7">
        <v>795</v>
      </c>
      <c r="AD9" s="7">
        <v>900</v>
      </c>
      <c r="AE9" s="7">
        <v>928</v>
      </c>
      <c r="AF9" s="7"/>
      <c r="AG9" s="7">
        <v>1009</v>
      </c>
      <c r="AH9" s="7">
        <v>1100</v>
      </c>
      <c r="AI9" s="7">
        <v>1125</v>
      </c>
      <c r="AJ9" s="149">
        <v>138</v>
      </c>
      <c r="AK9" s="166">
        <v>159</v>
      </c>
      <c r="AL9" s="166">
        <v>155</v>
      </c>
      <c r="AM9" s="166">
        <v>128</v>
      </c>
      <c r="AN9" s="166">
        <v>156</v>
      </c>
      <c r="AO9" s="166">
        <v>170</v>
      </c>
      <c r="AP9" s="166">
        <v>192</v>
      </c>
      <c r="AQ9" s="166">
        <v>186</v>
      </c>
      <c r="AR9" s="166">
        <v>212</v>
      </c>
      <c r="AS9" s="166">
        <v>248</v>
      </c>
      <c r="AT9" s="166">
        <v>293</v>
      </c>
      <c r="AU9" s="166"/>
      <c r="AV9" s="166">
        <v>297</v>
      </c>
      <c r="AW9" s="149">
        <v>159</v>
      </c>
      <c r="AX9" s="166">
        <v>155</v>
      </c>
      <c r="AY9" s="166">
        <v>128</v>
      </c>
      <c r="AZ9" s="166">
        <v>156</v>
      </c>
      <c r="BA9" s="166">
        <v>170</v>
      </c>
      <c r="BB9" s="166">
        <v>192</v>
      </c>
      <c r="BC9" s="166">
        <v>186</v>
      </c>
      <c r="BD9" s="166">
        <v>212</v>
      </c>
      <c r="BE9" s="166">
        <v>248</v>
      </c>
      <c r="BF9" s="166">
        <v>293</v>
      </c>
      <c r="BG9" s="166"/>
      <c r="BH9" s="166">
        <v>297</v>
      </c>
      <c r="BI9" s="149">
        <v>268</v>
      </c>
      <c r="BJ9" s="166">
        <v>333</v>
      </c>
      <c r="BK9" s="166">
        <v>292</v>
      </c>
      <c r="BL9" s="166">
        <v>377</v>
      </c>
      <c r="BM9" s="166">
        <v>334</v>
      </c>
      <c r="BN9" s="166">
        <v>364</v>
      </c>
      <c r="BO9" s="166">
        <v>404</v>
      </c>
      <c r="BP9" s="166">
        <v>334</v>
      </c>
      <c r="BQ9" s="166">
        <v>382</v>
      </c>
      <c r="BR9" s="166">
        <v>405</v>
      </c>
      <c r="BS9" s="166">
        <v>394</v>
      </c>
      <c r="BT9" s="166"/>
      <c r="BU9" s="166">
        <v>379</v>
      </c>
      <c r="BV9" s="7">
        <v>519</v>
      </c>
      <c r="BW9" s="7">
        <v>440</v>
      </c>
      <c r="BX9" s="162">
        <f t="shared" si="37"/>
        <v>0.47183098591549294</v>
      </c>
      <c r="BY9" s="163">
        <f t="shared" si="38"/>
        <v>0.47844827586206895</v>
      </c>
      <c r="BZ9" s="163">
        <f t="shared" si="39"/>
        <v>0.46869983948635635</v>
      </c>
      <c r="CA9" s="163">
        <f t="shared" si="40"/>
        <v>0.50808625336927227</v>
      </c>
      <c r="CB9" s="163">
        <f t="shared" si="41"/>
        <v>0.46844319775596072</v>
      </c>
      <c r="CC9" s="163">
        <f t="shared" si="42"/>
        <v>0.47395833333333331</v>
      </c>
      <c r="CD9" s="163">
        <f t="shared" si="43"/>
        <v>0.49029126213592233</v>
      </c>
      <c r="CE9" s="163">
        <f t="shared" si="44"/>
        <v>0.43660130718954249</v>
      </c>
      <c r="CF9" s="163">
        <f t="shared" si="45"/>
        <v>0.48050314465408805</v>
      </c>
      <c r="CG9" s="163">
        <f t="shared" si="46"/>
        <v>0.45</v>
      </c>
      <c r="CH9" s="163">
        <f t="shared" si="47"/>
        <v>0.42456896551724138</v>
      </c>
      <c r="CI9" s="163" t="e">
        <f t="shared" si="48"/>
        <v>#DIV/0!</v>
      </c>
      <c r="CJ9" s="163">
        <f t="shared" si="49"/>
        <v>0.37561942517343905</v>
      </c>
      <c r="CK9" s="163">
        <f t="shared" si="50"/>
        <v>0.4718181818181818</v>
      </c>
      <c r="CL9" s="163">
        <f t="shared" si="51"/>
        <v>0.39111111111111113</v>
      </c>
    </row>
    <row r="10" spans="1:90">
      <c r="A10" s="54" t="s">
        <v>14</v>
      </c>
      <c r="B10" s="124">
        <f>1473+700</f>
        <v>2173</v>
      </c>
      <c r="C10" s="7">
        <v>2531</v>
      </c>
      <c r="D10" s="7">
        <v>2761</v>
      </c>
      <c r="E10" s="7">
        <v>2265</v>
      </c>
      <c r="F10" s="7">
        <f>1397+941</f>
        <v>2338</v>
      </c>
      <c r="G10" s="7">
        <v>2248</v>
      </c>
      <c r="H10" s="7">
        <f>1317+879</f>
        <v>2196</v>
      </c>
      <c r="I10" s="7">
        <f>1443+876</f>
        <v>2319</v>
      </c>
      <c r="J10" s="7">
        <v>3329</v>
      </c>
      <c r="K10" s="7">
        <v>3710</v>
      </c>
      <c r="L10" s="7">
        <v>4253</v>
      </c>
      <c r="M10" s="7">
        <v>4628</v>
      </c>
      <c r="N10" s="7">
        <v>5022</v>
      </c>
      <c r="O10" s="7">
        <v>5300</v>
      </c>
      <c r="P10" s="7">
        <v>5516</v>
      </c>
      <c r="Q10" s="7"/>
      <c r="R10" s="7">
        <v>6378</v>
      </c>
      <c r="S10" s="7"/>
      <c r="T10" s="7"/>
      <c r="U10" s="7">
        <v>8100</v>
      </c>
      <c r="V10" s="7">
        <v>8925</v>
      </c>
      <c r="W10" s="7">
        <v>9315</v>
      </c>
      <c r="X10" s="7">
        <v>9755</v>
      </c>
      <c r="Y10" s="7">
        <v>10234</v>
      </c>
      <c r="Z10" s="7">
        <v>10799</v>
      </c>
      <c r="AA10" s="7">
        <v>11045</v>
      </c>
      <c r="AB10" s="7">
        <v>11486</v>
      </c>
      <c r="AC10" s="7">
        <v>12007</v>
      </c>
      <c r="AD10" s="7">
        <v>12902</v>
      </c>
      <c r="AE10" s="7">
        <v>13383</v>
      </c>
      <c r="AF10" s="7"/>
      <c r="AG10" s="7">
        <v>13509</v>
      </c>
      <c r="AH10" s="7">
        <v>14469</v>
      </c>
      <c r="AI10" s="7">
        <v>14438</v>
      </c>
      <c r="AJ10" s="149">
        <v>960</v>
      </c>
      <c r="AK10" s="166">
        <v>877</v>
      </c>
      <c r="AL10" s="166">
        <v>688</v>
      </c>
      <c r="AM10" s="166">
        <v>702</v>
      </c>
      <c r="AN10" s="166">
        <v>1243</v>
      </c>
      <c r="AO10" s="166">
        <v>1302</v>
      </c>
      <c r="AP10" s="166">
        <v>1495</v>
      </c>
      <c r="AQ10" s="166">
        <v>1727</v>
      </c>
      <c r="AR10" s="166">
        <v>1733</v>
      </c>
      <c r="AS10" s="166">
        <v>1703</v>
      </c>
      <c r="AT10" s="166">
        <v>1638</v>
      </c>
      <c r="AU10" s="166"/>
      <c r="AV10" s="166">
        <v>1797</v>
      </c>
      <c r="AW10" s="149">
        <v>877</v>
      </c>
      <c r="AX10" s="166">
        <v>688</v>
      </c>
      <c r="AY10" s="166">
        <v>702</v>
      </c>
      <c r="AZ10" s="166">
        <v>1243</v>
      </c>
      <c r="BA10" s="166">
        <v>1302</v>
      </c>
      <c r="BB10" s="166">
        <v>1495</v>
      </c>
      <c r="BC10" s="166">
        <v>1727</v>
      </c>
      <c r="BD10" s="166">
        <v>1733</v>
      </c>
      <c r="BE10" s="166">
        <v>1703</v>
      </c>
      <c r="BF10" s="166">
        <v>1638</v>
      </c>
      <c r="BG10" s="166"/>
      <c r="BH10" s="166">
        <v>1797</v>
      </c>
      <c r="BI10" s="149">
        <v>2215</v>
      </c>
      <c r="BJ10" s="166">
        <v>2173</v>
      </c>
      <c r="BK10" s="166">
        <v>2071</v>
      </c>
      <c r="BL10" s="166">
        <v>1943</v>
      </c>
      <c r="BM10" s="166">
        <v>2328</v>
      </c>
      <c r="BN10" s="166">
        <v>2263</v>
      </c>
      <c r="BO10" s="166">
        <v>2367</v>
      </c>
      <c r="BP10" s="166">
        <v>2214</v>
      </c>
      <c r="BQ10" s="166">
        <v>2250</v>
      </c>
      <c r="BR10" s="166">
        <v>2354</v>
      </c>
      <c r="BS10" s="166">
        <v>2327</v>
      </c>
      <c r="BT10" s="166"/>
      <c r="BU10" s="166">
        <v>2170</v>
      </c>
      <c r="BV10" s="7">
        <v>2660</v>
      </c>
      <c r="BW10" s="7">
        <v>2237</v>
      </c>
      <c r="BX10" s="162">
        <f t="shared" si="37"/>
        <v>0.27345679012345681</v>
      </c>
      <c r="BY10" s="163">
        <f t="shared" si="38"/>
        <v>0.24347338935574231</v>
      </c>
      <c r="BZ10" s="163">
        <f t="shared" si="39"/>
        <v>0.22232957595276437</v>
      </c>
      <c r="CA10" s="163">
        <f t="shared" si="40"/>
        <v>0.19917990773962072</v>
      </c>
      <c r="CB10" s="163">
        <f t="shared" si="41"/>
        <v>0.22747703732655852</v>
      </c>
      <c r="CC10" s="163">
        <f t="shared" si="42"/>
        <v>0.20955644041114918</v>
      </c>
      <c r="CD10" s="163">
        <f t="shared" si="43"/>
        <v>0.21430511543684924</v>
      </c>
      <c r="CE10" s="163">
        <f t="shared" si="44"/>
        <v>0.19275639909454989</v>
      </c>
      <c r="CF10" s="163">
        <f t="shared" si="45"/>
        <v>0.18739068876488715</v>
      </c>
      <c r="CG10" s="163">
        <f t="shared" si="46"/>
        <v>0.1824523329716323</v>
      </c>
      <c r="CH10" s="163">
        <f t="shared" si="47"/>
        <v>0.17387730703130838</v>
      </c>
      <c r="CI10" s="163" t="e">
        <f t="shared" si="48"/>
        <v>#DIV/0!</v>
      </c>
      <c r="CJ10" s="163">
        <f t="shared" si="49"/>
        <v>0.16063365163964763</v>
      </c>
      <c r="CK10" s="163">
        <f t="shared" si="50"/>
        <v>0.18384131591678762</v>
      </c>
      <c r="CL10" s="163">
        <f t="shared" si="51"/>
        <v>0.15493835711317358</v>
      </c>
    </row>
    <row r="11" spans="1:90">
      <c r="A11" s="54" t="s">
        <v>15</v>
      </c>
      <c r="B11" s="124">
        <f>1226+993</f>
        <v>2219</v>
      </c>
      <c r="C11" s="7">
        <v>2397</v>
      </c>
      <c r="D11" s="7">
        <v>2309</v>
      </c>
      <c r="E11" s="7">
        <v>2333</v>
      </c>
      <c r="F11" s="7">
        <f>1358+1150</f>
        <v>2508</v>
      </c>
      <c r="G11" s="7">
        <v>2621</v>
      </c>
      <c r="H11" s="7">
        <f>1596+1244</f>
        <v>2840</v>
      </c>
      <c r="I11" s="7">
        <f>1722+1396</f>
        <v>3118</v>
      </c>
      <c r="J11" s="7">
        <v>3784</v>
      </c>
      <c r="K11" s="7">
        <v>4138</v>
      </c>
      <c r="L11" s="7">
        <v>4698</v>
      </c>
      <c r="M11" s="7">
        <v>4796</v>
      </c>
      <c r="N11" s="7">
        <v>5379</v>
      </c>
      <c r="O11" s="7">
        <v>5453</v>
      </c>
      <c r="P11" s="7">
        <v>6134</v>
      </c>
      <c r="Q11" s="7"/>
      <c r="R11" s="7">
        <v>6482</v>
      </c>
      <c r="S11" s="7"/>
      <c r="T11" s="7"/>
      <c r="U11" s="7">
        <v>7121</v>
      </c>
      <c r="V11" s="7">
        <v>7772</v>
      </c>
      <c r="W11" s="7">
        <v>8181</v>
      </c>
      <c r="X11" s="7">
        <v>8423</v>
      </c>
      <c r="Y11" s="7">
        <v>8552</v>
      </c>
      <c r="Z11" s="7">
        <v>8788</v>
      </c>
      <c r="AA11" s="7">
        <v>9033</v>
      </c>
      <c r="AB11" s="7">
        <v>9498</v>
      </c>
      <c r="AC11" s="7">
        <v>10299</v>
      </c>
      <c r="AD11" s="7">
        <v>11078</v>
      </c>
      <c r="AE11" s="7">
        <v>11452</v>
      </c>
      <c r="AF11" s="7"/>
      <c r="AG11" s="7">
        <v>12024</v>
      </c>
      <c r="AH11" s="7">
        <v>12495</v>
      </c>
      <c r="AI11" s="7">
        <v>12666</v>
      </c>
      <c r="AJ11" s="149">
        <v>1319</v>
      </c>
      <c r="AK11" s="166">
        <v>1421</v>
      </c>
      <c r="AL11" s="166">
        <v>1441</v>
      </c>
      <c r="AM11" s="166">
        <v>1611</v>
      </c>
      <c r="AN11" s="166">
        <v>2036</v>
      </c>
      <c r="AO11" s="166">
        <v>2251</v>
      </c>
      <c r="AP11" s="166">
        <v>2604</v>
      </c>
      <c r="AQ11" s="166">
        <v>2546</v>
      </c>
      <c r="AR11" s="166">
        <v>2848</v>
      </c>
      <c r="AS11" s="166">
        <v>2670</v>
      </c>
      <c r="AT11" s="166">
        <v>2847</v>
      </c>
      <c r="AU11" s="166"/>
      <c r="AV11" s="166">
        <v>2859</v>
      </c>
      <c r="AW11" s="149">
        <v>1332</v>
      </c>
      <c r="AX11" s="166">
        <v>1353</v>
      </c>
      <c r="AY11" s="166">
        <v>1448</v>
      </c>
      <c r="AZ11" s="166">
        <v>1839</v>
      </c>
      <c r="BA11" s="166">
        <v>2070</v>
      </c>
      <c r="BB11" s="166">
        <v>2421</v>
      </c>
      <c r="BC11" s="166">
        <v>2359</v>
      </c>
      <c r="BD11" s="166">
        <v>2659</v>
      </c>
      <c r="BE11" s="166">
        <v>2484</v>
      </c>
      <c r="BF11" s="166">
        <v>2659</v>
      </c>
      <c r="BG11" s="166"/>
      <c r="BH11" s="166">
        <v>2506</v>
      </c>
      <c r="BI11" s="149">
        <v>2753</v>
      </c>
      <c r="BJ11" s="166">
        <v>2755</v>
      </c>
      <c r="BK11" s="166">
        <v>3417</v>
      </c>
      <c r="BL11" s="166">
        <v>3826</v>
      </c>
      <c r="BM11" s="166">
        <v>3973</v>
      </c>
      <c r="BN11" s="166">
        <v>4175</v>
      </c>
      <c r="BO11" s="166">
        <v>4029</v>
      </c>
      <c r="BP11" s="166">
        <v>4326</v>
      </c>
      <c r="BQ11" s="166">
        <v>4527</v>
      </c>
      <c r="BR11" s="166">
        <v>4834</v>
      </c>
      <c r="BS11" s="166">
        <v>4658</v>
      </c>
      <c r="BT11" s="166"/>
      <c r="BU11" s="166">
        <v>2957</v>
      </c>
      <c r="BV11" s="7">
        <v>4396</v>
      </c>
      <c r="BW11" s="7">
        <v>4344</v>
      </c>
      <c r="BX11" s="162">
        <f t="shared" si="37"/>
        <v>0.38660300519589946</v>
      </c>
      <c r="BY11" s="163">
        <f t="shared" si="38"/>
        <v>0.35447761194029853</v>
      </c>
      <c r="BZ11" s="163">
        <f t="shared" si="39"/>
        <v>0.41767510084341769</v>
      </c>
      <c r="CA11" s="163">
        <f t="shared" si="40"/>
        <v>0.45423245874391549</v>
      </c>
      <c r="CB11" s="163">
        <f t="shared" si="41"/>
        <v>0.46456969130028064</v>
      </c>
      <c r="CC11" s="163">
        <f t="shared" si="42"/>
        <v>0.47507965407373692</v>
      </c>
      <c r="CD11" s="163">
        <f t="shared" si="43"/>
        <v>0.44603121886416475</v>
      </c>
      <c r="CE11" s="163">
        <f t="shared" si="44"/>
        <v>0.45546430827542639</v>
      </c>
      <c r="CF11" s="163">
        <f t="shared" si="45"/>
        <v>0.43955723856685114</v>
      </c>
      <c r="CG11" s="163">
        <f t="shared" si="46"/>
        <v>0.43636035385448635</v>
      </c>
      <c r="CH11" s="163">
        <f t="shared" si="47"/>
        <v>0.4067411805798114</v>
      </c>
      <c r="CI11" s="163" t="e">
        <f t="shared" si="48"/>
        <v>#DIV/0!</v>
      </c>
      <c r="CJ11" s="163">
        <f t="shared" si="49"/>
        <v>0.24592481703260147</v>
      </c>
      <c r="CK11" s="163">
        <f t="shared" si="50"/>
        <v>0.35182072829131655</v>
      </c>
      <c r="CL11" s="163">
        <f t="shared" si="51"/>
        <v>0.34296541923259116</v>
      </c>
    </row>
    <row r="12" spans="1:90">
      <c r="A12" s="54" t="s">
        <v>16</v>
      </c>
      <c r="B12" s="124">
        <f>489+86</f>
        <v>575</v>
      </c>
      <c r="C12" s="7">
        <v>494</v>
      </c>
      <c r="D12" s="7">
        <v>508</v>
      </c>
      <c r="E12" s="7">
        <v>520</v>
      </c>
      <c r="F12" s="7">
        <f>361+47</f>
        <v>408</v>
      </c>
      <c r="G12" s="7">
        <v>468</v>
      </c>
      <c r="H12" s="7">
        <f>398+74</f>
        <v>472</v>
      </c>
      <c r="I12" s="7">
        <f>425+68</f>
        <v>493</v>
      </c>
      <c r="J12" s="7">
        <v>563</v>
      </c>
      <c r="K12" s="7">
        <v>660</v>
      </c>
      <c r="L12" s="7">
        <v>649</v>
      </c>
      <c r="M12" s="7">
        <v>710</v>
      </c>
      <c r="N12" s="7">
        <v>720</v>
      </c>
      <c r="O12" s="7">
        <v>759</v>
      </c>
      <c r="P12" s="7">
        <v>794</v>
      </c>
      <c r="Q12" s="7"/>
      <c r="R12" s="7">
        <v>827</v>
      </c>
      <c r="S12" s="7"/>
      <c r="T12" s="7"/>
      <c r="U12" s="7">
        <v>1006</v>
      </c>
      <c r="V12" s="7">
        <v>1137</v>
      </c>
      <c r="W12" s="7">
        <v>1136</v>
      </c>
      <c r="X12" s="7">
        <v>1207</v>
      </c>
      <c r="Y12" s="7">
        <v>1301</v>
      </c>
      <c r="Z12" s="7">
        <v>1222</v>
      </c>
      <c r="AA12" s="7">
        <v>1284</v>
      </c>
      <c r="AB12" s="7">
        <v>1429</v>
      </c>
      <c r="AC12" s="7">
        <v>1518</v>
      </c>
      <c r="AD12" s="7">
        <v>1567</v>
      </c>
      <c r="AE12" s="7">
        <v>1589</v>
      </c>
      <c r="AF12" s="7"/>
      <c r="AG12" s="7">
        <v>1698</v>
      </c>
      <c r="AH12" s="7">
        <v>1718</v>
      </c>
      <c r="AI12" s="7">
        <v>1791</v>
      </c>
      <c r="AJ12" s="187" t="s">
        <v>261</v>
      </c>
      <c r="AK12" s="146" t="s">
        <v>261</v>
      </c>
      <c r="AL12" s="146" t="s">
        <v>261</v>
      </c>
      <c r="AM12" s="146" t="s">
        <v>261</v>
      </c>
      <c r="AN12" s="146" t="s">
        <v>261</v>
      </c>
      <c r="AO12" s="146" t="s">
        <v>261</v>
      </c>
      <c r="AP12" s="146" t="s">
        <v>261</v>
      </c>
      <c r="AQ12" s="146" t="s">
        <v>261</v>
      </c>
      <c r="AR12" s="146" t="s">
        <v>261</v>
      </c>
      <c r="AS12" s="166">
        <v>113</v>
      </c>
      <c r="AT12" s="166">
        <v>137</v>
      </c>
      <c r="AU12" s="166"/>
      <c r="AV12" s="166">
        <v>142</v>
      </c>
      <c r="AW12" s="149">
        <v>71</v>
      </c>
      <c r="AX12" s="166">
        <v>62</v>
      </c>
      <c r="AY12" s="166">
        <v>75</v>
      </c>
      <c r="AZ12" s="166">
        <v>97</v>
      </c>
      <c r="BA12" s="166">
        <v>122</v>
      </c>
      <c r="BB12" s="166">
        <v>120</v>
      </c>
      <c r="BC12" s="166">
        <v>141</v>
      </c>
      <c r="BD12" s="166">
        <v>121</v>
      </c>
      <c r="BE12" s="166">
        <v>113</v>
      </c>
      <c r="BF12" s="166">
        <v>137</v>
      </c>
      <c r="BG12" s="166"/>
      <c r="BH12" s="166">
        <v>142</v>
      </c>
      <c r="BI12" s="149">
        <v>146</v>
      </c>
      <c r="BJ12" s="166">
        <v>143</v>
      </c>
      <c r="BK12" s="166">
        <v>145</v>
      </c>
      <c r="BL12" s="166">
        <v>143</v>
      </c>
      <c r="BM12" s="166">
        <v>134</v>
      </c>
      <c r="BN12" s="166">
        <v>142</v>
      </c>
      <c r="BO12" s="166">
        <v>125</v>
      </c>
      <c r="BP12" s="166">
        <v>132</v>
      </c>
      <c r="BQ12" s="166">
        <v>140</v>
      </c>
      <c r="BR12" s="166">
        <v>146</v>
      </c>
      <c r="BS12" s="166">
        <v>116</v>
      </c>
      <c r="BT12" s="166"/>
      <c r="BU12" s="166">
        <v>139</v>
      </c>
      <c r="BV12" s="7">
        <v>153</v>
      </c>
      <c r="BW12" s="7">
        <v>175</v>
      </c>
      <c r="BX12" s="162">
        <f t="shared" si="37"/>
        <v>0.14512922465208747</v>
      </c>
      <c r="BY12" s="163">
        <f t="shared" si="38"/>
        <v>0.12576956904133685</v>
      </c>
      <c r="BZ12" s="163">
        <f t="shared" si="39"/>
        <v>0.12764084507042253</v>
      </c>
      <c r="CA12" s="163">
        <f t="shared" si="40"/>
        <v>0.11847555923777962</v>
      </c>
      <c r="CB12" s="163">
        <f t="shared" si="41"/>
        <v>0.10299769408147579</v>
      </c>
      <c r="CC12" s="163">
        <f t="shared" si="42"/>
        <v>0.11620294599018004</v>
      </c>
      <c r="CD12" s="163">
        <f t="shared" si="43"/>
        <v>9.7352024922118377E-2</v>
      </c>
      <c r="CE12" s="163">
        <f t="shared" si="44"/>
        <v>9.2372288313505954E-2</v>
      </c>
      <c r="CF12" s="163">
        <f t="shared" si="45"/>
        <v>9.22266139657444E-2</v>
      </c>
      <c r="CG12" s="163">
        <f t="shared" si="46"/>
        <v>9.3171665603063183E-2</v>
      </c>
      <c r="CH12" s="163">
        <f t="shared" si="47"/>
        <v>7.3001887979861554E-2</v>
      </c>
      <c r="CI12" s="163" t="e">
        <f t="shared" si="48"/>
        <v>#DIV/0!</v>
      </c>
      <c r="CJ12" s="163">
        <f t="shared" si="49"/>
        <v>8.1861012956419316E-2</v>
      </c>
      <c r="CK12" s="163">
        <f t="shared" si="50"/>
        <v>8.9057043073341099E-2</v>
      </c>
      <c r="CL12" s="163">
        <f t="shared" si="51"/>
        <v>9.7710776102735902E-2</v>
      </c>
    </row>
    <row r="13" spans="1:90">
      <c r="A13" s="54" t="s">
        <v>17</v>
      </c>
      <c r="B13" s="124">
        <f>2405+512</f>
        <v>2917</v>
      </c>
      <c r="C13" s="7">
        <v>2937</v>
      </c>
      <c r="D13" s="7">
        <v>2827</v>
      </c>
      <c r="E13" s="7">
        <v>2779</v>
      </c>
      <c r="F13" s="7">
        <f>2184+518</f>
        <v>2702</v>
      </c>
      <c r="G13" s="7">
        <v>2786</v>
      </c>
      <c r="H13" s="7">
        <f>2358+541</f>
        <v>2899</v>
      </c>
      <c r="I13" s="7">
        <f>2379+587</f>
        <v>2966</v>
      </c>
      <c r="J13" s="7">
        <v>3303</v>
      </c>
      <c r="K13" s="7">
        <v>3765</v>
      </c>
      <c r="L13" s="7">
        <v>3963</v>
      </c>
      <c r="M13" s="7">
        <v>3929</v>
      </c>
      <c r="N13" s="7">
        <v>4281</v>
      </c>
      <c r="O13" s="7">
        <v>4145</v>
      </c>
      <c r="P13" s="7">
        <v>4462</v>
      </c>
      <c r="Q13" s="7"/>
      <c r="R13" s="7">
        <v>4693</v>
      </c>
      <c r="S13" s="7"/>
      <c r="T13" s="7"/>
      <c r="U13" s="7">
        <v>4841</v>
      </c>
      <c r="V13" s="7">
        <v>5109</v>
      </c>
      <c r="W13" s="7">
        <v>4930</v>
      </c>
      <c r="X13" s="7">
        <v>4577</v>
      </c>
      <c r="Y13" s="7">
        <v>4455</v>
      </c>
      <c r="Z13" s="7">
        <v>4619</v>
      </c>
      <c r="AA13" s="7">
        <v>4655</v>
      </c>
      <c r="AB13" s="7">
        <v>4571</v>
      </c>
      <c r="AC13" s="7">
        <v>4852</v>
      </c>
      <c r="AD13" s="7">
        <v>4751</v>
      </c>
      <c r="AE13" s="7">
        <v>4909</v>
      </c>
      <c r="AF13" s="7"/>
      <c r="AG13" s="7">
        <v>4694</v>
      </c>
      <c r="AH13" s="7">
        <v>4892</v>
      </c>
      <c r="AI13" s="7">
        <v>4700</v>
      </c>
      <c r="AJ13" s="149">
        <v>1685</v>
      </c>
      <c r="AK13" s="166">
        <v>1796</v>
      </c>
      <c r="AL13" s="166">
        <v>1817</v>
      </c>
      <c r="AM13" s="166">
        <v>1843</v>
      </c>
      <c r="AN13" s="166">
        <v>2098</v>
      </c>
      <c r="AO13" s="166">
        <v>2529</v>
      </c>
      <c r="AP13" s="166">
        <v>2690</v>
      </c>
      <c r="AQ13" s="166">
        <v>2607</v>
      </c>
      <c r="AR13" s="166">
        <v>2839</v>
      </c>
      <c r="AS13" s="166">
        <v>2760</v>
      </c>
      <c r="AT13" s="166">
        <v>3002</v>
      </c>
      <c r="AU13" s="166"/>
      <c r="AV13" s="166">
        <v>2787</v>
      </c>
      <c r="AW13" s="149">
        <v>1796</v>
      </c>
      <c r="AX13" s="166">
        <v>1817</v>
      </c>
      <c r="AY13" s="166">
        <v>1843</v>
      </c>
      <c r="AZ13" s="166">
        <v>2098</v>
      </c>
      <c r="BA13" s="166">
        <v>2529</v>
      </c>
      <c r="BB13" s="166">
        <v>2690</v>
      </c>
      <c r="BC13" s="166">
        <v>2607</v>
      </c>
      <c r="BD13" s="166">
        <v>2839</v>
      </c>
      <c r="BE13" s="166">
        <v>2760</v>
      </c>
      <c r="BF13" s="166">
        <v>3002</v>
      </c>
      <c r="BG13" s="166"/>
      <c r="BH13" s="166">
        <v>2787</v>
      </c>
      <c r="BI13" s="149">
        <v>2561</v>
      </c>
      <c r="BJ13" s="166">
        <v>2679</v>
      </c>
      <c r="BK13" s="166">
        <v>2624</v>
      </c>
      <c r="BL13" s="166">
        <v>2364</v>
      </c>
      <c r="BM13" s="166">
        <v>2110</v>
      </c>
      <c r="BN13" s="166">
        <v>2192</v>
      </c>
      <c r="BO13" s="166">
        <v>2161</v>
      </c>
      <c r="BP13" s="166">
        <v>2060</v>
      </c>
      <c r="BQ13" s="166">
        <v>2242</v>
      </c>
      <c r="BR13" s="166">
        <v>2130</v>
      </c>
      <c r="BS13" s="166">
        <v>2166</v>
      </c>
      <c r="BT13" s="166"/>
      <c r="BU13" s="166">
        <v>1962</v>
      </c>
      <c r="BV13" s="7">
        <v>1926</v>
      </c>
      <c r="BW13" s="7">
        <v>1939</v>
      </c>
      <c r="BX13" s="162">
        <f t="shared" si="37"/>
        <v>0.52902292914687044</v>
      </c>
      <c r="BY13" s="163">
        <f t="shared" si="38"/>
        <v>0.52436876100998242</v>
      </c>
      <c r="BZ13" s="163">
        <f t="shared" si="39"/>
        <v>0.53225152129817443</v>
      </c>
      <c r="CA13" s="163">
        <f t="shared" si="40"/>
        <v>0.51649552108367924</v>
      </c>
      <c r="CB13" s="163">
        <f t="shared" si="41"/>
        <v>0.47362514029180697</v>
      </c>
      <c r="CC13" s="163">
        <f t="shared" si="42"/>
        <v>0.47456159341848886</v>
      </c>
      <c r="CD13" s="163">
        <f t="shared" si="43"/>
        <v>0.46423200859291086</v>
      </c>
      <c r="CE13" s="163">
        <f t="shared" si="44"/>
        <v>0.4506672500546926</v>
      </c>
      <c r="CF13" s="163">
        <f t="shared" si="45"/>
        <v>0.46207749381698271</v>
      </c>
      <c r="CG13" s="163">
        <f t="shared" si="46"/>
        <v>0.44832666806988003</v>
      </c>
      <c r="CH13" s="163">
        <f t="shared" si="47"/>
        <v>0.44123039315542878</v>
      </c>
      <c r="CI13" s="163" t="e">
        <f t="shared" si="48"/>
        <v>#DIV/0!</v>
      </c>
      <c r="CJ13" s="163">
        <f t="shared" si="49"/>
        <v>0.41798040051129098</v>
      </c>
      <c r="CK13" s="163">
        <f t="shared" si="50"/>
        <v>0.3937040065412919</v>
      </c>
      <c r="CL13" s="163">
        <f t="shared" si="51"/>
        <v>0.4125531914893617</v>
      </c>
    </row>
    <row r="14" spans="1:90">
      <c r="A14" s="54" t="s">
        <v>18</v>
      </c>
      <c r="B14" s="124">
        <f>1745+109</f>
        <v>1854</v>
      </c>
      <c r="C14" s="7">
        <v>1727</v>
      </c>
      <c r="D14" s="7">
        <v>1896</v>
      </c>
      <c r="E14" s="7">
        <v>1955</v>
      </c>
      <c r="F14" s="7">
        <f>1595+167</f>
        <v>1762</v>
      </c>
      <c r="G14" s="7">
        <v>1877</v>
      </c>
      <c r="H14" s="7">
        <f>1870+218</f>
        <v>2088</v>
      </c>
      <c r="I14" s="7">
        <f>1895+237</f>
        <v>2132</v>
      </c>
      <c r="J14" s="7">
        <v>2657</v>
      </c>
      <c r="K14" s="7">
        <v>2737</v>
      </c>
      <c r="L14" s="7">
        <v>3051</v>
      </c>
      <c r="M14" s="7">
        <v>3274</v>
      </c>
      <c r="N14" s="7">
        <v>3320</v>
      </c>
      <c r="O14" s="7">
        <v>3615</v>
      </c>
      <c r="P14" s="7">
        <v>3845</v>
      </c>
      <c r="Q14" s="7"/>
      <c r="R14" s="7">
        <v>4360</v>
      </c>
      <c r="S14" s="7"/>
      <c r="T14" s="7"/>
      <c r="U14" s="7">
        <v>4721</v>
      </c>
      <c r="V14" s="7">
        <v>4795</v>
      </c>
      <c r="W14" s="7">
        <v>4871</v>
      </c>
      <c r="X14" s="7">
        <v>5065</v>
      </c>
      <c r="Y14" s="7">
        <v>5086</v>
      </c>
      <c r="Z14" s="7">
        <v>5107</v>
      </c>
      <c r="AA14" s="7">
        <v>5273</v>
      </c>
      <c r="AB14" s="7">
        <v>5354</v>
      </c>
      <c r="AC14" s="7">
        <v>5817</v>
      </c>
      <c r="AD14" s="7">
        <v>6442</v>
      </c>
      <c r="AE14" s="7">
        <v>6745</v>
      </c>
      <c r="AF14" s="7"/>
      <c r="AG14" s="7">
        <v>6931</v>
      </c>
      <c r="AH14" s="7">
        <v>7155</v>
      </c>
      <c r="AI14" s="7">
        <v>7228</v>
      </c>
      <c r="AJ14" s="149">
        <v>794</v>
      </c>
      <c r="AK14" s="166">
        <v>770</v>
      </c>
      <c r="AL14" s="166">
        <v>846</v>
      </c>
      <c r="AM14" s="166">
        <v>855</v>
      </c>
      <c r="AN14" s="166">
        <v>1083</v>
      </c>
      <c r="AO14" s="166">
        <v>1162</v>
      </c>
      <c r="AP14" s="166">
        <v>1310</v>
      </c>
      <c r="AQ14" s="166">
        <v>1495</v>
      </c>
      <c r="AR14" s="166">
        <v>1560</v>
      </c>
      <c r="AS14" s="166">
        <v>1651</v>
      </c>
      <c r="AT14" s="166">
        <v>1729</v>
      </c>
      <c r="AU14" s="166"/>
      <c r="AV14" s="166">
        <v>2010</v>
      </c>
      <c r="AW14" s="149">
        <v>738</v>
      </c>
      <c r="AX14" s="166">
        <v>800</v>
      </c>
      <c r="AY14" s="166">
        <v>810</v>
      </c>
      <c r="AZ14" s="166">
        <v>1049</v>
      </c>
      <c r="BA14" s="166">
        <v>1125</v>
      </c>
      <c r="BB14" s="166">
        <v>1275</v>
      </c>
      <c r="BC14" s="166">
        <v>1470</v>
      </c>
      <c r="BD14" s="166">
        <v>1508</v>
      </c>
      <c r="BE14" s="166">
        <v>1595</v>
      </c>
      <c r="BF14" s="166">
        <v>1661</v>
      </c>
      <c r="BG14" s="166"/>
      <c r="BH14" s="166">
        <v>1886</v>
      </c>
      <c r="BI14" s="149">
        <v>2206</v>
      </c>
      <c r="BJ14" s="166">
        <v>2156</v>
      </c>
      <c r="BK14" s="166">
        <v>2156</v>
      </c>
      <c r="BL14" s="166">
        <v>2279</v>
      </c>
      <c r="BM14" s="166">
        <v>2303</v>
      </c>
      <c r="BN14" s="166">
        <v>2221</v>
      </c>
      <c r="BO14" s="166">
        <v>2336</v>
      </c>
      <c r="BP14" s="166">
        <v>2254</v>
      </c>
      <c r="BQ14" s="166">
        <v>2541</v>
      </c>
      <c r="BR14" s="166">
        <v>2769</v>
      </c>
      <c r="BS14" s="166">
        <v>2900</v>
      </c>
      <c r="BT14" s="166"/>
      <c r="BU14" s="166">
        <v>2272</v>
      </c>
      <c r="BV14" s="7">
        <v>2459</v>
      </c>
      <c r="BW14" s="7">
        <v>2613</v>
      </c>
      <c r="BX14" s="162">
        <f t="shared" si="37"/>
        <v>0.4672738826519805</v>
      </c>
      <c r="BY14" s="163">
        <f t="shared" si="38"/>
        <v>0.44963503649635034</v>
      </c>
      <c r="BZ14" s="163">
        <f t="shared" si="39"/>
        <v>0.44261958530075962</v>
      </c>
      <c r="CA14" s="163">
        <f t="shared" si="40"/>
        <v>0.44995064165844029</v>
      </c>
      <c r="CB14" s="163">
        <f t="shared" si="41"/>
        <v>0.45281163979551708</v>
      </c>
      <c r="CC14" s="163">
        <f t="shared" si="42"/>
        <v>0.43489328372821617</v>
      </c>
      <c r="CD14" s="163">
        <f t="shared" si="43"/>
        <v>0.44301156836715344</v>
      </c>
      <c r="CE14" s="163">
        <f t="shared" si="44"/>
        <v>0.42099364960776992</v>
      </c>
      <c r="CF14" s="163">
        <f t="shared" si="45"/>
        <v>0.43682310469314078</v>
      </c>
      <c r="CG14" s="163">
        <f t="shared" si="46"/>
        <v>0.42983545482769325</v>
      </c>
      <c r="CH14" s="163">
        <f t="shared" si="47"/>
        <v>0.42994810971089698</v>
      </c>
      <c r="CI14" s="163" t="e">
        <f t="shared" si="48"/>
        <v>#DIV/0!</v>
      </c>
      <c r="CJ14" s="163">
        <f t="shared" si="49"/>
        <v>0.32780262588371084</v>
      </c>
      <c r="CK14" s="163">
        <f t="shared" si="50"/>
        <v>0.34367575122292104</v>
      </c>
      <c r="CL14" s="163">
        <f t="shared" si="51"/>
        <v>0.36151079136690645</v>
      </c>
    </row>
    <row r="15" spans="1:90">
      <c r="A15" s="54" t="s">
        <v>19</v>
      </c>
      <c r="B15" s="124">
        <f>1762+337</f>
        <v>2099</v>
      </c>
      <c r="C15" s="7">
        <v>2230</v>
      </c>
      <c r="D15" s="7">
        <v>2218</v>
      </c>
      <c r="E15" s="7">
        <v>1980</v>
      </c>
      <c r="F15" s="7">
        <f>1728+251</f>
        <v>1979</v>
      </c>
      <c r="G15" s="7">
        <v>2004</v>
      </c>
      <c r="H15" s="7">
        <f>1549+252</f>
        <v>1801</v>
      </c>
      <c r="I15" s="7">
        <f>1580+272</f>
        <v>1852</v>
      </c>
      <c r="J15" s="7">
        <v>2117</v>
      </c>
      <c r="K15" s="7">
        <v>2362</v>
      </c>
      <c r="L15" s="7">
        <v>2480</v>
      </c>
      <c r="M15" s="7">
        <v>2539</v>
      </c>
      <c r="N15" s="7">
        <v>2457</v>
      </c>
      <c r="O15" s="7">
        <v>2669</v>
      </c>
      <c r="P15" s="7">
        <v>2711</v>
      </c>
      <c r="Q15" s="7"/>
      <c r="R15" s="7">
        <v>2986</v>
      </c>
      <c r="S15" s="7"/>
      <c r="T15" s="7"/>
      <c r="U15" s="7">
        <v>3377</v>
      </c>
      <c r="V15" s="7">
        <v>3406</v>
      </c>
      <c r="W15" s="7">
        <v>3375</v>
      </c>
      <c r="X15" s="7">
        <v>3567</v>
      </c>
      <c r="Y15" s="7">
        <v>3708</v>
      </c>
      <c r="Z15" s="7">
        <v>3790</v>
      </c>
      <c r="AA15" s="7">
        <v>3749</v>
      </c>
      <c r="AB15" s="7">
        <v>3963</v>
      </c>
      <c r="AC15" s="7">
        <v>3999</v>
      </c>
      <c r="AD15" s="7">
        <v>4230</v>
      </c>
      <c r="AE15" s="7">
        <v>4307</v>
      </c>
      <c r="AF15" s="7"/>
      <c r="AG15" s="7">
        <v>4219</v>
      </c>
      <c r="AH15" s="7">
        <v>4331</v>
      </c>
      <c r="AI15" s="7">
        <v>4474</v>
      </c>
      <c r="AJ15" s="149">
        <v>1326</v>
      </c>
      <c r="AK15" s="166">
        <v>1283</v>
      </c>
      <c r="AL15" s="166">
        <v>1182</v>
      </c>
      <c r="AM15" s="166">
        <v>1151</v>
      </c>
      <c r="AN15" s="166">
        <v>1328</v>
      </c>
      <c r="AO15" s="166">
        <v>1443</v>
      </c>
      <c r="AP15" s="166">
        <v>1590</v>
      </c>
      <c r="AQ15" s="166">
        <v>1555</v>
      </c>
      <c r="AR15" s="166">
        <v>1489</v>
      </c>
      <c r="AS15" s="166">
        <v>1606</v>
      </c>
      <c r="AT15" s="166">
        <v>1544</v>
      </c>
      <c r="AU15" s="166"/>
      <c r="AV15" s="166">
        <v>1613</v>
      </c>
      <c r="AW15" s="149">
        <v>1283</v>
      </c>
      <c r="AX15" s="166">
        <v>1182</v>
      </c>
      <c r="AY15" s="166">
        <v>1151</v>
      </c>
      <c r="AZ15" s="166">
        <v>1327</v>
      </c>
      <c r="BA15" s="166">
        <v>1443</v>
      </c>
      <c r="BB15" s="166">
        <v>1590</v>
      </c>
      <c r="BC15" s="166">
        <v>1555</v>
      </c>
      <c r="BD15" s="166">
        <v>1489</v>
      </c>
      <c r="BE15" s="166">
        <v>1606</v>
      </c>
      <c r="BF15" s="166">
        <v>1544</v>
      </c>
      <c r="BG15" s="166"/>
      <c r="BH15" s="166">
        <v>1613</v>
      </c>
      <c r="BI15" s="149">
        <v>1652</v>
      </c>
      <c r="BJ15" s="166">
        <v>1592</v>
      </c>
      <c r="BK15" s="166">
        <v>1642</v>
      </c>
      <c r="BL15" s="166">
        <v>1839</v>
      </c>
      <c r="BM15" s="166">
        <v>1946</v>
      </c>
      <c r="BN15" s="166">
        <v>1861</v>
      </c>
      <c r="BO15" s="166">
        <v>1777</v>
      </c>
      <c r="BP15" s="166">
        <v>2009</v>
      </c>
      <c r="BQ15" s="166">
        <v>2043</v>
      </c>
      <c r="BR15" s="166">
        <v>2112</v>
      </c>
      <c r="BS15" s="166">
        <v>1990</v>
      </c>
      <c r="BT15" s="166"/>
      <c r="BU15" s="166">
        <v>1736</v>
      </c>
      <c r="BV15" s="7">
        <v>2015</v>
      </c>
      <c r="BW15" s="7">
        <v>2067</v>
      </c>
      <c r="BX15" s="162">
        <f t="shared" si="37"/>
        <v>0.48919159016878888</v>
      </c>
      <c r="BY15" s="163">
        <f t="shared" si="38"/>
        <v>0.46741045214327659</v>
      </c>
      <c r="BZ15" s="163">
        <f t="shared" si="39"/>
        <v>0.48651851851851852</v>
      </c>
      <c r="CA15" s="163">
        <f t="shared" si="40"/>
        <v>0.51555929352396968</v>
      </c>
      <c r="CB15" s="163">
        <f t="shared" si="41"/>
        <v>0.52481121898597627</v>
      </c>
      <c r="CC15" s="163">
        <f t="shared" si="42"/>
        <v>0.49102902374670182</v>
      </c>
      <c r="CD15" s="163">
        <f t="shared" si="43"/>
        <v>0.47399306481728459</v>
      </c>
      <c r="CE15" s="163">
        <f t="shared" si="44"/>
        <v>0.50693918748422917</v>
      </c>
      <c r="CF15" s="163">
        <f t="shared" si="45"/>
        <v>0.51087771942985749</v>
      </c>
      <c r="CG15" s="163">
        <f t="shared" si="46"/>
        <v>0.49929078014184397</v>
      </c>
      <c r="CH15" s="163">
        <f t="shared" si="47"/>
        <v>0.46203854190852101</v>
      </c>
      <c r="CI15" s="163" t="e">
        <f t="shared" si="48"/>
        <v>#DIV/0!</v>
      </c>
      <c r="CJ15" s="163">
        <f t="shared" si="49"/>
        <v>0.41147191277553924</v>
      </c>
      <c r="CK15" s="163">
        <f t="shared" si="50"/>
        <v>0.46525051951050567</v>
      </c>
      <c r="CL15" s="163">
        <f t="shared" si="51"/>
        <v>0.46200268216361196</v>
      </c>
    </row>
    <row r="16" spans="1:90">
      <c r="A16" s="54" t="s">
        <v>20</v>
      </c>
      <c r="B16" s="124">
        <f>2577+1123</f>
        <v>3700</v>
      </c>
      <c r="C16" s="7">
        <v>3858</v>
      </c>
      <c r="D16" s="7">
        <v>3907</v>
      </c>
      <c r="E16" s="7">
        <v>3624</v>
      </c>
      <c r="F16" s="7">
        <f>2461+1225</f>
        <v>3686</v>
      </c>
      <c r="G16" s="7">
        <v>3536</v>
      </c>
      <c r="H16" s="7">
        <f>2666+1285</f>
        <v>3951</v>
      </c>
      <c r="I16" s="7">
        <f>2697+1158</f>
        <v>3855</v>
      </c>
      <c r="J16" s="7">
        <v>4693</v>
      </c>
      <c r="K16" s="7">
        <v>4823</v>
      </c>
      <c r="L16" s="7">
        <v>5193</v>
      </c>
      <c r="M16" s="7">
        <v>5145</v>
      </c>
      <c r="N16" s="7">
        <v>5653</v>
      </c>
      <c r="O16" s="7">
        <v>5797</v>
      </c>
      <c r="P16" s="7">
        <v>6011</v>
      </c>
      <c r="Q16" s="7"/>
      <c r="R16" s="7">
        <v>6411</v>
      </c>
      <c r="S16" s="7"/>
      <c r="T16" s="7"/>
      <c r="U16" s="7">
        <v>7068</v>
      </c>
      <c r="V16" s="7">
        <v>7239</v>
      </c>
      <c r="W16" s="7">
        <v>7409</v>
      </c>
      <c r="X16" s="7">
        <v>7629</v>
      </c>
      <c r="Y16" s="7">
        <v>8130</v>
      </c>
      <c r="Z16" s="7">
        <v>8420</v>
      </c>
      <c r="AA16" s="7">
        <v>8832</v>
      </c>
      <c r="AB16" s="7">
        <v>9117</v>
      </c>
      <c r="AC16" s="7">
        <v>9831</v>
      </c>
      <c r="AD16" s="7">
        <v>10150</v>
      </c>
      <c r="AE16" s="7">
        <v>10372</v>
      </c>
      <c r="AF16" s="7"/>
      <c r="AG16" s="7">
        <v>10060</v>
      </c>
      <c r="AH16" s="7">
        <v>9923</v>
      </c>
      <c r="AI16" s="7">
        <v>10141</v>
      </c>
      <c r="AJ16" s="149">
        <v>2388</v>
      </c>
      <c r="AK16" s="166">
        <v>2202</v>
      </c>
      <c r="AL16" s="166">
        <v>2370</v>
      </c>
      <c r="AM16" s="166">
        <v>2320</v>
      </c>
      <c r="AN16" s="166">
        <v>2899</v>
      </c>
      <c r="AO16" s="166">
        <v>3009</v>
      </c>
      <c r="AP16" s="166">
        <v>3084</v>
      </c>
      <c r="AQ16" s="166">
        <v>3037</v>
      </c>
      <c r="AR16" s="166">
        <v>3457</v>
      </c>
      <c r="AS16" s="166">
        <v>3562</v>
      </c>
      <c r="AT16" s="166">
        <v>3531</v>
      </c>
      <c r="AU16" s="166"/>
      <c r="AV16" s="166">
        <v>3420</v>
      </c>
      <c r="AW16" s="149">
        <v>2202</v>
      </c>
      <c r="AX16" s="166">
        <v>2370</v>
      </c>
      <c r="AY16" s="166">
        <v>2320</v>
      </c>
      <c r="AZ16" s="166">
        <v>2899</v>
      </c>
      <c r="BA16" s="166">
        <v>3009</v>
      </c>
      <c r="BB16" s="166">
        <v>3084</v>
      </c>
      <c r="BC16" s="166">
        <v>3037</v>
      </c>
      <c r="BD16" s="166">
        <v>3457</v>
      </c>
      <c r="BE16" s="166">
        <v>3562</v>
      </c>
      <c r="BF16" s="166">
        <v>3531</v>
      </c>
      <c r="BG16" s="166"/>
      <c r="BH16" s="166">
        <v>3420</v>
      </c>
      <c r="BI16" s="149">
        <v>3612</v>
      </c>
      <c r="BJ16" s="166">
        <v>3566</v>
      </c>
      <c r="BK16" s="166">
        <v>3613</v>
      </c>
      <c r="BL16" s="166">
        <v>3888</v>
      </c>
      <c r="BM16" s="166">
        <v>4122</v>
      </c>
      <c r="BN16" s="166">
        <v>4402</v>
      </c>
      <c r="BO16" s="166">
        <v>4697</v>
      </c>
      <c r="BP16" s="166">
        <v>4847</v>
      </c>
      <c r="BQ16" s="166">
        <v>5299</v>
      </c>
      <c r="BR16" s="166">
        <v>5268</v>
      </c>
      <c r="BS16" s="166">
        <v>5360</v>
      </c>
      <c r="BT16" s="166"/>
      <c r="BU16" s="166">
        <v>4342</v>
      </c>
      <c r="BV16" s="7">
        <v>4762</v>
      </c>
      <c r="BW16" s="7">
        <v>4436</v>
      </c>
      <c r="BX16" s="162">
        <f t="shared" si="37"/>
        <v>0.51103565365025472</v>
      </c>
      <c r="BY16" s="163">
        <f t="shared" si="38"/>
        <v>0.49260947644702308</v>
      </c>
      <c r="BZ16" s="163">
        <f t="shared" si="39"/>
        <v>0.48765015521662841</v>
      </c>
      <c r="CA16" s="163">
        <f t="shared" si="40"/>
        <v>0.50963429020841522</v>
      </c>
      <c r="CB16" s="163">
        <f t="shared" si="41"/>
        <v>0.50701107011070112</v>
      </c>
      <c r="CC16" s="163">
        <f t="shared" si="42"/>
        <v>0.52280285035629459</v>
      </c>
      <c r="CD16" s="163">
        <f t="shared" si="43"/>
        <v>0.53181612318840576</v>
      </c>
      <c r="CE16" s="163">
        <f t="shared" si="44"/>
        <v>0.53164418119995616</v>
      </c>
      <c r="CF16" s="163">
        <f t="shared" si="45"/>
        <v>0.53900925643372999</v>
      </c>
      <c r="CG16" s="163">
        <f t="shared" si="46"/>
        <v>0.51901477832512311</v>
      </c>
      <c r="CH16" s="163">
        <f t="shared" si="47"/>
        <v>0.51677593521018128</v>
      </c>
      <c r="CI16" s="163" t="e">
        <f t="shared" si="48"/>
        <v>#DIV/0!</v>
      </c>
      <c r="CJ16" s="163">
        <f t="shared" si="49"/>
        <v>0.43161033797216702</v>
      </c>
      <c r="CK16" s="163">
        <f t="shared" si="50"/>
        <v>0.47989519298599215</v>
      </c>
      <c r="CL16" s="163">
        <f t="shared" si="51"/>
        <v>0.43743220589685433</v>
      </c>
    </row>
    <row r="17" spans="1:90">
      <c r="A17" s="54" t="s">
        <v>21</v>
      </c>
      <c r="B17" s="124"/>
      <c r="C17" s="7"/>
      <c r="D17" s="7"/>
      <c r="E17" s="7"/>
      <c r="F17" s="7">
        <f>514+65</f>
        <v>579</v>
      </c>
      <c r="G17" s="7">
        <v>608</v>
      </c>
      <c r="H17" s="7">
        <f>573+65</f>
        <v>638</v>
      </c>
      <c r="I17" s="7">
        <f>532+68</f>
        <v>600</v>
      </c>
      <c r="J17" s="7">
        <v>704</v>
      </c>
      <c r="K17" s="7">
        <v>854</v>
      </c>
      <c r="L17" s="7">
        <v>943</v>
      </c>
      <c r="M17" s="7">
        <v>836</v>
      </c>
      <c r="N17" s="7">
        <v>824</v>
      </c>
      <c r="O17" s="7">
        <v>874</v>
      </c>
      <c r="P17" s="7">
        <v>868</v>
      </c>
      <c r="Q17" s="7"/>
      <c r="R17" s="7">
        <v>904</v>
      </c>
      <c r="S17" s="7"/>
      <c r="T17" s="7"/>
      <c r="U17" s="7">
        <v>1217</v>
      </c>
      <c r="V17" s="7">
        <v>1217</v>
      </c>
      <c r="W17" s="7">
        <v>1222</v>
      </c>
      <c r="X17" s="7">
        <v>1292</v>
      </c>
      <c r="Y17" s="7">
        <v>1135</v>
      </c>
      <c r="Z17" s="7">
        <v>1257</v>
      </c>
      <c r="AA17" s="7">
        <v>1432</v>
      </c>
      <c r="AB17" s="7">
        <v>1441</v>
      </c>
      <c r="AC17" s="7">
        <v>1408</v>
      </c>
      <c r="AD17" s="7">
        <v>1370</v>
      </c>
      <c r="AE17" s="7">
        <v>1407</v>
      </c>
      <c r="AF17" s="7"/>
      <c r="AG17" s="7">
        <v>1445</v>
      </c>
      <c r="AH17" s="7">
        <v>1421</v>
      </c>
      <c r="AI17" s="7">
        <v>1413</v>
      </c>
      <c r="AJ17" s="149">
        <v>107</v>
      </c>
      <c r="AK17" s="166">
        <v>128</v>
      </c>
      <c r="AL17" s="166">
        <v>142</v>
      </c>
      <c r="AM17" s="166">
        <v>133</v>
      </c>
      <c r="AN17" s="166">
        <v>160</v>
      </c>
      <c r="AO17" s="166">
        <v>230</v>
      </c>
      <c r="AP17" s="166">
        <v>175</v>
      </c>
      <c r="AQ17" s="166">
        <v>163</v>
      </c>
      <c r="AR17" s="166">
        <v>224</v>
      </c>
      <c r="AS17" s="166">
        <v>240</v>
      </c>
      <c r="AT17" s="166">
        <v>210</v>
      </c>
      <c r="AU17" s="166"/>
      <c r="AV17" s="166">
        <v>177</v>
      </c>
      <c r="AW17" s="149">
        <v>128</v>
      </c>
      <c r="AX17" s="166">
        <v>142</v>
      </c>
      <c r="AY17" s="166">
        <v>133</v>
      </c>
      <c r="AZ17" s="166">
        <v>160</v>
      </c>
      <c r="BA17" s="166">
        <v>230</v>
      </c>
      <c r="BB17" s="166">
        <v>175</v>
      </c>
      <c r="BC17" s="166">
        <v>163</v>
      </c>
      <c r="BD17" s="166">
        <v>224</v>
      </c>
      <c r="BE17" s="166">
        <v>240</v>
      </c>
      <c r="BF17" s="166">
        <v>210</v>
      </c>
      <c r="BG17" s="166"/>
      <c r="BH17" s="166">
        <v>177</v>
      </c>
      <c r="BI17" s="149">
        <v>238</v>
      </c>
      <c r="BJ17" s="166">
        <v>233</v>
      </c>
      <c r="BK17" s="166">
        <v>215</v>
      </c>
      <c r="BL17" s="166">
        <v>238</v>
      </c>
      <c r="BM17" s="166">
        <v>112</v>
      </c>
      <c r="BN17" s="166">
        <v>213</v>
      </c>
      <c r="BO17" s="166">
        <v>263</v>
      </c>
      <c r="BP17" s="166">
        <v>256</v>
      </c>
      <c r="BQ17" s="166">
        <v>222</v>
      </c>
      <c r="BR17" s="166">
        <v>244</v>
      </c>
      <c r="BS17" s="166">
        <v>224</v>
      </c>
      <c r="BT17" s="166"/>
      <c r="BU17" s="166">
        <v>208</v>
      </c>
      <c r="BV17" s="7">
        <v>186</v>
      </c>
      <c r="BW17" s="7">
        <v>187</v>
      </c>
      <c r="BX17" s="162">
        <f t="shared" si="37"/>
        <v>0.19556285949055052</v>
      </c>
      <c r="BY17" s="163">
        <f t="shared" si="38"/>
        <v>0.19145439605587511</v>
      </c>
      <c r="BZ17" s="163">
        <f t="shared" si="39"/>
        <v>0.17594108019639934</v>
      </c>
      <c r="CA17" s="163">
        <f t="shared" si="40"/>
        <v>0.18421052631578946</v>
      </c>
      <c r="CB17" s="163">
        <f t="shared" si="41"/>
        <v>9.86784140969163E-2</v>
      </c>
      <c r="CC17" s="163">
        <f t="shared" si="42"/>
        <v>0.16945107398568018</v>
      </c>
      <c r="CD17" s="163">
        <f t="shared" si="43"/>
        <v>0.18365921787709497</v>
      </c>
      <c r="CE17" s="163">
        <f t="shared" si="44"/>
        <v>0.17765440666204024</v>
      </c>
      <c r="CF17" s="163">
        <f t="shared" si="45"/>
        <v>0.15767045454545456</v>
      </c>
      <c r="CG17" s="163">
        <f t="shared" si="46"/>
        <v>0.17810218978102191</v>
      </c>
      <c r="CH17" s="163">
        <f t="shared" si="47"/>
        <v>0.15920398009950248</v>
      </c>
      <c r="CI17" s="163" t="e">
        <f t="shared" si="48"/>
        <v>#DIV/0!</v>
      </c>
      <c r="CJ17" s="163">
        <f t="shared" si="49"/>
        <v>0.1439446366782007</v>
      </c>
      <c r="CK17" s="163">
        <f t="shared" si="50"/>
        <v>0.13089373680506686</v>
      </c>
      <c r="CL17" s="163">
        <f t="shared" si="51"/>
        <v>0.13234253361641896</v>
      </c>
    </row>
    <row r="18" spans="1:90">
      <c r="A18" s="54" t="s">
        <v>22</v>
      </c>
      <c r="B18" s="124">
        <f>826+814</f>
        <v>1640</v>
      </c>
      <c r="C18" s="7">
        <v>1839</v>
      </c>
      <c r="D18" s="7">
        <v>1928</v>
      </c>
      <c r="E18" s="7">
        <v>1850</v>
      </c>
      <c r="F18" s="7">
        <f>1212+595</f>
        <v>1807</v>
      </c>
      <c r="G18" s="7">
        <v>1867</v>
      </c>
      <c r="H18" s="7">
        <f>1170+674</f>
        <v>1844</v>
      </c>
      <c r="I18" s="7">
        <f>1230+650</f>
        <v>1880</v>
      </c>
      <c r="J18" s="7">
        <v>2094</v>
      </c>
      <c r="K18" s="7">
        <v>2354</v>
      </c>
      <c r="L18" s="7">
        <v>2421</v>
      </c>
      <c r="M18" s="7">
        <v>2658</v>
      </c>
      <c r="N18" s="7">
        <v>2768</v>
      </c>
      <c r="O18" s="7">
        <v>2823</v>
      </c>
      <c r="P18" s="7">
        <v>2886</v>
      </c>
      <c r="Q18" s="7"/>
      <c r="R18" s="7">
        <v>3324</v>
      </c>
      <c r="S18" s="7"/>
      <c r="T18" s="7"/>
      <c r="U18" s="7">
        <v>3760</v>
      </c>
      <c r="V18" s="7">
        <v>3833</v>
      </c>
      <c r="W18" s="7">
        <v>4111</v>
      </c>
      <c r="X18" s="7">
        <v>4105</v>
      </c>
      <c r="Y18" s="7">
        <v>4054</v>
      </c>
      <c r="Z18" s="7">
        <v>3990</v>
      </c>
      <c r="AA18" s="7">
        <v>4046</v>
      </c>
      <c r="AB18" s="7">
        <v>4166</v>
      </c>
      <c r="AC18" s="7">
        <v>4501</v>
      </c>
      <c r="AD18" s="7">
        <v>4538</v>
      </c>
      <c r="AE18" s="7">
        <v>4650</v>
      </c>
      <c r="AF18" s="7"/>
      <c r="AG18" s="7">
        <v>4630</v>
      </c>
      <c r="AH18" s="7">
        <v>4594</v>
      </c>
      <c r="AI18" s="7">
        <v>4705</v>
      </c>
      <c r="AJ18" s="149">
        <v>943</v>
      </c>
      <c r="AK18" s="166">
        <v>948</v>
      </c>
      <c r="AL18" s="166">
        <v>925</v>
      </c>
      <c r="AM18" s="166">
        <v>863</v>
      </c>
      <c r="AN18" s="166">
        <v>1002</v>
      </c>
      <c r="AO18" s="166">
        <v>1136</v>
      </c>
      <c r="AP18" s="166">
        <v>1037</v>
      </c>
      <c r="AQ18" s="166">
        <v>1148</v>
      </c>
      <c r="AR18" s="166">
        <v>1184</v>
      </c>
      <c r="AS18" s="166">
        <v>1153</v>
      </c>
      <c r="AT18" s="166">
        <v>1164</v>
      </c>
      <c r="AU18" s="166"/>
      <c r="AV18" s="166">
        <v>1454</v>
      </c>
      <c r="AW18" s="149">
        <v>948</v>
      </c>
      <c r="AX18" s="166">
        <v>925</v>
      </c>
      <c r="AY18" s="166">
        <v>863</v>
      </c>
      <c r="AZ18" s="166">
        <v>1002</v>
      </c>
      <c r="BA18" s="166">
        <v>1136</v>
      </c>
      <c r="BB18" s="166">
        <v>1037</v>
      </c>
      <c r="BC18" s="166">
        <v>1148</v>
      </c>
      <c r="BD18" s="166">
        <v>1184</v>
      </c>
      <c r="BE18" s="166">
        <v>1153</v>
      </c>
      <c r="BF18" s="166">
        <v>1164</v>
      </c>
      <c r="BG18" s="166"/>
      <c r="BH18" s="166">
        <v>1454</v>
      </c>
      <c r="BI18" s="149">
        <v>1523</v>
      </c>
      <c r="BJ18" s="166">
        <v>1524</v>
      </c>
      <c r="BK18" s="166">
        <v>1480</v>
      </c>
      <c r="BL18" s="166">
        <v>1738</v>
      </c>
      <c r="BM18" s="166">
        <v>1384</v>
      </c>
      <c r="BN18" s="166">
        <v>1424</v>
      </c>
      <c r="BO18" s="166">
        <v>1399</v>
      </c>
      <c r="BP18" s="166">
        <v>1737</v>
      </c>
      <c r="BQ18" s="166">
        <v>2007</v>
      </c>
      <c r="BR18" s="166">
        <v>2053</v>
      </c>
      <c r="BS18" s="166">
        <v>2091</v>
      </c>
      <c r="BT18" s="166"/>
      <c r="BU18" s="166">
        <v>1454</v>
      </c>
      <c r="BV18" s="7">
        <v>1594</v>
      </c>
      <c r="BW18" s="7">
        <v>1526</v>
      </c>
      <c r="BX18" s="162">
        <f t="shared" si="37"/>
        <v>0.4050531914893617</v>
      </c>
      <c r="BY18" s="163">
        <f t="shared" si="38"/>
        <v>0.39759979128619882</v>
      </c>
      <c r="BZ18" s="163">
        <f t="shared" si="39"/>
        <v>0.36000972999270253</v>
      </c>
      <c r="CA18" s="163">
        <f t="shared" si="40"/>
        <v>0.42338611449451891</v>
      </c>
      <c r="CB18" s="163">
        <f t="shared" si="41"/>
        <v>0.34139121854958066</v>
      </c>
      <c r="CC18" s="163">
        <f t="shared" si="42"/>
        <v>0.35689223057644109</v>
      </c>
      <c r="CD18" s="163">
        <f t="shared" si="43"/>
        <v>0.34577360355907066</v>
      </c>
      <c r="CE18" s="163">
        <f t="shared" si="44"/>
        <v>0.41694671147383583</v>
      </c>
      <c r="CF18" s="163">
        <f t="shared" si="45"/>
        <v>0.44590091090868694</v>
      </c>
      <c r="CG18" s="163">
        <f t="shared" si="46"/>
        <v>0.45240193918025562</v>
      </c>
      <c r="CH18" s="163">
        <f t="shared" si="47"/>
        <v>0.44967741935483874</v>
      </c>
      <c r="CI18" s="163" t="e">
        <f t="shared" si="48"/>
        <v>#DIV/0!</v>
      </c>
      <c r="CJ18" s="163">
        <f t="shared" si="49"/>
        <v>0.31403887688984883</v>
      </c>
      <c r="CK18" s="163">
        <f t="shared" si="50"/>
        <v>0.34697431432303005</v>
      </c>
      <c r="CL18" s="163">
        <f t="shared" si="51"/>
        <v>0.32433581296493091</v>
      </c>
    </row>
    <row r="19" spans="1:90">
      <c r="A19" s="54" t="s">
        <v>23</v>
      </c>
      <c r="B19" s="124">
        <f>1018+859</f>
        <v>1877</v>
      </c>
      <c r="C19" s="7">
        <v>1908</v>
      </c>
      <c r="D19" s="7">
        <v>1821</v>
      </c>
      <c r="E19" s="7">
        <v>1839</v>
      </c>
      <c r="F19" s="7">
        <f>1170+556</f>
        <v>1726</v>
      </c>
      <c r="G19" s="7">
        <v>1576</v>
      </c>
      <c r="H19" s="7">
        <f>1135+377</f>
        <v>1512</v>
      </c>
      <c r="I19" s="7">
        <f>1119+513</f>
        <v>1632</v>
      </c>
      <c r="J19" s="7">
        <v>1773</v>
      </c>
      <c r="K19" s="7">
        <v>1894</v>
      </c>
      <c r="L19" s="7">
        <v>2116</v>
      </c>
      <c r="M19" s="7">
        <v>2233</v>
      </c>
      <c r="N19" s="7">
        <v>2378</v>
      </c>
      <c r="O19" s="7">
        <v>2421</v>
      </c>
      <c r="P19" s="7">
        <v>2517</v>
      </c>
      <c r="Q19" s="7"/>
      <c r="R19" s="7">
        <v>2827</v>
      </c>
      <c r="S19" s="7"/>
      <c r="T19" s="7"/>
      <c r="U19" s="7">
        <v>3230</v>
      </c>
      <c r="V19" s="7">
        <v>3497</v>
      </c>
      <c r="W19" s="7">
        <v>3738</v>
      </c>
      <c r="X19" s="7">
        <v>3873</v>
      </c>
      <c r="Y19" s="7">
        <v>4043</v>
      </c>
      <c r="Z19" s="7">
        <v>4065</v>
      </c>
      <c r="AA19" s="7">
        <v>4240</v>
      </c>
      <c r="AB19" s="7">
        <v>4508</v>
      </c>
      <c r="AC19" s="7">
        <v>4727</v>
      </c>
      <c r="AD19" s="7">
        <v>4754</v>
      </c>
      <c r="AE19" s="7">
        <v>4884</v>
      </c>
      <c r="AF19" s="7"/>
      <c r="AG19" s="7">
        <v>5059</v>
      </c>
      <c r="AH19" s="7">
        <v>5211</v>
      </c>
      <c r="AI19" s="7">
        <v>5402</v>
      </c>
      <c r="AJ19" s="149">
        <v>778</v>
      </c>
      <c r="AK19" s="166">
        <v>686</v>
      </c>
      <c r="AL19" s="166">
        <v>573</v>
      </c>
      <c r="AM19" s="166">
        <v>619</v>
      </c>
      <c r="AN19" s="166">
        <v>647</v>
      </c>
      <c r="AO19" s="166">
        <v>696</v>
      </c>
      <c r="AP19" s="166">
        <v>657</v>
      </c>
      <c r="AQ19" s="166">
        <v>902</v>
      </c>
      <c r="AR19" s="166">
        <v>956</v>
      </c>
      <c r="AS19" s="166">
        <v>917</v>
      </c>
      <c r="AT19" s="166">
        <v>929</v>
      </c>
      <c r="AU19" s="166"/>
      <c r="AV19" s="166">
        <v>1118</v>
      </c>
      <c r="AW19" s="149">
        <v>667</v>
      </c>
      <c r="AX19" s="166">
        <v>550</v>
      </c>
      <c r="AY19" s="166">
        <v>619</v>
      </c>
      <c r="AZ19" s="166">
        <v>647</v>
      </c>
      <c r="BA19" s="166">
        <v>696</v>
      </c>
      <c r="BB19" s="166">
        <v>821</v>
      </c>
      <c r="BC19" s="166">
        <v>902</v>
      </c>
      <c r="BD19" s="166">
        <v>956</v>
      </c>
      <c r="BE19" s="166">
        <v>917</v>
      </c>
      <c r="BF19" s="166">
        <v>929</v>
      </c>
      <c r="BG19" s="166"/>
      <c r="BH19" s="166">
        <v>1108</v>
      </c>
      <c r="BI19" s="149">
        <v>1213</v>
      </c>
      <c r="BJ19" s="166">
        <v>1302</v>
      </c>
      <c r="BK19" s="166">
        <v>1324</v>
      </c>
      <c r="BL19" s="166">
        <v>1342</v>
      </c>
      <c r="BM19" s="166">
        <v>1350</v>
      </c>
      <c r="BN19" s="166">
        <v>1280</v>
      </c>
      <c r="BO19" s="166">
        <v>1259</v>
      </c>
      <c r="BP19" s="166">
        <v>1400</v>
      </c>
      <c r="BQ19" s="166">
        <v>1546</v>
      </c>
      <c r="BR19" s="166">
        <v>1417</v>
      </c>
      <c r="BS19" s="166">
        <v>1353</v>
      </c>
      <c r="BT19" s="166"/>
      <c r="BU19" s="166">
        <v>1080</v>
      </c>
      <c r="BV19" s="7">
        <v>1209</v>
      </c>
      <c r="BW19" s="7">
        <v>1399</v>
      </c>
      <c r="BX19" s="162">
        <f t="shared" si="37"/>
        <v>0.37554179566563467</v>
      </c>
      <c r="BY19" s="163">
        <f t="shared" si="38"/>
        <v>0.37231913068344297</v>
      </c>
      <c r="BZ19" s="163">
        <f t="shared" si="39"/>
        <v>0.35420010700909577</v>
      </c>
      <c r="CA19" s="163">
        <f t="shared" si="40"/>
        <v>0.34650142008778723</v>
      </c>
      <c r="CB19" s="163">
        <f t="shared" si="41"/>
        <v>0.33391046252782586</v>
      </c>
      <c r="CC19" s="163">
        <f t="shared" si="42"/>
        <v>0.31488314883148832</v>
      </c>
      <c r="CD19" s="163">
        <f t="shared" si="43"/>
        <v>0.29693396226415092</v>
      </c>
      <c r="CE19" s="163">
        <f t="shared" si="44"/>
        <v>0.3105590062111801</v>
      </c>
      <c r="CF19" s="163">
        <f t="shared" si="45"/>
        <v>0.32705733023059025</v>
      </c>
      <c r="CG19" s="163">
        <f t="shared" si="46"/>
        <v>0.29806478754732857</v>
      </c>
      <c r="CH19" s="163">
        <f t="shared" si="47"/>
        <v>0.27702702702702703</v>
      </c>
      <c r="CI19" s="163" t="e">
        <f t="shared" si="48"/>
        <v>#DIV/0!</v>
      </c>
      <c r="CJ19" s="163">
        <f t="shared" si="49"/>
        <v>0.2134809250840087</v>
      </c>
      <c r="CK19" s="163">
        <f t="shared" si="50"/>
        <v>0.23200921128382268</v>
      </c>
      <c r="CL19" s="163">
        <f t="shared" si="51"/>
        <v>0.25897815623843023</v>
      </c>
    </row>
    <row r="20" spans="1:90">
      <c r="A20" s="54" t="s">
        <v>24</v>
      </c>
      <c r="B20" s="124">
        <f>2176+926</f>
        <v>3102</v>
      </c>
      <c r="C20" s="7">
        <v>3177</v>
      </c>
      <c r="D20" s="7">
        <v>3261</v>
      </c>
      <c r="E20" s="7">
        <v>3059</v>
      </c>
      <c r="F20" s="7">
        <f>2264+882</f>
        <v>3146</v>
      </c>
      <c r="G20" s="7">
        <v>3085</v>
      </c>
      <c r="H20" s="7">
        <f>2082+729</f>
        <v>2811</v>
      </c>
      <c r="I20" s="7">
        <f>2629+753</f>
        <v>3382</v>
      </c>
      <c r="J20" s="7">
        <v>3743</v>
      </c>
      <c r="K20" s="7">
        <v>4097</v>
      </c>
      <c r="L20" s="7">
        <v>4585</v>
      </c>
      <c r="M20" s="7">
        <v>4846</v>
      </c>
      <c r="N20" s="7">
        <v>5159</v>
      </c>
      <c r="O20" s="7">
        <v>5226</v>
      </c>
      <c r="P20" s="7">
        <v>5287</v>
      </c>
      <c r="Q20" s="7"/>
      <c r="R20" s="7">
        <v>6074</v>
      </c>
      <c r="S20" s="7"/>
      <c r="T20" s="7"/>
      <c r="U20" s="7">
        <v>7053</v>
      </c>
      <c r="V20" s="7">
        <v>7586</v>
      </c>
      <c r="W20" s="7">
        <v>7901</v>
      </c>
      <c r="X20" s="7">
        <v>8373</v>
      </c>
      <c r="Y20" s="7">
        <v>8852</v>
      </c>
      <c r="Z20" s="7">
        <v>9181</v>
      </c>
      <c r="AA20" s="7">
        <v>9958</v>
      </c>
      <c r="AB20" s="7">
        <v>10324</v>
      </c>
      <c r="AC20" s="7">
        <v>10647</v>
      </c>
      <c r="AD20" s="7">
        <v>11163</v>
      </c>
      <c r="AE20" s="7">
        <v>11173</v>
      </c>
      <c r="AF20" s="7"/>
      <c r="AG20" s="7">
        <v>12471</v>
      </c>
      <c r="AH20" s="7">
        <v>12647</v>
      </c>
      <c r="AI20" s="7">
        <v>13135</v>
      </c>
      <c r="AJ20" s="149">
        <v>1202</v>
      </c>
      <c r="AK20" s="166">
        <v>1008</v>
      </c>
      <c r="AL20" s="166">
        <v>592</v>
      </c>
      <c r="AM20" s="166">
        <v>904</v>
      </c>
      <c r="AN20" s="166">
        <v>1006</v>
      </c>
      <c r="AO20" s="166">
        <v>1151</v>
      </c>
      <c r="AP20" s="166">
        <v>1318</v>
      </c>
      <c r="AQ20" s="166">
        <v>1294</v>
      </c>
      <c r="AR20" s="166">
        <v>1408</v>
      </c>
      <c r="AS20" s="166">
        <v>1511</v>
      </c>
      <c r="AT20" s="166">
        <v>1425</v>
      </c>
      <c r="AU20" s="166"/>
      <c r="AV20" s="166">
        <v>1396</v>
      </c>
      <c r="AW20" s="149">
        <v>1008</v>
      </c>
      <c r="AX20" s="166">
        <v>592</v>
      </c>
      <c r="AY20" s="166">
        <v>904</v>
      </c>
      <c r="AZ20" s="166">
        <v>1006</v>
      </c>
      <c r="BA20" s="166">
        <v>1151</v>
      </c>
      <c r="BB20" s="166">
        <v>1315</v>
      </c>
      <c r="BC20" s="166">
        <v>1294</v>
      </c>
      <c r="BD20" s="166">
        <v>1408</v>
      </c>
      <c r="BE20" s="166">
        <v>1511</v>
      </c>
      <c r="BF20" s="166">
        <v>1440</v>
      </c>
      <c r="BG20" s="166"/>
      <c r="BH20" s="166">
        <v>1396</v>
      </c>
      <c r="BI20" s="149">
        <v>1526</v>
      </c>
      <c r="BJ20" s="166">
        <v>1570</v>
      </c>
      <c r="BK20" s="166">
        <v>1729</v>
      </c>
      <c r="BL20" s="166">
        <v>1991</v>
      </c>
      <c r="BM20" s="166">
        <v>1968</v>
      </c>
      <c r="BN20" s="166">
        <v>2141</v>
      </c>
      <c r="BO20" s="166">
        <v>2278</v>
      </c>
      <c r="BP20" s="166">
        <v>2199</v>
      </c>
      <c r="BQ20" s="166">
        <v>2134</v>
      </c>
      <c r="BR20" s="166">
        <v>2056</v>
      </c>
      <c r="BS20" s="166">
        <v>2010</v>
      </c>
      <c r="BT20" s="166"/>
      <c r="BU20" s="166">
        <v>2044</v>
      </c>
      <c r="BV20" s="7">
        <v>2212</v>
      </c>
      <c r="BW20" s="7">
        <v>2186</v>
      </c>
      <c r="BX20" s="162">
        <f t="shared" si="37"/>
        <v>0.21636183184460514</v>
      </c>
      <c r="BY20" s="163">
        <f t="shared" si="38"/>
        <v>0.20696018982335881</v>
      </c>
      <c r="BZ20" s="163">
        <f t="shared" si="39"/>
        <v>0.21883305910644221</v>
      </c>
      <c r="CA20" s="163">
        <f t="shared" si="40"/>
        <v>0.2377881285083005</v>
      </c>
      <c r="CB20" s="163">
        <f t="shared" si="41"/>
        <v>0.22232263895164933</v>
      </c>
      <c r="CC20" s="163">
        <f t="shared" si="42"/>
        <v>0.23319899793050866</v>
      </c>
      <c r="CD20" s="163">
        <f t="shared" si="43"/>
        <v>0.22876079534042981</v>
      </c>
      <c r="CE20" s="163">
        <f t="shared" si="44"/>
        <v>0.21299883765982178</v>
      </c>
      <c r="CF20" s="163">
        <f t="shared" si="45"/>
        <v>0.20043204658589275</v>
      </c>
      <c r="CG20" s="163">
        <f t="shared" si="46"/>
        <v>0.18417987996058408</v>
      </c>
      <c r="CH20" s="163">
        <f t="shared" si="47"/>
        <v>0.17989796831647722</v>
      </c>
      <c r="CI20" s="163" t="e">
        <f t="shared" si="48"/>
        <v>#DIV/0!</v>
      </c>
      <c r="CJ20" s="163">
        <f t="shared" si="49"/>
        <v>0.16390024857669794</v>
      </c>
      <c r="CK20" s="163">
        <f t="shared" si="50"/>
        <v>0.17490313908436783</v>
      </c>
      <c r="CL20" s="163">
        <f t="shared" si="51"/>
        <v>0.16642558051008755</v>
      </c>
    </row>
    <row r="21" spans="1:90">
      <c r="A21" s="54" t="s">
        <v>25</v>
      </c>
      <c r="B21" s="124">
        <f>1633+784</f>
        <v>2417</v>
      </c>
      <c r="C21" s="7">
        <v>2535</v>
      </c>
      <c r="D21" s="7">
        <v>2428</v>
      </c>
      <c r="E21" s="7">
        <v>2421</v>
      </c>
      <c r="F21" s="7">
        <f>1675+874</f>
        <v>2549</v>
      </c>
      <c r="G21" s="7">
        <v>2554</v>
      </c>
      <c r="H21" s="7">
        <f>1807+982</f>
        <v>2789</v>
      </c>
      <c r="I21" s="7">
        <f>1834+1112</f>
        <v>2946</v>
      </c>
      <c r="J21" s="7">
        <v>3546</v>
      </c>
      <c r="K21" s="7">
        <v>3770</v>
      </c>
      <c r="L21" s="7">
        <v>4203</v>
      </c>
      <c r="M21" s="7">
        <v>4273</v>
      </c>
      <c r="N21" s="7">
        <v>4444</v>
      </c>
      <c r="O21" s="7">
        <v>4182</v>
      </c>
      <c r="P21" s="7">
        <v>4355</v>
      </c>
      <c r="Q21" s="7"/>
      <c r="R21" s="7">
        <v>4781</v>
      </c>
      <c r="S21" s="7"/>
      <c r="T21" s="7"/>
      <c r="U21" s="7">
        <v>5305</v>
      </c>
      <c r="V21" s="7">
        <v>5286</v>
      </c>
      <c r="W21" s="7">
        <v>5438</v>
      </c>
      <c r="X21" s="7">
        <v>5655</v>
      </c>
      <c r="Y21" s="7">
        <v>5788</v>
      </c>
      <c r="Z21" s="7">
        <v>5919</v>
      </c>
      <c r="AA21" s="7">
        <v>5896</v>
      </c>
      <c r="AB21" s="7">
        <v>6218</v>
      </c>
      <c r="AC21" s="7">
        <v>7248</v>
      </c>
      <c r="AD21" s="7">
        <v>8222</v>
      </c>
      <c r="AE21" s="7">
        <v>8416</v>
      </c>
      <c r="AF21" s="7"/>
      <c r="AG21" s="7">
        <v>8630</v>
      </c>
      <c r="AH21" s="7">
        <v>8725</v>
      </c>
      <c r="AI21" s="7">
        <v>8664</v>
      </c>
      <c r="AJ21" s="149">
        <v>1536</v>
      </c>
      <c r="AK21" s="166">
        <v>1445</v>
      </c>
      <c r="AL21" s="166">
        <v>1535</v>
      </c>
      <c r="AM21" s="166">
        <v>1680</v>
      </c>
      <c r="AN21" s="166">
        <v>1998</v>
      </c>
      <c r="AO21" s="166">
        <v>2112</v>
      </c>
      <c r="AP21" s="166">
        <v>2262</v>
      </c>
      <c r="AQ21" s="166">
        <v>2315</v>
      </c>
      <c r="AR21" s="166">
        <v>2399</v>
      </c>
      <c r="AS21" s="166">
        <v>2157</v>
      </c>
      <c r="AT21" s="166">
        <v>2183</v>
      </c>
      <c r="AU21" s="166"/>
      <c r="AV21" s="166">
        <v>2224</v>
      </c>
      <c r="AW21" s="149">
        <v>1445</v>
      </c>
      <c r="AX21" s="166">
        <v>1535</v>
      </c>
      <c r="AY21" s="166">
        <v>1680</v>
      </c>
      <c r="AZ21" s="166">
        <v>1998</v>
      </c>
      <c r="BA21" s="166">
        <v>2112</v>
      </c>
      <c r="BB21" s="166">
        <v>2262</v>
      </c>
      <c r="BC21" s="166">
        <v>2315</v>
      </c>
      <c r="BD21" s="166">
        <v>2399</v>
      </c>
      <c r="BE21" s="166">
        <v>2157</v>
      </c>
      <c r="BF21" s="166">
        <v>2183</v>
      </c>
      <c r="BG21" s="166"/>
      <c r="BH21" s="166">
        <v>2224</v>
      </c>
      <c r="BI21" s="149">
        <v>2431</v>
      </c>
      <c r="BJ21" s="166">
        <v>2217</v>
      </c>
      <c r="BK21" s="166">
        <v>2410</v>
      </c>
      <c r="BL21" s="166">
        <v>2412</v>
      </c>
      <c r="BM21" s="166">
        <v>2548</v>
      </c>
      <c r="BN21" s="166">
        <v>2588</v>
      </c>
      <c r="BO21" s="166">
        <v>2455</v>
      </c>
      <c r="BP21" s="166">
        <v>2475</v>
      </c>
      <c r="BQ21" s="166">
        <v>3064</v>
      </c>
      <c r="BR21" s="166">
        <v>3207</v>
      </c>
      <c r="BS21" s="166">
        <v>3232</v>
      </c>
      <c r="BT21" s="166"/>
      <c r="BU21" s="166">
        <v>2353</v>
      </c>
      <c r="BV21" s="7">
        <v>2860</v>
      </c>
      <c r="BW21" s="7">
        <v>2880</v>
      </c>
      <c r="BX21" s="162">
        <f t="shared" si="37"/>
        <v>0.45824693685202639</v>
      </c>
      <c r="BY21" s="163">
        <f t="shared" si="38"/>
        <v>0.41940976163450622</v>
      </c>
      <c r="BZ21" s="163">
        <f t="shared" si="39"/>
        <v>0.44317763883780803</v>
      </c>
      <c r="CA21" s="163">
        <f t="shared" si="40"/>
        <v>0.42652519893899205</v>
      </c>
      <c r="CB21" s="163">
        <f t="shared" si="41"/>
        <v>0.44022114720110572</v>
      </c>
      <c r="CC21" s="163">
        <f t="shared" si="42"/>
        <v>0.43723601959790503</v>
      </c>
      <c r="CD21" s="163">
        <f t="shared" si="43"/>
        <v>0.41638398914518315</v>
      </c>
      <c r="CE21" s="163">
        <f t="shared" si="44"/>
        <v>0.39803795432614991</v>
      </c>
      <c r="CF21" s="163">
        <f t="shared" si="45"/>
        <v>0.4227373068432671</v>
      </c>
      <c r="CG21" s="163">
        <f t="shared" si="46"/>
        <v>0.39005108246168818</v>
      </c>
      <c r="CH21" s="163">
        <f t="shared" si="47"/>
        <v>0.38403041825095058</v>
      </c>
      <c r="CI21" s="163" t="e">
        <f t="shared" si="48"/>
        <v>#DIV/0!</v>
      </c>
      <c r="CJ21" s="163">
        <f t="shared" si="49"/>
        <v>0.27265353418308225</v>
      </c>
      <c r="CK21" s="163">
        <f t="shared" si="50"/>
        <v>0.32779369627507166</v>
      </c>
      <c r="CL21" s="163">
        <f t="shared" si="51"/>
        <v>0.33240997229916897</v>
      </c>
    </row>
    <row r="22" spans="1:90">
      <c r="A22" s="58" t="s">
        <v>26</v>
      </c>
      <c r="B22" s="126">
        <f>218+28</f>
        <v>246</v>
      </c>
      <c r="C22" s="8">
        <v>285</v>
      </c>
      <c r="D22" s="8">
        <v>289</v>
      </c>
      <c r="E22" s="8">
        <v>213</v>
      </c>
      <c r="F22" s="8">
        <f>206+23</f>
        <v>229</v>
      </c>
      <c r="G22" s="8">
        <v>218</v>
      </c>
      <c r="H22" s="8">
        <f>157+25</f>
        <v>182</v>
      </c>
      <c r="I22" s="8">
        <f>183+34</f>
        <v>217</v>
      </c>
      <c r="J22" s="8">
        <v>233</v>
      </c>
      <c r="K22" s="8">
        <v>257</v>
      </c>
      <c r="L22" s="8">
        <v>233</v>
      </c>
      <c r="M22" s="8">
        <v>296</v>
      </c>
      <c r="N22" s="8">
        <v>304</v>
      </c>
      <c r="O22" s="8">
        <v>278</v>
      </c>
      <c r="P22" s="8">
        <v>265</v>
      </c>
      <c r="Q22" s="7"/>
      <c r="R22" s="8">
        <v>309</v>
      </c>
      <c r="S22" s="7"/>
      <c r="T22" s="7"/>
      <c r="U22" s="8">
        <v>419</v>
      </c>
      <c r="V22" s="8">
        <v>381</v>
      </c>
      <c r="W22" s="8">
        <v>408</v>
      </c>
      <c r="X22" s="8">
        <v>420</v>
      </c>
      <c r="Y22" s="8">
        <v>492</v>
      </c>
      <c r="Z22" s="8">
        <v>566</v>
      </c>
      <c r="AA22" s="7">
        <v>564</v>
      </c>
      <c r="AB22" s="7">
        <v>660</v>
      </c>
      <c r="AC22" s="7">
        <v>525</v>
      </c>
      <c r="AD22" s="7">
        <v>470</v>
      </c>
      <c r="AE22" s="7">
        <v>447</v>
      </c>
      <c r="AF22" s="7"/>
      <c r="AG22" s="7">
        <v>557</v>
      </c>
      <c r="AH22" s="7">
        <v>606</v>
      </c>
      <c r="AI22" s="7">
        <v>595</v>
      </c>
      <c r="AJ22" s="149">
        <v>0</v>
      </c>
      <c r="AK22" s="166"/>
      <c r="AL22" s="166">
        <v>0</v>
      </c>
      <c r="AM22" s="166">
        <v>0</v>
      </c>
      <c r="AN22" s="166"/>
      <c r="AO22" s="166"/>
      <c r="AP22" s="166"/>
      <c r="AQ22" s="166"/>
      <c r="AR22" s="166"/>
      <c r="AS22" s="166"/>
      <c r="AT22" s="166"/>
      <c r="AU22" s="166"/>
      <c r="AV22" s="166"/>
      <c r="AW22" s="149">
        <v>69</v>
      </c>
      <c r="AX22" s="166">
        <v>50</v>
      </c>
      <c r="AY22" s="166">
        <v>66</v>
      </c>
      <c r="AZ22" s="166">
        <v>48</v>
      </c>
      <c r="BA22" s="166">
        <v>66</v>
      </c>
      <c r="BB22" s="166">
        <v>56</v>
      </c>
      <c r="BC22" s="166">
        <v>72</v>
      </c>
      <c r="BD22" s="166">
        <v>64</v>
      </c>
      <c r="BE22" s="166">
        <v>67</v>
      </c>
      <c r="BF22" s="166">
        <v>44</v>
      </c>
      <c r="BG22" s="166"/>
      <c r="BH22" s="166">
        <v>67</v>
      </c>
      <c r="BI22" s="149">
        <v>80</v>
      </c>
      <c r="BJ22" s="166">
        <v>84</v>
      </c>
      <c r="BK22" s="166">
        <v>89</v>
      </c>
      <c r="BL22" s="166">
        <v>79</v>
      </c>
      <c r="BM22" s="166">
        <v>97</v>
      </c>
      <c r="BN22" s="166">
        <v>104</v>
      </c>
      <c r="BO22" s="166">
        <v>83</v>
      </c>
      <c r="BP22" s="166">
        <v>75</v>
      </c>
      <c r="BQ22" s="166">
        <v>102</v>
      </c>
      <c r="BR22" s="166">
        <v>89</v>
      </c>
      <c r="BS22" s="166">
        <v>82</v>
      </c>
      <c r="BT22" s="166"/>
      <c r="BU22" s="166">
        <v>76</v>
      </c>
      <c r="BV22" s="7">
        <v>68</v>
      </c>
      <c r="BW22" s="7">
        <v>59</v>
      </c>
      <c r="BX22" s="162">
        <f t="shared" si="37"/>
        <v>0.1909307875894988</v>
      </c>
      <c r="BY22" s="163">
        <f t="shared" si="38"/>
        <v>0.22047244094488189</v>
      </c>
      <c r="BZ22" s="163">
        <f t="shared" si="39"/>
        <v>0.21813725490196079</v>
      </c>
      <c r="CA22" s="163">
        <f t="shared" si="40"/>
        <v>0.18809523809523809</v>
      </c>
      <c r="CB22" s="163">
        <f t="shared" si="41"/>
        <v>0.19715447154471544</v>
      </c>
      <c r="CC22" s="163">
        <f t="shared" si="42"/>
        <v>0.18374558303886926</v>
      </c>
      <c r="CD22" s="163">
        <f t="shared" si="43"/>
        <v>0.14716312056737588</v>
      </c>
      <c r="CE22" s="163">
        <f t="shared" si="44"/>
        <v>0.11363636363636363</v>
      </c>
      <c r="CF22" s="163">
        <f t="shared" si="45"/>
        <v>0.19428571428571428</v>
      </c>
      <c r="CG22" s="163">
        <f t="shared" si="46"/>
        <v>0.18936170212765957</v>
      </c>
      <c r="CH22" s="163">
        <f t="shared" si="47"/>
        <v>0.18344519015659955</v>
      </c>
      <c r="CI22" s="163" t="e">
        <f t="shared" si="48"/>
        <v>#DIV/0!</v>
      </c>
      <c r="CJ22" s="163">
        <f t="shared" si="49"/>
        <v>0.13644524236983843</v>
      </c>
      <c r="CK22" s="163">
        <f t="shared" si="50"/>
        <v>0.11221122112211221</v>
      </c>
      <c r="CL22" s="163">
        <f t="shared" si="51"/>
        <v>9.9159663865546213E-2</v>
      </c>
    </row>
    <row r="23" spans="1:90">
      <c r="A23" s="54" t="s">
        <v>245</v>
      </c>
      <c r="B23" s="127">
        <f t="shared" ref="B23:BO23" si="52">SUM(B25:B37)</f>
        <v>0</v>
      </c>
      <c r="C23" s="55">
        <f t="shared" si="52"/>
        <v>0</v>
      </c>
      <c r="D23" s="55">
        <f t="shared" si="52"/>
        <v>0</v>
      </c>
      <c r="E23" s="55">
        <f t="shared" si="52"/>
        <v>0</v>
      </c>
      <c r="F23" s="55">
        <f t="shared" si="52"/>
        <v>0</v>
      </c>
      <c r="G23" s="55">
        <f t="shared" si="52"/>
        <v>4544</v>
      </c>
      <c r="H23" s="55">
        <f t="shared" si="52"/>
        <v>0</v>
      </c>
      <c r="I23" s="55">
        <f t="shared" si="52"/>
        <v>0</v>
      </c>
      <c r="J23" s="55">
        <f t="shared" si="52"/>
        <v>5587</v>
      </c>
      <c r="K23" s="55">
        <f t="shared" si="52"/>
        <v>5960</v>
      </c>
      <c r="L23" s="55">
        <f t="shared" si="52"/>
        <v>6383</v>
      </c>
      <c r="M23" s="55">
        <f t="shared" si="52"/>
        <v>6743</v>
      </c>
      <c r="N23" s="55">
        <f t="shared" si="52"/>
        <v>7122</v>
      </c>
      <c r="O23" s="55">
        <f t="shared" si="52"/>
        <v>7326</v>
      </c>
      <c r="P23" s="55">
        <f t="shared" si="52"/>
        <v>7774</v>
      </c>
      <c r="Q23" s="55"/>
      <c r="R23" s="55">
        <f t="shared" si="52"/>
        <v>8511</v>
      </c>
      <c r="S23" s="55"/>
      <c r="T23" s="55"/>
      <c r="U23" s="55">
        <f t="shared" si="52"/>
        <v>8967</v>
      </c>
      <c r="V23" s="55">
        <f t="shared" si="52"/>
        <v>9416</v>
      </c>
      <c r="W23" s="55">
        <f t="shared" si="52"/>
        <v>10131</v>
      </c>
      <c r="X23" s="55">
        <f t="shared" si="52"/>
        <v>10289</v>
      </c>
      <c r="Y23" s="55">
        <f t="shared" si="52"/>
        <v>12255</v>
      </c>
      <c r="Z23" s="55">
        <f t="shared" si="52"/>
        <v>13308</v>
      </c>
      <c r="AA23" s="55">
        <f t="shared" si="52"/>
        <v>13423</v>
      </c>
      <c r="AB23" s="55">
        <f t="shared" ref="AB23:AC23" si="53">SUM(AB25:AB37)</f>
        <v>13563</v>
      </c>
      <c r="AC23" s="55">
        <f t="shared" si="53"/>
        <v>11533</v>
      </c>
      <c r="AD23" s="55">
        <f t="shared" ref="AD23:AE23" si="54">SUM(AD25:AD37)</f>
        <v>17263</v>
      </c>
      <c r="AE23" s="55">
        <f t="shared" si="54"/>
        <v>18228</v>
      </c>
      <c r="AF23" s="55">
        <f t="shared" ref="AF23:AI23" si="55">SUM(AF25:AF37)</f>
        <v>0</v>
      </c>
      <c r="AG23" s="55">
        <f t="shared" si="55"/>
        <v>19842</v>
      </c>
      <c r="AH23" s="55">
        <f t="shared" si="55"/>
        <v>19685</v>
      </c>
      <c r="AI23" s="55">
        <f t="shared" si="55"/>
        <v>19720</v>
      </c>
      <c r="AJ23" s="167">
        <f t="shared" si="52"/>
        <v>0</v>
      </c>
      <c r="AK23" s="168">
        <f t="shared" si="52"/>
        <v>0</v>
      </c>
      <c r="AL23" s="168">
        <f t="shared" si="52"/>
        <v>0</v>
      </c>
      <c r="AM23" s="168">
        <f t="shared" si="52"/>
        <v>0</v>
      </c>
      <c r="AN23" s="168">
        <f t="shared" si="52"/>
        <v>10</v>
      </c>
      <c r="AO23" s="168">
        <f t="shared" si="52"/>
        <v>8</v>
      </c>
      <c r="AP23" s="168">
        <f t="shared" si="52"/>
        <v>8</v>
      </c>
      <c r="AQ23" s="168">
        <f t="shared" si="52"/>
        <v>0</v>
      </c>
      <c r="AR23" s="168">
        <f t="shared" si="52"/>
        <v>0</v>
      </c>
      <c r="AS23" s="168">
        <f t="shared" si="52"/>
        <v>19</v>
      </c>
      <c r="AT23" s="168">
        <f t="shared" si="52"/>
        <v>15</v>
      </c>
      <c r="AU23" s="168"/>
      <c r="AV23" s="168">
        <f t="shared" si="52"/>
        <v>7</v>
      </c>
      <c r="AW23" s="167">
        <f t="shared" si="52"/>
        <v>0</v>
      </c>
      <c r="AX23" s="168">
        <f t="shared" si="52"/>
        <v>0</v>
      </c>
      <c r="AY23" s="168">
        <f t="shared" si="52"/>
        <v>0</v>
      </c>
      <c r="AZ23" s="168">
        <f t="shared" si="52"/>
        <v>0</v>
      </c>
      <c r="BA23" s="168">
        <f t="shared" si="52"/>
        <v>0</v>
      </c>
      <c r="BB23" s="168">
        <f t="shared" si="52"/>
        <v>0</v>
      </c>
      <c r="BC23" s="168">
        <f t="shared" si="52"/>
        <v>0</v>
      </c>
      <c r="BD23" s="168">
        <f t="shared" si="52"/>
        <v>0</v>
      </c>
      <c r="BE23" s="168">
        <f t="shared" si="52"/>
        <v>0</v>
      </c>
      <c r="BF23" s="168">
        <f t="shared" si="52"/>
        <v>0</v>
      </c>
      <c r="BG23" s="168"/>
      <c r="BH23" s="168">
        <f t="shared" si="52"/>
        <v>0</v>
      </c>
      <c r="BI23" s="167">
        <f t="shared" si="52"/>
        <v>16</v>
      </c>
      <c r="BJ23" s="168">
        <f t="shared" si="52"/>
        <v>4</v>
      </c>
      <c r="BK23" s="168">
        <f t="shared" si="52"/>
        <v>10</v>
      </c>
      <c r="BL23" s="168">
        <v>11</v>
      </c>
      <c r="BM23" s="168">
        <f t="shared" si="52"/>
        <v>0</v>
      </c>
      <c r="BN23" s="168">
        <f t="shared" si="52"/>
        <v>8</v>
      </c>
      <c r="BO23" s="168">
        <f t="shared" si="52"/>
        <v>16</v>
      </c>
      <c r="BP23" s="168">
        <f t="shared" ref="BP23:BQ23" si="56">SUM(BP25:BP37)</f>
        <v>13</v>
      </c>
      <c r="BQ23" s="168">
        <f t="shared" si="56"/>
        <v>11</v>
      </c>
      <c r="BR23" s="168">
        <f t="shared" ref="BR23:BS23" si="57">SUM(BR25:BR37)</f>
        <v>15</v>
      </c>
      <c r="BS23" s="168">
        <f t="shared" si="57"/>
        <v>12</v>
      </c>
      <c r="BT23" s="168">
        <f t="shared" ref="BT23:BW23" si="58">SUM(BT25:BT37)</f>
        <v>0</v>
      </c>
      <c r="BU23" s="168">
        <f t="shared" si="58"/>
        <v>0</v>
      </c>
      <c r="BV23" s="55">
        <f t="shared" si="58"/>
        <v>0</v>
      </c>
      <c r="BW23" s="55">
        <f t="shared" si="58"/>
        <v>19</v>
      </c>
      <c r="BX23" s="169">
        <f t="shared" si="37"/>
        <v>1.7843202854912457E-3</v>
      </c>
      <c r="BY23" s="170">
        <f t="shared" si="38"/>
        <v>4.248088360237893E-4</v>
      </c>
      <c r="BZ23" s="170">
        <f t="shared" si="39"/>
        <v>9.8706939097818573E-4</v>
      </c>
      <c r="CA23" s="170">
        <f t="shared" si="40"/>
        <v>1.0691029254543687E-3</v>
      </c>
      <c r="CB23" s="170">
        <f t="shared" si="41"/>
        <v>0</v>
      </c>
      <c r="CC23" s="170">
        <f t="shared" si="42"/>
        <v>6.0114217012323412E-4</v>
      </c>
      <c r="CD23" s="170">
        <f t="shared" si="43"/>
        <v>1.191983908217239E-3</v>
      </c>
      <c r="CE23" s="170">
        <f t="shared" si="44"/>
        <v>9.5849000958490014E-4</v>
      </c>
      <c r="CF23" s="170">
        <f t="shared" si="45"/>
        <v>9.5378479146796154E-4</v>
      </c>
      <c r="CG23" s="170">
        <f t="shared" si="46"/>
        <v>8.6891038637548518E-4</v>
      </c>
      <c r="CH23" s="170">
        <f t="shared" si="47"/>
        <v>6.583278472679394E-4</v>
      </c>
      <c r="CI23" s="170" t="e">
        <f t="shared" si="48"/>
        <v>#DIV/0!</v>
      </c>
      <c r="CJ23" s="170">
        <f t="shared" si="49"/>
        <v>0</v>
      </c>
      <c r="CK23" s="170">
        <f t="shared" si="50"/>
        <v>0</v>
      </c>
      <c r="CL23" s="170">
        <f t="shared" si="51"/>
        <v>9.6348884381338741E-4</v>
      </c>
    </row>
    <row r="24" spans="1:90">
      <c r="A24" s="56" t="s">
        <v>244</v>
      </c>
      <c r="B24" s="128">
        <f t="shared" ref="B24:BO24" si="59">(B23/B4)*100</f>
        <v>0</v>
      </c>
      <c r="C24" s="57">
        <f t="shared" si="59"/>
        <v>0</v>
      </c>
      <c r="D24" s="57">
        <f t="shared" si="59"/>
        <v>0</v>
      </c>
      <c r="E24" s="57">
        <f t="shared" si="59"/>
        <v>0</v>
      </c>
      <c r="F24" s="57">
        <f t="shared" si="59"/>
        <v>0</v>
      </c>
      <c r="G24" s="57">
        <f t="shared" si="59"/>
        <v>8.2901554404145088</v>
      </c>
      <c r="H24" s="57">
        <f t="shared" si="59"/>
        <v>0</v>
      </c>
      <c r="I24" s="57">
        <f t="shared" si="59"/>
        <v>0</v>
      </c>
      <c r="J24" s="57">
        <f t="shared" si="59"/>
        <v>7.86513690434293</v>
      </c>
      <c r="K24" s="57">
        <f t="shared" si="59"/>
        <v>7.8037028308062961</v>
      </c>
      <c r="L24" s="57">
        <f t="shared" si="59"/>
        <v>7.7851906963129203</v>
      </c>
      <c r="M24" s="57">
        <f t="shared" si="59"/>
        <v>7.9360222203914459</v>
      </c>
      <c r="N24" s="57">
        <f t="shared" si="59"/>
        <v>7.994970869208923</v>
      </c>
      <c r="O24" s="57">
        <f t="shared" si="59"/>
        <v>7.9798705966930266</v>
      </c>
      <c r="P24" s="57">
        <f t="shared" si="59"/>
        <v>8.1479074739809878</v>
      </c>
      <c r="Q24" s="57"/>
      <c r="R24" s="57">
        <f t="shared" si="59"/>
        <v>8.1848343511083339</v>
      </c>
      <c r="S24" s="57"/>
      <c r="T24" s="57"/>
      <c r="U24" s="57">
        <f t="shared" si="59"/>
        <v>7.6269456494003576</v>
      </c>
      <c r="V24" s="57">
        <f t="shared" si="59"/>
        <v>7.6405624934070122</v>
      </c>
      <c r="W24" s="57">
        <f t="shared" si="59"/>
        <v>7.9820677266352558</v>
      </c>
      <c r="X24" s="57">
        <f t="shared" si="59"/>
        <v>7.8287996956439034</v>
      </c>
      <c r="Y24" s="57">
        <f t="shared" si="59"/>
        <v>8.9287665843369535</v>
      </c>
      <c r="Z24" s="57">
        <f t="shared" si="59"/>
        <v>9.3544396333577016</v>
      </c>
      <c r="AA24" s="57">
        <f t="shared" si="59"/>
        <v>9.213967504341678</v>
      </c>
      <c r="AB24" s="57">
        <f t="shared" ref="AB24:AC24" si="60">(AB23/AB4)*100</f>
        <v>9.000836175888935</v>
      </c>
      <c r="AC24" s="57">
        <f t="shared" si="60"/>
        <v>7.4770172322134769</v>
      </c>
      <c r="AD24" s="57">
        <f t="shared" ref="AD24:AE24" si="61">(AD23/AD4)*100</f>
        <v>10.20706210680668</v>
      </c>
      <c r="AE24" s="57">
        <f t="shared" si="61"/>
        <v>10.416119041360473</v>
      </c>
      <c r="AF24" s="57" t="e">
        <f t="shared" ref="AF24:AI24" si="62">(AF23/AF4)*100</f>
        <v>#DIV/0!</v>
      </c>
      <c r="AG24" s="57">
        <f t="shared" si="62"/>
        <v>11.198338478556554</v>
      </c>
      <c r="AH24" s="57">
        <f t="shared" si="62"/>
        <v>10.902253557009066</v>
      </c>
      <c r="AI24" s="57">
        <f t="shared" si="62"/>
        <v>10.791937787652754</v>
      </c>
      <c r="AJ24" s="164" t="e">
        <f t="shared" si="59"/>
        <v>#VALUE!</v>
      </c>
      <c r="AK24" s="165">
        <f t="shared" si="59"/>
        <v>0</v>
      </c>
      <c r="AL24" s="165" t="e">
        <f t="shared" si="59"/>
        <v>#VALUE!</v>
      </c>
      <c r="AM24" s="165" t="e">
        <f t="shared" si="59"/>
        <v>#VALUE!</v>
      </c>
      <c r="AN24" s="165">
        <f t="shared" si="59"/>
        <v>4.7614512903532996E-2</v>
      </c>
      <c r="AO24" s="165">
        <f t="shared" si="59"/>
        <v>3.4720715246734084E-2</v>
      </c>
      <c r="AP24" s="165">
        <f t="shared" si="59"/>
        <v>3.2904207625550116E-2</v>
      </c>
      <c r="AQ24" s="165">
        <f t="shared" si="59"/>
        <v>0</v>
      </c>
      <c r="AR24" s="165">
        <f t="shared" si="59"/>
        <v>0</v>
      </c>
      <c r="AS24" s="165">
        <f t="shared" si="59"/>
        <v>7.0170255198138645E-2</v>
      </c>
      <c r="AT24" s="165">
        <f t="shared" si="59"/>
        <v>5.4527609146097639E-2</v>
      </c>
      <c r="AU24" s="165"/>
      <c r="AV24" s="165">
        <f t="shared" si="59"/>
        <v>2.447039082709921E-2</v>
      </c>
      <c r="AW24" s="164">
        <f t="shared" si="59"/>
        <v>0</v>
      </c>
      <c r="AX24" s="165">
        <f t="shared" si="59"/>
        <v>0</v>
      </c>
      <c r="AY24" s="165">
        <f t="shared" si="59"/>
        <v>0</v>
      </c>
      <c r="AZ24" s="165">
        <f t="shared" si="59"/>
        <v>0</v>
      </c>
      <c r="BA24" s="165">
        <f t="shared" si="59"/>
        <v>0</v>
      </c>
      <c r="BB24" s="165">
        <f t="shared" si="59"/>
        <v>0</v>
      </c>
      <c r="BC24" s="165">
        <f t="shared" si="59"/>
        <v>0</v>
      </c>
      <c r="BD24" s="165">
        <f t="shared" si="59"/>
        <v>0</v>
      </c>
      <c r="BE24" s="165">
        <f t="shared" si="59"/>
        <v>0</v>
      </c>
      <c r="BF24" s="165">
        <f t="shared" si="59"/>
        <v>0</v>
      </c>
      <c r="BG24" s="165"/>
      <c r="BH24" s="165">
        <f t="shared" si="59"/>
        <v>0</v>
      </c>
      <c r="BI24" s="164">
        <f t="shared" si="59"/>
        <v>5.2657561296692447E-2</v>
      </c>
      <c r="BJ24" s="165">
        <f t="shared" si="59"/>
        <v>1.358695652173913E-2</v>
      </c>
      <c r="BK24" s="165">
        <f t="shared" si="59"/>
        <v>3.1972375867250699E-2</v>
      </c>
      <c r="BL24" s="165">
        <f t="shared" si="59"/>
        <v>3.3756828085680965E-2</v>
      </c>
      <c r="BM24" s="165">
        <f t="shared" si="59"/>
        <v>0</v>
      </c>
      <c r="BN24" s="165">
        <f t="shared" si="59"/>
        <v>2.3118714599468269E-2</v>
      </c>
      <c r="BO24" s="165">
        <f t="shared" si="59"/>
        <v>4.5803274934157791E-2</v>
      </c>
      <c r="BP24" s="165">
        <f t="shared" ref="BP24:BQ24" si="63">(BP23/BP4)*100</f>
        <v>3.7558142894288271E-2</v>
      </c>
      <c r="BQ24" s="165">
        <f t="shared" si="63"/>
        <v>2.9904306220095694E-2</v>
      </c>
      <c r="BR24" s="165">
        <f t="shared" ref="BR24:BS24" si="64">(BR23/BR4)*100</f>
        <v>3.9958443219052182E-2</v>
      </c>
      <c r="BS24" s="165">
        <f t="shared" si="64"/>
        <v>3.2249395323837679E-2</v>
      </c>
      <c r="BT24" s="165" t="e">
        <f t="shared" ref="BT24:BW24" si="65">(BT23/BT4)*100</f>
        <v>#DIV/0!</v>
      </c>
      <c r="BU24" s="165">
        <f t="shared" si="65"/>
        <v>0</v>
      </c>
      <c r="BV24" s="57">
        <f t="shared" si="65"/>
        <v>0</v>
      </c>
      <c r="BW24" s="57">
        <f t="shared" si="65"/>
        <v>5.5734819595189201E-2</v>
      </c>
      <c r="BX24" s="162"/>
      <c r="BY24" s="163"/>
      <c r="BZ24" s="163"/>
      <c r="CA24" s="163"/>
      <c r="CB24" s="163"/>
      <c r="CC24" s="163"/>
      <c r="CD24" s="163"/>
      <c r="CE24" s="163"/>
      <c r="CF24" s="163"/>
      <c r="CG24" s="163"/>
      <c r="CH24" s="163"/>
      <c r="CI24" s="163"/>
      <c r="CJ24" s="163"/>
      <c r="CK24" s="163"/>
      <c r="CL24" s="163"/>
    </row>
    <row r="25" spans="1:90">
      <c r="A25" s="54" t="s">
        <v>167</v>
      </c>
      <c r="B25" s="129"/>
      <c r="C25" s="7"/>
      <c r="D25" s="7"/>
      <c r="E25" s="7"/>
      <c r="F25" s="7"/>
      <c r="G25" s="7">
        <v>10</v>
      </c>
      <c r="H25" s="7"/>
      <c r="I25" s="7"/>
      <c r="J25" s="7">
        <v>29</v>
      </c>
      <c r="K25" s="7">
        <v>27</v>
      </c>
      <c r="L25" s="7">
        <v>31</v>
      </c>
      <c r="M25" s="7">
        <v>54</v>
      </c>
      <c r="N25" s="7">
        <v>29</v>
      </c>
      <c r="O25" s="7">
        <v>35</v>
      </c>
      <c r="P25" s="7">
        <v>39</v>
      </c>
      <c r="Q25" s="7"/>
      <c r="R25" s="7">
        <v>41</v>
      </c>
      <c r="S25" s="7"/>
      <c r="T25" s="7"/>
      <c r="U25" s="7">
        <v>39</v>
      </c>
      <c r="V25" s="7">
        <v>50</v>
      </c>
      <c r="W25" s="7">
        <v>47</v>
      </c>
      <c r="X25" s="7">
        <v>49</v>
      </c>
      <c r="Y25" s="7">
        <v>45</v>
      </c>
      <c r="Z25" s="7">
        <v>44</v>
      </c>
      <c r="AA25" s="7">
        <v>51</v>
      </c>
      <c r="AB25" s="7">
        <v>36</v>
      </c>
      <c r="AC25" s="7">
        <v>40</v>
      </c>
      <c r="AD25" s="7">
        <v>46</v>
      </c>
      <c r="AE25" s="7">
        <v>54</v>
      </c>
      <c r="AF25" s="7"/>
      <c r="AG25" s="7">
        <v>44</v>
      </c>
      <c r="AH25" s="7">
        <v>49</v>
      </c>
      <c r="AI25" s="7">
        <v>57</v>
      </c>
      <c r="AJ25" s="187" t="s">
        <v>261</v>
      </c>
      <c r="AK25" s="146" t="s">
        <v>261</v>
      </c>
      <c r="AL25" s="146" t="s">
        <v>261</v>
      </c>
      <c r="AM25" s="146" t="s">
        <v>261</v>
      </c>
      <c r="AN25" s="146" t="s">
        <v>261</v>
      </c>
      <c r="AO25" s="146" t="s">
        <v>261</v>
      </c>
      <c r="AP25" s="146" t="s">
        <v>261</v>
      </c>
      <c r="AQ25" s="146" t="s">
        <v>261</v>
      </c>
      <c r="AR25" s="146" t="s">
        <v>261</v>
      </c>
      <c r="AS25" s="146" t="s">
        <v>261</v>
      </c>
      <c r="AT25" s="146" t="s">
        <v>261</v>
      </c>
      <c r="AU25" s="146"/>
      <c r="AV25" s="146" t="s">
        <v>261</v>
      </c>
      <c r="AW25" s="149" t="s">
        <v>261</v>
      </c>
      <c r="AX25" s="166" t="s">
        <v>261</v>
      </c>
      <c r="AY25" s="166" t="s">
        <v>261</v>
      </c>
      <c r="AZ25" s="166" t="s">
        <v>261</v>
      </c>
      <c r="BA25" s="166" t="s">
        <v>261</v>
      </c>
      <c r="BB25" s="166" t="s">
        <v>261</v>
      </c>
      <c r="BC25" s="166" t="s">
        <v>261</v>
      </c>
      <c r="BD25" s="166" t="s">
        <v>261</v>
      </c>
      <c r="BE25" s="166" t="s">
        <v>261</v>
      </c>
      <c r="BF25" s="166" t="s">
        <v>261</v>
      </c>
      <c r="BG25" s="166"/>
      <c r="BH25" s="166" t="s">
        <v>261</v>
      </c>
      <c r="BI25" s="149" t="s">
        <v>261</v>
      </c>
      <c r="BJ25" s="166" t="s">
        <v>261</v>
      </c>
      <c r="BK25" s="166" t="s">
        <v>261</v>
      </c>
      <c r="BL25" s="166" t="s">
        <v>261</v>
      </c>
      <c r="BM25" s="166" t="s">
        <v>261</v>
      </c>
      <c r="BN25" s="166" t="s">
        <v>261</v>
      </c>
      <c r="BO25" s="166" t="s">
        <v>261</v>
      </c>
      <c r="BP25" s="166" t="s">
        <v>261</v>
      </c>
      <c r="BQ25" s="166" t="s">
        <v>261</v>
      </c>
      <c r="BR25" s="166">
        <v>0</v>
      </c>
      <c r="BS25" s="166">
        <v>0</v>
      </c>
      <c r="BT25" s="166"/>
      <c r="BU25" s="166">
        <v>0</v>
      </c>
      <c r="BV25" s="166">
        <v>0</v>
      </c>
      <c r="BW25" s="166">
        <v>0</v>
      </c>
      <c r="BX25" s="162" t="e">
        <f t="shared" ref="BX25:BX38" si="66">BI25/U25</f>
        <v>#VALUE!</v>
      </c>
      <c r="BY25" s="163" t="e">
        <f t="shared" ref="BY25:BY38" si="67">BJ25/V25</f>
        <v>#VALUE!</v>
      </c>
      <c r="BZ25" s="163" t="e">
        <f t="shared" ref="BZ25:BZ38" si="68">BK25/W25</f>
        <v>#VALUE!</v>
      </c>
      <c r="CA25" s="163" t="e">
        <f t="shared" ref="CA25:CA38" si="69">BL25/X25</f>
        <v>#VALUE!</v>
      </c>
      <c r="CB25" s="163" t="e">
        <f t="shared" ref="CB25:CB38" si="70">BM25/Y25</f>
        <v>#VALUE!</v>
      </c>
      <c r="CC25" s="163" t="e">
        <f t="shared" ref="CC25:CC38" si="71">BN25/Z25</f>
        <v>#VALUE!</v>
      </c>
      <c r="CD25" s="163" t="e">
        <f t="shared" ref="CD25:CD38" si="72">BO25/AA25</f>
        <v>#VALUE!</v>
      </c>
      <c r="CE25" s="163" t="e">
        <f t="shared" ref="CE25:CE38" si="73">BP25/AB25</f>
        <v>#VALUE!</v>
      </c>
      <c r="CF25" s="163" t="e">
        <f t="shared" ref="CF25:CF38" si="74">BQ25/AC25</f>
        <v>#VALUE!</v>
      </c>
      <c r="CG25" s="163">
        <f t="shared" ref="CG25:CG38" si="75">BR25/AD25</f>
        <v>0</v>
      </c>
      <c r="CH25" s="163">
        <f t="shared" ref="CH25:CH38" si="76">BS25/AE25</f>
        <v>0</v>
      </c>
      <c r="CI25" s="163" t="e">
        <f t="shared" ref="CI25:CI38" si="77">BT25/AF25</f>
        <v>#DIV/0!</v>
      </c>
      <c r="CJ25" s="163">
        <f t="shared" ref="CJ25:CJ38" si="78">BU25/AG25</f>
        <v>0</v>
      </c>
      <c r="CK25" s="163">
        <f t="shared" ref="CK25:CK38" si="79">BV25/AH25</f>
        <v>0</v>
      </c>
      <c r="CL25" s="163">
        <f t="shared" ref="CL25:CL38" si="80">BW25/AI25</f>
        <v>0</v>
      </c>
    </row>
    <row r="26" spans="1:90">
      <c r="A26" s="54" t="s">
        <v>168</v>
      </c>
      <c r="B26" s="124"/>
      <c r="C26" s="7"/>
      <c r="D26" s="7"/>
      <c r="E26" s="7"/>
      <c r="F26" s="7"/>
      <c r="G26" s="7">
        <v>209</v>
      </c>
      <c r="H26" s="7"/>
      <c r="I26" s="7"/>
      <c r="J26" s="7">
        <v>253</v>
      </c>
      <c r="K26" s="7">
        <v>339</v>
      </c>
      <c r="L26" s="7">
        <v>385</v>
      </c>
      <c r="M26" s="7">
        <v>375</v>
      </c>
      <c r="N26" s="7">
        <v>462</v>
      </c>
      <c r="O26" s="7">
        <v>412</v>
      </c>
      <c r="P26" s="7">
        <v>416</v>
      </c>
      <c r="Q26" s="7"/>
      <c r="R26" s="7">
        <v>582</v>
      </c>
      <c r="S26" s="7"/>
      <c r="T26" s="7"/>
      <c r="U26" s="7">
        <v>636</v>
      </c>
      <c r="V26" s="7">
        <v>792</v>
      </c>
      <c r="W26" s="7">
        <v>1061</v>
      </c>
      <c r="X26" s="7">
        <v>647</v>
      </c>
      <c r="Y26" s="7">
        <v>1930</v>
      </c>
      <c r="Z26" s="7">
        <v>2527</v>
      </c>
      <c r="AA26" s="7">
        <v>2398</v>
      </c>
      <c r="AB26" s="7">
        <v>3104</v>
      </c>
      <c r="AC26" s="7">
        <v>1157</v>
      </c>
      <c r="AD26" s="7">
        <v>6462</v>
      </c>
      <c r="AE26" s="7">
        <v>6839</v>
      </c>
      <c r="AF26" s="7"/>
      <c r="AG26" s="7">
        <v>5180</v>
      </c>
      <c r="AH26" s="7">
        <v>4976</v>
      </c>
      <c r="AI26" s="7">
        <v>5324</v>
      </c>
      <c r="AJ26" s="187" t="s">
        <v>261</v>
      </c>
      <c r="AK26" s="146" t="s">
        <v>261</v>
      </c>
      <c r="AL26" s="146" t="s">
        <v>261</v>
      </c>
      <c r="AM26" s="146" t="s">
        <v>261</v>
      </c>
      <c r="AN26" s="146" t="s">
        <v>261</v>
      </c>
      <c r="AO26" s="146" t="s">
        <v>261</v>
      </c>
      <c r="AP26" s="146" t="s">
        <v>261</v>
      </c>
      <c r="AQ26" s="146" t="s">
        <v>261</v>
      </c>
      <c r="AR26" s="146" t="s">
        <v>261</v>
      </c>
      <c r="AS26" s="146" t="s">
        <v>261</v>
      </c>
      <c r="AT26" s="146" t="s">
        <v>261</v>
      </c>
      <c r="AU26" s="146"/>
      <c r="AV26" s="146" t="s">
        <v>261</v>
      </c>
      <c r="AW26" s="149" t="s">
        <v>261</v>
      </c>
      <c r="AX26" s="166" t="s">
        <v>261</v>
      </c>
      <c r="AY26" s="166" t="s">
        <v>261</v>
      </c>
      <c r="AZ26" s="166" t="s">
        <v>261</v>
      </c>
      <c r="BA26" s="166" t="s">
        <v>261</v>
      </c>
      <c r="BB26" s="166" t="s">
        <v>261</v>
      </c>
      <c r="BC26" s="166" t="s">
        <v>261</v>
      </c>
      <c r="BD26" s="166" t="s">
        <v>261</v>
      </c>
      <c r="BE26" s="166" t="s">
        <v>261</v>
      </c>
      <c r="BF26" s="166" t="s">
        <v>261</v>
      </c>
      <c r="BG26" s="166"/>
      <c r="BH26" s="166" t="s">
        <v>261</v>
      </c>
      <c r="BI26" s="149" t="s">
        <v>261</v>
      </c>
      <c r="BJ26" s="166" t="s">
        <v>261</v>
      </c>
      <c r="BK26" s="166" t="s">
        <v>261</v>
      </c>
      <c r="BL26" s="166" t="s">
        <v>261</v>
      </c>
      <c r="BM26" s="166" t="s">
        <v>261</v>
      </c>
      <c r="BN26" s="166" t="s">
        <v>261</v>
      </c>
      <c r="BO26" s="166" t="s">
        <v>261</v>
      </c>
      <c r="BP26" s="166" t="s">
        <v>261</v>
      </c>
      <c r="BQ26" s="166" t="s">
        <v>261</v>
      </c>
      <c r="BR26" s="166">
        <v>0</v>
      </c>
      <c r="BS26" s="166">
        <v>0</v>
      </c>
      <c r="BT26" s="166"/>
      <c r="BU26" s="166">
        <v>0</v>
      </c>
      <c r="BV26" s="166">
        <v>0</v>
      </c>
      <c r="BW26" s="166">
        <v>0</v>
      </c>
      <c r="BX26" s="162" t="e">
        <f t="shared" si="66"/>
        <v>#VALUE!</v>
      </c>
      <c r="BY26" s="163" t="e">
        <f t="shared" si="67"/>
        <v>#VALUE!</v>
      </c>
      <c r="BZ26" s="163" t="e">
        <f t="shared" si="68"/>
        <v>#VALUE!</v>
      </c>
      <c r="CA26" s="163" t="e">
        <f t="shared" si="69"/>
        <v>#VALUE!</v>
      </c>
      <c r="CB26" s="163" t="e">
        <f t="shared" si="70"/>
        <v>#VALUE!</v>
      </c>
      <c r="CC26" s="163" t="e">
        <f t="shared" si="71"/>
        <v>#VALUE!</v>
      </c>
      <c r="CD26" s="163" t="e">
        <f t="shared" si="72"/>
        <v>#VALUE!</v>
      </c>
      <c r="CE26" s="163" t="e">
        <f t="shared" si="73"/>
        <v>#VALUE!</v>
      </c>
      <c r="CF26" s="163" t="e">
        <f t="shared" si="74"/>
        <v>#VALUE!</v>
      </c>
      <c r="CG26" s="163">
        <f t="shared" si="75"/>
        <v>0</v>
      </c>
      <c r="CH26" s="163">
        <f t="shared" si="76"/>
        <v>0</v>
      </c>
      <c r="CI26" s="163" t="e">
        <f t="shared" si="77"/>
        <v>#DIV/0!</v>
      </c>
      <c r="CJ26" s="163">
        <f t="shared" si="78"/>
        <v>0</v>
      </c>
      <c r="CK26" s="163">
        <f t="shared" si="79"/>
        <v>0</v>
      </c>
      <c r="CL26" s="163">
        <f t="shared" si="80"/>
        <v>0</v>
      </c>
    </row>
    <row r="27" spans="1:90">
      <c r="A27" s="54" t="s">
        <v>169</v>
      </c>
      <c r="B27" s="124"/>
      <c r="C27" s="7"/>
      <c r="D27" s="7"/>
      <c r="E27" s="7"/>
      <c r="F27" s="7"/>
      <c r="G27" s="7">
        <v>3393</v>
      </c>
      <c r="H27" s="7"/>
      <c r="I27" s="7"/>
      <c r="J27" s="7">
        <v>4149</v>
      </c>
      <c r="K27" s="7">
        <v>4308</v>
      </c>
      <c r="L27" s="7">
        <v>4563</v>
      </c>
      <c r="M27" s="7">
        <v>4684</v>
      </c>
      <c r="N27" s="7">
        <v>4956</v>
      </c>
      <c r="O27" s="7">
        <v>5197</v>
      </c>
      <c r="P27" s="7">
        <v>5509</v>
      </c>
      <c r="Q27" s="7"/>
      <c r="R27" s="7">
        <v>5941</v>
      </c>
      <c r="S27" s="7"/>
      <c r="T27" s="7"/>
      <c r="U27" s="7">
        <v>6126</v>
      </c>
      <c r="V27" s="7">
        <v>6290</v>
      </c>
      <c r="W27" s="7">
        <v>6582</v>
      </c>
      <c r="X27" s="7">
        <v>6877</v>
      </c>
      <c r="Y27" s="7">
        <v>7105</v>
      </c>
      <c r="Z27" s="7">
        <v>7419</v>
      </c>
      <c r="AA27" s="7">
        <v>7664</v>
      </c>
      <c r="AB27" s="7">
        <v>6971</v>
      </c>
      <c r="AC27" s="7">
        <v>7176</v>
      </c>
      <c r="AD27" s="7">
        <v>7366</v>
      </c>
      <c r="AE27" s="7">
        <v>7806</v>
      </c>
      <c r="AF27" s="7"/>
      <c r="AG27" s="7">
        <v>10952</v>
      </c>
      <c r="AH27" s="7">
        <v>10450</v>
      </c>
      <c r="AI27" s="7">
        <v>10033</v>
      </c>
      <c r="AJ27" s="187" t="s">
        <v>261</v>
      </c>
      <c r="AK27" s="146" t="s">
        <v>261</v>
      </c>
      <c r="AL27" s="146" t="s">
        <v>261</v>
      </c>
      <c r="AM27" s="146" t="s">
        <v>261</v>
      </c>
      <c r="AN27" s="166">
        <v>10</v>
      </c>
      <c r="AO27" s="166">
        <v>8</v>
      </c>
      <c r="AP27" s="166">
        <v>8</v>
      </c>
      <c r="AQ27" s="166"/>
      <c r="AR27" s="166"/>
      <c r="AS27" s="166">
        <v>19</v>
      </c>
      <c r="AT27" s="166">
        <v>15</v>
      </c>
      <c r="AU27" s="146"/>
      <c r="AV27" s="166">
        <v>7</v>
      </c>
      <c r="AW27" s="149" t="s">
        <v>261</v>
      </c>
      <c r="AX27" s="166" t="s">
        <v>261</v>
      </c>
      <c r="AY27" s="166" t="s">
        <v>261</v>
      </c>
      <c r="AZ27" s="166" t="s">
        <v>261</v>
      </c>
      <c r="BA27" s="166" t="s">
        <v>261</v>
      </c>
      <c r="BB27" s="166" t="s">
        <v>261</v>
      </c>
      <c r="BC27" s="166" t="s">
        <v>261</v>
      </c>
      <c r="BD27" s="166" t="s">
        <v>261</v>
      </c>
      <c r="BE27" s="166" t="s">
        <v>261</v>
      </c>
      <c r="BF27" s="166" t="s">
        <v>261</v>
      </c>
      <c r="BG27" s="166"/>
      <c r="BH27" s="166" t="s">
        <v>261</v>
      </c>
      <c r="BI27" s="149">
        <v>16</v>
      </c>
      <c r="BJ27" s="166">
        <v>4</v>
      </c>
      <c r="BK27" s="166">
        <v>10</v>
      </c>
      <c r="BL27" s="166"/>
      <c r="BM27" s="166"/>
      <c r="BN27" s="166">
        <v>0</v>
      </c>
      <c r="BO27" s="166"/>
      <c r="BP27" s="166"/>
      <c r="BQ27" s="166">
        <v>0</v>
      </c>
      <c r="BR27" s="166">
        <v>0</v>
      </c>
      <c r="BS27" s="166">
        <v>0</v>
      </c>
      <c r="BT27" s="166"/>
      <c r="BU27" s="166">
        <v>0</v>
      </c>
      <c r="BV27" s="166">
        <v>0</v>
      </c>
      <c r="BW27" s="166">
        <v>6</v>
      </c>
      <c r="BX27" s="162">
        <f t="shared" si="66"/>
        <v>2.6118184786157361E-3</v>
      </c>
      <c r="BY27" s="163">
        <f t="shared" si="67"/>
        <v>6.3593004769475357E-4</v>
      </c>
      <c r="BZ27" s="163">
        <f t="shared" si="68"/>
        <v>1.5192950470981465E-3</v>
      </c>
      <c r="CA27" s="163">
        <f t="shared" si="69"/>
        <v>0</v>
      </c>
      <c r="CB27" s="163">
        <f t="shared" si="70"/>
        <v>0</v>
      </c>
      <c r="CC27" s="163">
        <f t="shared" si="71"/>
        <v>0</v>
      </c>
      <c r="CD27" s="163">
        <f t="shared" si="72"/>
        <v>0</v>
      </c>
      <c r="CE27" s="163">
        <f t="shared" si="73"/>
        <v>0</v>
      </c>
      <c r="CF27" s="163">
        <f t="shared" si="74"/>
        <v>0</v>
      </c>
      <c r="CG27" s="163">
        <f t="shared" si="75"/>
        <v>0</v>
      </c>
      <c r="CH27" s="163">
        <f t="shared" si="76"/>
        <v>0</v>
      </c>
      <c r="CI27" s="163" t="e">
        <f t="shared" si="77"/>
        <v>#DIV/0!</v>
      </c>
      <c r="CJ27" s="163">
        <f t="shared" si="78"/>
        <v>0</v>
      </c>
      <c r="CK27" s="163">
        <f t="shared" si="79"/>
        <v>0</v>
      </c>
      <c r="CL27" s="163">
        <f t="shared" si="80"/>
        <v>5.9802651250872121E-4</v>
      </c>
    </row>
    <row r="28" spans="1:90">
      <c r="A28" s="54" t="s">
        <v>170</v>
      </c>
      <c r="B28" s="124"/>
      <c r="C28" s="7"/>
      <c r="D28" s="7"/>
      <c r="E28" s="7"/>
      <c r="F28" s="7"/>
      <c r="G28" s="7">
        <v>233</v>
      </c>
      <c r="H28" s="7"/>
      <c r="I28" s="7"/>
      <c r="J28" s="7">
        <v>317</v>
      </c>
      <c r="K28" s="7">
        <v>364</v>
      </c>
      <c r="L28" s="7">
        <v>428</v>
      </c>
      <c r="M28" s="7">
        <v>508</v>
      </c>
      <c r="N28" s="7">
        <v>487</v>
      </c>
      <c r="O28" s="7">
        <v>499</v>
      </c>
      <c r="P28" s="7">
        <v>542</v>
      </c>
      <c r="Q28" s="7"/>
      <c r="R28" s="7">
        <v>546</v>
      </c>
      <c r="S28" s="7"/>
      <c r="T28" s="7"/>
      <c r="U28" s="7">
        <v>636</v>
      </c>
      <c r="V28" s="7">
        <v>637</v>
      </c>
      <c r="W28" s="7">
        <v>654</v>
      </c>
      <c r="X28" s="7">
        <v>752</v>
      </c>
      <c r="Y28" s="7">
        <v>1188</v>
      </c>
      <c r="Z28" s="7">
        <v>1146</v>
      </c>
      <c r="AA28" s="7">
        <v>1131</v>
      </c>
      <c r="AB28" s="7">
        <v>1211</v>
      </c>
      <c r="AC28" s="7">
        <v>815</v>
      </c>
      <c r="AD28" s="7">
        <v>830</v>
      </c>
      <c r="AE28" s="7">
        <v>882</v>
      </c>
      <c r="AF28" s="7"/>
      <c r="AG28" s="7">
        <v>907</v>
      </c>
      <c r="AH28" s="7">
        <v>1443</v>
      </c>
      <c r="AI28" s="7">
        <v>1523</v>
      </c>
      <c r="AJ28" s="187" t="s">
        <v>261</v>
      </c>
      <c r="AK28" s="146" t="s">
        <v>261</v>
      </c>
      <c r="AL28" s="146" t="s">
        <v>261</v>
      </c>
      <c r="AM28" s="146" t="s">
        <v>261</v>
      </c>
      <c r="AN28" s="146" t="s">
        <v>261</v>
      </c>
      <c r="AO28" s="146" t="s">
        <v>261</v>
      </c>
      <c r="AP28" s="146" t="s">
        <v>261</v>
      </c>
      <c r="AQ28" s="146" t="s">
        <v>261</v>
      </c>
      <c r="AR28" s="146" t="s">
        <v>261</v>
      </c>
      <c r="AS28" s="146" t="s">
        <v>261</v>
      </c>
      <c r="AT28" s="146" t="s">
        <v>261</v>
      </c>
      <c r="AU28" s="146"/>
      <c r="AV28" s="146" t="s">
        <v>261</v>
      </c>
      <c r="AW28" s="149" t="s">
        <v>261</v>
      </c>
      <c r="AX28" s="166" t="s">
        <v>261</v>
      </c>
      <c r="AY28" s="166" t="s">
        <v>261</v>
      </c>
      <c r="AZ28" s="166" t="s">
        <v>261</v>
      </c>
      <c r="BA28" s="166" t="s">
        <v>261</v>
      </c>
      <c r="BB28" s="166" t="s">
        <v>261</v>
      </c>
      <c r="BC28" s="166" t="s">
        <v>261</v>
      </c>
      <c r="BD28" s="166" t="s">
        <v>261</v>
      </c>
      <c r="BE28" s="166" t="s">
        <v>261</v>
      </c>
      <c r="BF28" s="166" t="s">
        <v>261</v>
      </c>
      <c r="BG28" s="166"/>
      <c r="BH28" s="166" t="s">
        <v>261</v>
      </c>
      <c r="BI28" s="149" t="s">
        <v>261</v>
      </c>
      <c r="BJ28" s="166" t="s">
        <v>261</v>
      </c>
      <c r="BK28" s="166" t="s">
        <v>261</v>
      </c>
      <c r="BL28" s="166" t="s">
        <v>261</v>
      </c>
      <c r="BM28" s="166" t="s">
        <v>261</v>
      </c>
      <c r="BN28" s="166" t="s">
        <v>261</v>
      </c>
      <c r="BO28" s="166" t="s">
        <v>261</v>
      </c>
      <c r="BP28" s="166" t="s">
        <v>261</v>
      </c>
      <c r="BQ28" s="166" t="s">
        <v>261</v>
      </c>
      <c r="BR28" s="166">
        <v>0</v>
      </c>
      <c r="BS28" s="166">
        <v>0</v>
      </c>
      <c r="BT28" s="166"/>
      <c r="BU28" s="166">
        <v>0</v>
      </c>
      <c r="BV28" s="166">
        <v>0</v>
      </c>
      <c r="BW28" s="166">
        <v>0</v>
      </c>
      <c r="BX28" s="162" t="e">
        <f t="shared" si="66"/>
        <v>#VALUE!</v>
      </c>
      <c r="BY28" s="163" t="e">
        <f t="shared" si="67"/>
        <v>#VALUE!</v>
      </c>
      <c r="BZ28" s="163" t="e">
        <f t="shared" si="68"/>
        <v>#VALUE!</v>
      </c>
      <c r="CA28" s="163" t="e">
        <f t="shared" si="69"/>
        <v>#VALUE!</v>
      </c>
      <c r="CB28" s="163" t="e">
        <f t="shared" si="70"/>
        <v>#VALUE!</v>
      </c>
      <c r="CC28" s="163" t="e">
        <f t="shared" si="71"/>
        <v>#VALUE!</v>
      </c>
      <c r="CD28" s="163" t="e">
        <f t="shared" si="72"/>
        <v>#VALUE!</v>
      </c>
      <c r="CE28" s="163" t="e">
        <f t="shared" si="73"/>
        <v>#VALUE!</v>
      </c>
      <c r="CF28" s="163" t="e">
        <f t="shared" si="74"/>
        <v>#VALUE!</v>
      </c>
      <c r="CG28" s="163">
        <f t="shared" si="75"/>
        <v>0</v>
      </c>
      <c r="CH28" s="163">
        <f t="shared" si="76"/>
        <v>0</v>
      </c>
      <c r="CI28" s="163" t="e">
        <f t="shared" si="77"/>
        <v>#DIV/0!</v>
      </c>
      <c r="CJ28" s="163">
        <f t="shared" si="78"/>
        <v>0</v>
      </c>
      <c r="CK28" s="163">
        <f t="shared" si="79"/>
        <v>0</v>
      </c>
      <c r="CL28" s="163">
        <f t="shared" si="80"/>
        <v>0</v>
      </c>
    </row>
    <row r="29" spans="1:90">
      <c r="A29" s="54" t="s">
        <v>173</v>
      </c>
      <c r="B29" s="124"/>
      <c r="C29" s="7"/>
      <c r="D29" s="7"/>
      <c r="E29" s="7"/>
      <c r="F29" s="7"/>
      <c r="G29" s="7">
        <v>30</v>
      </c>
      <c r="H29" s="7"/>
      <c r="I29" s="7"/>
      <c r="J29" s="7">
        <v>63</v>
      </c>
      <c r="K29" s="7">
        <v>60</v>
      </c>
      <c r="L29" s="7">
        <v>52</v>
      </c>
      <c r="M29" s="7">
        <v>74</v>
      </c>
      <c r="N29" s="7">
        <v>84</v>
      </c>
      <c r="O29" s="7">
        <v>76</v>
      </c>
      <c r="P29" s="7">
        <v>92</v>
      </c>
      <c r="Q29" s="7"/>
      <c r="R29" s="7">
        <v>147</v>
      </c>
      <c r="S29" s="7"/>
      <c r="T29" s="7"/>
      <c r="U29" s="7">
        <v>130</v>
      </c>
      <c r="V29" s="7">
        <v>141</v>
      </c>
      <c r="W29" s="7">
        <v>137</v>
      </c>
      <c r="X29" s="7">
        <v>147</v>
      </c>
      <c r="Y29" s="7">
        <v>114</v>
      </c>
      <c r="Z29" s="7">
        <v>145</v>
      </c>
      <c r="AA29" s="7">
        <v>149</v>
      </c>
      <c r="AB29" s="7">
        <v>113</v>
      </c>
      <c r="AC29" s="7">
        <v>101</v>
      </c>
      <c r="AD29" s="7">
        <v>120</v>
      </c>
      <c r="AE29" s="7">
        <v>137</v>
      </c>
      <c r="AF29" s="7"/>
      <c r="AG29" s="7">
        <v>150</v>
      </c>
      <c r="AH29" s="7">
        <v>145</v>
      </c>
      <c r="AI29" s="7">
        <v>147</v>
      </c>
      <c r="AJ29" s="187" t="s">
        <v>261</v>
      </c>
      <c r="AK29" s="146" t="s">
        <v>261</v>
      </c>
      <c r="AL29" s="146" t="s">
        <v>261</v>
      </c>
      <c r="AM29" s="146" t="s">
        <v>261</v>
      </c>
      <c r="AN29" s="146" t="s">
        <v>261</v>
      </c>
      <c r="AO29" s="146" t="s">
        <v>261</v>
      </c>
      <c r="AP29" s="146" t="s">
        <v>261</v>
      </c>
      <c r="AQ29" s="146" t="s">
        <v>261</v>
      </c>
      <c r="AR29" s="146" t="s">
        <v>261</v>
      </c>
      <c r="AS29" s="146" t="s">
        <v>261</v>
      </c>
      <c r="AT29" s="146" t="s">
        <v>261</v>
      </c>
      <c r="AU29" s="146"/>
      <c r="AV29" s="146" t="s">
        <v>261</v>
      </c>
      <c r="AW29" s="149" t="s">
        <v>261</v>
      </c>
      <c r="AX29" s="166" t="s">
        <v>261</v>
      </c>
      <c r="AY29" s="166" t="s">
        <v>261</v>
      </c>
      <c r="AZ29" s="166" t="s">
        <v>261</v>
      </c>
      <c r="BA29" s="166" t="s">
        <v>261</v>
      </c>
      <c r="BB29" s="166" t="s">
        <v>261</v>
      </c>
      <c r="BC29" s="166" t="s">
        <v>261</v>
      </c>
      <c r="BD29" s="166" t="s">
        <v>261</v>
      </c>
      <c r="BE29" s="166" t="s">
        <v>261</v>
      </c>
      <c r="BF29" s="166" t="s">
        <v>261</v>
      </c>
      <c r="BG29" s="166"/>
      <c r="BH29" s="166" t="s">
        <v>261</v>
      </c>
      <c r="BI29" s="149" t="s">
        <v>261</v>
      </c>
      <c r="BJ29" s="166" t="s">
        <v>261</v>
      </c>
      <c r="BK29" s="166" t="s">
        <v>261</v>
      </c>
      <c r="BL29" s="166" t="s">
        <v>261</v>
      </c>
      <c r="BM29" s="166" t="s">
        <v>261</v>
      </c>
      <c r="BN29" s="166" t="s">
        <v>261</v>
      </c>
      <c r="BO29" s="166" t="s">
        <v>261</v>
      </c>
      <c r="BP29" s="166" t="s">
        <v>261</v>
      </c>
      <c r="BQ29" s="166" t="s">
        <v>261</v>
      </c>
      <c r="BR29" s="166">
        <v>0</v>
      </c>
      <c r="BS29" s="166">
        <v>0</v>
      </c>
      <c r="BT29" s="166"/>
      <c r="BU29" s="166">
        <v>0</v>
      </c>
      <c r="BV29" s="166">
        <v>0</v>
      </c>
      <c r="BW29" s="166">
        <v>0</v>
      </c>
      <c r="BX29" s="162" t="e">
        <f t="shared" si="66"/>
        <v>#VALUE!</v>
      </c>
      <c r="BY29" s="163" t="e">
        <f t="shared" si="67"/>
        <v>#VALUE!</v>
      </c>
      <c r="BZ29" s="163" t="e">
        <f t="shared" si="68"/>
        <v>#VALUE!</v>
      </c>
      <c r="CA29" s="163" t="e">
        <f t="shared" si="69"/>
        <v>#VALUE!</v>
      </c>
      <c r="CB29" s="163" t="e">
        <f t="shared" si="70"/>
        <v>#VALUE!</v>
      </c>
      <c r="CC29" s="163" t="e">
        <f t="shared" si="71"/>
        <v>#VALUE!</v>
      </c>
      <c r="CD29" s="163" t="e">
        <f t="shared" si="72"/>
        <v>#VALUE!</v>
      </c>
      <c r="CE29" s="163" t="e">
        <f t="shared" si="73"/>
        <v>#VALUE!</v>
      </c>
      <c r="CF29" s="163" t="e">
        <f t="shared" si="74"/>
        <v>#VALUE!</v>
      </c>
      <c r="CG29" s="163">
        <f t="shared" si="75"/>
        <v>0</v>
      </c>
      <c r="CH29" s="163">
        <f t="shared" si="76"/>
        <v>0</v>
      </c>
      <c r="CI29" s="163" t="e">
        <f t="shared" si="77"/>
        <v>#DIV/0!</v>
      </c>
      <c r="CJ29" s="163">
        <f t="shared" si="78"/>
        <v>0</v>
      </c>
      <c r="CK29" s="163">
        <f t="shared" si="79"/>
        <v>0</v>
      </c>
      <c r="CL29" s="163">
        <f t="shared" si="80"/>
        <v>0</v>
      </c>
    </row>
    <row r="30" spans="1:90">
      <c r="A30" s="54" t="s">
        <v>175</v>
      </c>
      <c r="B30" s="124"/>
      <c r="C30" s="7"/>
      <c r="D30" s="7"/>
      <c r="E30" s="7"/>
      <c r="F30" s="7"/>
      <c r="G30" s="7">
        <v>21</v>
      </c>
      <c r="H30" s="7"/>
      <c r="I30" s="7"/>
      <c r="J30" s="7">
        <v>21</v>
      </c>
      <c r="K30" s="7">
        <v>25</v>
      </c>
      <c r="L30" s="7">
        <v>30</v>
      </c>
      <c r="M30" s="7">
        <v>30</v>
      </c>
      <c r="N30" s="7">
        <v>32</v>
      </c>
      <c r="O30" s="7">
        <v>37</v>
      </c>
      <c r="P30" s="7">
        <v>32</v>
      </c>
      <c r="Q30" s="7"/>
      <c r="R30" s="7">
        <v>46</v>
      </c>
      <c r="S30" s="7"/>
      <c r="T30" s="7"/>
      <c r="U30" s="7">
        <v>42</v>
      </c>
      <c r="V30" s="7">
        <v>32</v>
      </c>
      <c r="W30" s="7">
        <v>54</v>
      </c>
      <c r="X30" s="7">
        <v>46</v>
      </c>
      <c r="Y30" s="7">
        <v>52</v>
      </c>
      <c r="Z30" s="7">
        <v>58</v>
      </c>
      <c r="AA30" s="7">
        <v>71</v>
      </c>
      <c r="AB30" s="7">
        <v>74</v>
      </c>
      <c r="AC30" s="7">
        <v>72</v>
      </c>
      <c r="AD30" s="7">
        <v>94</v>
      </c>
      <c r="AE30" s="7">
        <v>118</v>
      </c>
      <c r="AF30" s="7"/>
      <c r="AG30" s="7">
        <v>109</v>
      </c>
      <c r="AH30" s="7">
        <v>94</v>
      </c>
      <c r="AI30" s="7">
        <v>114</v>
      </c>
      <c r="AJ30" s="187" t="s">
        <v>261</v>
      </c>
      <c r="AK30" s="146" t="s">
        <v>261</v>
      </c>
      <c r="AL30" s="146" t="s">
        <v>261</v>
      </c>
      <c r="AM30" s="146" t="s">
        <v>261</v>
      </c>
      <c r="AN30" s="146" t="s">
        <v>261</v>
      </c>
      <c r="AO30" s="146" t="s">
        <v>261</v>
      </c>
      <c r="AP30" s="146" t="s">
        <v>261</v>
      </c>
      <c r="AQ30" s="146" t="s">
        <v>261</v>
      </c>
      <c r="AR30" s="146" t="s">
        <v>261</v>
      </c>
      <c r="AS30" s="146" t="s">
        <v>261</v>
      </c>
      <c r="AT30" s="146" t="s">
        <v>261</v>
      </c>
      <c r="AU30" s="146"/>
      <c r="AV30" s="146" t="s">
        <v>261</v>
      </c>
      <c r="AW30" s="149" t="s">
        <v>261</v>
      </c>
      <c r="AX30" s="166" t="s">
        <v>261</v>
      </c>
      <c r="AY30" s="166" t="s">
        <v>261</v>
      </c>
      <c r="AZ30" s="166" t="s">
        <v>261</v>
      </c>
      <c r="BA30" s="166" t="s">
        <v>261</v>
      </c>
      <c r="BB30" s="166" t="s">
        <v>261</v>
      </c>
      <c r="BC30" s="166" t="s">
        <v>261</v>
      </c>
      <c r="BD30" s="166" t="s">
        <v>261</v>
      </c>
      <c r="BE30" s="166" t="s">
        <v>261</v>
      </c>
      <c r="BF30" s="166" t="s">
        <v>261</v>
      </c>
      <c r="BG30" s="166"/>
      <c r="BH30" s="166" t="s">
        <v>261</v>
      </c>
      <c r="BI30" s="149" t="s">
        <v>261</v>
      </c>
      <c r="BJ30" s="166" t="s">
        <v>261</v>
      </c>
      <c r="BK30" s="166" t="s">
        <v>261</v>
      </c>
      <c r="BL30" s="166" t="s">
        <v>261</v>
      </c>
      <c r="BM30" s="166" t="s">
        <v>261</v>
      </c>
      <c r="BN30" s="166" t="s">
        <v>261</v>
      </c>
      <c r="BO30" s="166" t="s">
        <v>261</v>
      </c>
      <c r="BP30" s="166" t="s">
        <v>261</v>
      </c>
      <c r="BQ30" s="166" t="s">
        <v>261</v>
      </c>
      <c r="BR30" s="166">
        <v>0</v>
      </c>
      <c r="BS30" s="166">
        <v>0</v>
      </c>
      <c r="BT30" s="166"/>
      <c r="BU30" s="166">
        <v>0</v>
      </c>
      <c r="BV30" s="166">
        <v>0</v>
      </c>
      <c r="BW30" s="166">
        <v>0</v>
      </c>
      <c r="BX30" s="162" t="e">
        <f t="shared" si="66"/>
        <v>#VALUE!</v>
      </c>
      <c r="BY30" s="163" t="e">
        <f t="shared" si="67"/>
        <v>#VALUE!</v>
      </c>
      <c r="BZ30" s="163" t="e">
        <f t="shared" si="68"/>
        <v>#VALUE!</v>
      </c>
      <c r="CA30" s="163" t="e">
        <f t="shared" si="69"/>
        <v>#VALUE!</v>
      </c>
      <c r="CB30" s="163" t="e">
        <f t="shared" si="70"/>
        <v>#VALUE!</v>
      </c>
      <c r="CC30" s="163" t="e">
        <f t="shared" si="71"/>
        <v>#VALUE!</v>
      </c>
      <c r="CD30" s="163" t="e">
        <f t="shared" si="72"/>
        <v>#VALUE!</v>
      </c>
      <c r="CE30" s="163" t="e">
        <f t="shared" si="73"/>
        <v>#VALUE!</v>
      </c>
      <c r="CF30" s="163" t="e">
        <f t="shared" si="74"/>
        <v>#VALUE!</v>
      </c>
      <c r="CG30" s="163">
        <f t="shared" si="75"/>
        <v>0</v>
      </c>
      <c r="CH30" s="163">
        <f t="shared" si="76"/>
        <v>0</v>
      </c>
      <c r="CI30" s="163" t="e">
        <f t="shared" si="77"/>
        <v>#DIV/0!</v>
      </c>
      <c r="CJ30" s="163">
        <f t="shared" si="78"/>
        <v>0</v>
      </c>
      <c r="CK30" s="163">
        <f t="shared" si="79"/>
        <v>0</v>
      </c>
      <c r="CL30" s="163">
        <f t="shared" si="80"/>
        <v>0</v>
      </c>
    </row>
    <row r="31" spans="1:90">
      <c r="A31" s="54" t="s">
        <v>184</v>
      </c>
      <c r="B31" s="124"/>
      <c r="C31" s="7"/>
      <c r="D31" s="7"/>
      <c r="E31" s="7"/>
      <c r="F31" s="7"/>
      <c r="G31" s="7">
        <v>11</v>
      </c>
      <c r="H31" s="7"/>
      <c r="I31" s="7"/>
      <c r="J31" s="7">
        <v>10</v>
      </c>
      <c r="K31" s="7">
        <v>12</v>
      </c>
      <c r="L31" s="7">
        <v>17</v>
      </c>
      <c r="M31" s="7">
        <v>19</v>
      </c>
      <c r="N31" s="7">
        <v>35</v>
      </c>
      <c r="O31" s="7">
        <v>16</v>
      </c>
      <c r="P31" s="7">
        <v>37</v>
      </c>
      <c r="Q31" s="7"/>
      <c r="R31" s="7">
        <v>31</v>
      </c>
      <c r="S31" s="7"/>
      <c r="T31" s="7"/>
      <c r="U31" s="7">
        <v>20</v>
      </c>
      <c r="V31" s="7">
        <v>22</v>
      </c>
      <c r="W31" s="7">
        <v>17</v>
      </c>
      <c r="X31" s="7">
        <v>23</v>
      </c>
      <c r="Y31" s="7">
        <v>26</v>
      </c>
      <c r="Z31" s="7">
        <v>24</v>
      </c>
      <c r="AA31" s="7">
        <v>28</v>
      </c>
      <c r="AB31" s="7">
        <v>23</v>
      </c>
      <c r="AC31" s="7">
        <v>28</v>
      </c>
      <c r="AD31" s="7">
        <v>34</v>
      </c>
      <c r="AE31" s="7">
        <v>44</v>
      </c>
      <c r="AF31" s="7"/>
      <c r="AG31" s="7">
        <v>46</v>
      </c>
      <c r="AH31" s="7">
        <v>38</v>
      </c>
      <c r="AI31" s="7">
        <v>43</v>
      </c>
      <c r="AJ31" s="187" t="s">
        <v>261</v>
      </c>
      <c r="AK31" s="146" t="s">
        <v>261</v>
      </c>
      <c r="AL31" s="146" t="s">
        <v>261</v>
      </c>
      <c r="AM31" s="146" t="s">
        <v>261</v>
      </c>
      <c r="AN31" s="146" t="s">
        <v>261</v>
      </c>
      <c r="AO31" s="146" t="s">
        <v>261</v>
      </c>
      <c r="AP31" s="146" t="s">
        <v>261</v>
      </c>
      <c r="AQ31" s="146" t="s">
        <v>261</v>
      </c>
      <c r="AR31" s="146" t="s">
        <v>261</v>
      </c>
      <c r="AS31" s="146" t="s">
        <v>261</v>
      </c>
      <c r="AT31" s="146" t="s">
        <v>261</v>
      </c>
      <c r="AU31" s="146"/>
      <c r="AV31" s="146" t="s">
        <v>261</v>
      </c>
      <c r="AW31" s="149" t="s">
        <v>261</v>
      </c>
      <c r="AX31" s="166" t="s">
        <v>261</v>
      </c>
      <c r="AY31" s="166" t="s">
        <v>261</v>
      </c>
      <c r="AZ31" s="166" t="s">
        <v>261</v>
      </c>
      <c r="BA31" s="166" t="s">
        <v>261</v>
      </c>
      <c r="BB31" s="166" t="s">
        <v>261</v>
      </c>
      <c r="BC31" s="166" t="s">
        <v>261</v>
      </c>
      <c r="BD31" s="166" t="s">
        <v>261</v>
      </c>
      <c r="BE31" s="166" t="s">
        <v>261</v>
      </c>
      <c r="BF31" s="166" t="s">
        <v>261</v>
      </c>
      <c r="BG31" s="166"/>
      <c r="BH31" s="166" t="s">
        <v>261</v>
      </c>
      <c r="BI31" s="149" t="s">
        <v>261</v>
      </c>
      <c r="BJ31" s="166" t="s">
        <v>261</v>
      </c>
      <c r="BK31" s="166" t="s">
        <v>261</v>
      </c>
      <c r="BL31" s="166" t="s">
        <v>261</v>
      </c>
      <c r="BM31" s="166" t="s">
        <v>261</v>
      </c>
      <c r="BN31" s="166" t="s">
        <v>261</v>
      </c>
      <c r="BO31" s="166" t="s">
        <v>261</v>
      </c>
      <c r="BP31" s="166" t="s">
        <v>261</v>
      </c>
      <c r="BQ31" s="166" t="s">
        <v>261</v>
      </c>
      <c r="BR31" s="166">
        <v>0</v>
      </c>
      <c r="BS31" s="166">
        <v>0</v>
      </c>
      <c r="BT31" s="166"/>
      <c r="BU31" s="166">
        <v>0</v>
      </c>
      <c r="BV31" s="166">
        <v>0</v>
      </c>
      <c r="BW31" s="166">
        <v>0</v>
      </c>
      <c r="BX31" s="162" t="e">
        <f t="shared" si="66"/>
        <v>#VALUE!</v>
      </c>
      <c r="BY31" s="163" t="e">
        <f t="shared" si="67"/>
        <v>#VALUE!</v>
      </c>
      <c r="BZ31" s="163" t="e">
        <f t="shared" si="68"/>
        <v>#VALUE!</v>
      </c>
      <c r="CA31" s="163" t="e">
        <f t="shared" si="69"/>
        <v>#VALUE!</v>
      </c>
      <c r="CB31" s="163" t="e">
        <f t="shared" si="70"/>
        <v>#VALUE!</v>
      </c>
      <c r="CC31" s="163" t="e">
        <f t="shared" si="71"/>
        <v>#VALUE!</v>
      </c>
      <c r="CD31" s="163" t="e">
        <f t="shared" si="72"/>
        <v>#VALUE!</v>
      </c>
      <c r="CE31" s="163" t="e">
        <f t="shared" si="73"/>
        <v>#VALUE!</v>
      </c>
      <c r="CF31" s="163" t="e">
        <f t="shared" si="74"/>
        <v>#VALUE!</v>
      </c>
      <c r="CG31" s="163">
        <f t="shared" si="75"/>
        <v>0</v>
      </c>
      <c r="CH31" s="163">
        <f t="shared" si="76"/>
        <v>0</v>
      </c>
      <c r="CI31" s="163" t="e">
        <f t="shared" si="77"/>
        <v>#DIV/0!</v>
      </c>
      <c r="CJ31" s="163">
        <f t="shared" si="78"/>
        <v>0</v>
      </c>
      <c r="CK31" s="163">
        <f t="shared" si="79"/>
        <v>0</v>
      </c>
      <c r="CL31" s="163">
        <f t="shared" si="80"/>
        <v>0</v>
      </c>
    </row>
    <row r="32" spans="1:90">
      <c r="A32" s="54" t="s">
        <v>190</v>
      </c>
      <c r="B32" s="124"/>
      <c r="C32" s="7"/>
      <c r="D32" s="7"/>
      <c r="E32" s="7"/>
      <c r="F32" s="7"/>
      <c r="G32" s="7">
        <v>43</v>
      </c>
      <c r="H32" s="7"/>
      <c r="I32" s="7"/>
      <c r="J32" s="7">
        <v>84</v>
      </c>
      <c r="K32" s="7">
        <v>90</v>
      </c>
      <c r="L32" s="7">
        <v>108</v>
      </c>
      <c r="M32" s="7">
        <v>146</v>
      </c>
      <c r="N32" s="7">
        <v>114</v>
      </c>
      <c r="O32" s="7">
        <v>143</v>
      </c>
      <c r="P32" s="7">
        <v>158</v>
      </c>
      <c r="Q32" s="7"/>
      <c r="R32" s="7">
        <v>210</v>
      </c>
      <c r="S32" s="7"/>
      <c r="T32" s="7"/>
      <c r="U32" s="7">
        <v>228</v>
      </c>
      <c r="V32" s="7">
        <v>268</v>
      </c>
      <c r="W32" s="7">
        <v>287</v>
      </c>
      <c r="X32" s="7">
        <v>387</v>
      </c>
      <c r="Y32" s="7">
        <v>367</v>
      </c>
      <c r="Z32" s="7">
        <v>418</v>
      </c>
      <c r="AA32" s="7">
        <v>406</v>
      </c>
      <c r="AB32" s="7">
        <v>462</v>
      </c>
      <c r="AC32" s="7">
        <v>425</v>
      </c>
      <c r="AD32" s="7">
        <v>425</v>
      </c>
      <c r="AE32" s="7">
        <v>440</v>
      </c>
      <c r="AF32" s="7"/>
      <c r="AG32" s="7">
        <v>476</v>
      </c>
      <c r="AH32" s="7">
        <v>481</v>
      </c>
      <c r="AI32" s="7">
        <v>466</v>
      </c>
      <c r="AJ32" s="187" t="s">
        <v>261</v>
      </c>
      <c r="AK32" s="146" t="s">
        <v>261</v>
      </c>
      <c r="AL32" s="146" t="s">
        <v>261</v>
      </c>
      <c r="AM32" s="146" t="s">
        <v>261</v>
      </c>
      <c r="AN32" s="146" t="s">
        <v>261</v>
      </c>
      <c r="AO32" s="146" t="s">
        <v>261</v>
      </c>
      <c r="AP32" s="146" t="s">
        <v>261</v>
      </c>
      <c r="AQ32" s="146" t="s">
        <v>261</v>
      </c>
      <c r="AR32" s="146" t="s">
        <v>261</v>
      </c>
      <c r="AS32" s="146" t="s">
        <v>261</v>
      </c>
      <c r="AT32" s="146" t="s">
        <v>261</v>
      </c>
      <c r="AU32" s="146"/>
      <c r="AV32" s="146" t="s">
        <v>261</v>
      </c>
      <c r="AW32" s="149" t="s">
        <v>261</v>
      </c>
      <c r="AX32" s="166" t="s">
        <v>261</v>
      </c>
      <c r="AY32" s="166" t="s">
        <v>261</v>
      </c>
      <c r="AZ32" s="166" t="s">
        <v>261</v>
      </c>
      <c r="BA32" s="166" t="s">
        <v>261</v>
      </c>
      <c r="BB32" s="166" t="s">
        <v>261</v>
      </c>
      <c r="BC32" s="166" t="s">
        <v>261</v>
      </c>
      <c r="BD32" s="166" t="s">
        <v>261</v>
      </c>
      <c r="BE32" s="166" t="s">
        <v>261</v>
      </c>
      <c r="BF32" s="166" t="s">
        <v>261</v>
      </c>
      <c r="BG32" s="166"/>
      <c r="BH32" s="166" t="s">
        <v>261</v>
      </c>
      <c r="BI32" s="149" t="s">
        <v>261</v>
      </c>
      <c r="BJ32" s="166" t="s">
        <v>261</v>
      </c>
      <c r="BK32" s="166" t="s">
        <v>261</v>
      </c>
      <c r="BL32" s="166" t="s">
        <v>261</v>
      </c>
      <c r="BM32" s="166" t="s">
        <v>261</v>
      </c>
      <c r="BN32" s="166" t="s">
        <v>261</v>
      </c>
      <c r="BO32" s="166" t="s">
        <v>261</v>
      </c>
      <c r="BP32" s="166" t="s">
        <v>261</v>
      </c>
      <c r="BQ32" s="166" t="s">
        <v>261</v>
      </c>
      <c r="BR32" s="166">
        <v>0</v>
      </c>
      <c r="BS32" s="166">
        <v>0</v>
      </c>
      <c r="BT32" s="166"/>
      <c r="BU32" s="166">
        <v>0</v>
      </c>
      <c r="BV32" s="166">
        <v>0</v>
      </c>
      <c r="BW32" s="166">
        <v>0</v>
      </c>
      <c r="BX32" s="162" t="e">
        <f t="shared" si="66"/>
        <v>#VALUE!</v>
      </c>
      <c r="BY32" s="163" t="e">
        <f t="shared" si="67"/>
        <v>#VALUE!</v>
      </c>
      <c r="BZ32" s="163" t="e">
        <f t="shared" si="68"/>
        <v>#VALUE!</v>
      </c>
      <c r="CA32" s="163" t="e">
        <f t="shared" si="69"/>
        <v>#VALUE!</v>
      </c>
      <c r="CB32" s="163" t="e">
        <f t="shared" si="70"/>
        <v>#VALUE!</v>
      </c>
      <c r="CC32" s="163" t="e">
        <f t="shared" si="71"/>
        <v>#VALUE!</v>
      </c>
      <c r="CD32" s="163" t="e">
        <f t="shared" si="72"/>
        <v>#VALUE!</v>
      </c>
      <c r="CE32" s="163" t="e">
        <f t="shared" si="73"/>
        <v>#VALUE!</v>
      </c>
      <c r="CF32" s="163" t="e">
        <f t="shared" si="74"/>
        <v>#VALUE!</v>
      </c>
      <c r="CG32" s="163">
        <f t="shared" si="75"/>
        <v>0</v>
      </c>
      <c r="CH32" s="163">
        <f t="shared" si="76"/>
        <v>0</v>
      </c>
      <c r="CI32" s="163" t="e">
        <f t="shared" si="77"/>
        <v>#DIV/0!</v>
      </c>
      <c r="CJ32" s="163">
        <f t="shared" si="78"/>
        <v>0</v>
      </c>
      <c r="CK32" s="163">
        <f t="shared" si="79"/>
        <v>0</v>
      </c>
      <c r="CL32" s="163">
        <f t="shared" si="80"/>
        <v>0</v>
      </c>
    </row>
    <row r="33" spans="1:90">
      <c r="A33" s="54" t="s">
        <v>189</v>
      </c>
      <c r="B33" s="124"/>
      <c r="C33" s="7"/>
      <c r="D33" s="7"/>
      <c r="E33" s="7"/>
      <c r="F33" s="7"/>
      <c r="G33" s="7">
        <v>89</v>
      </c>
      <c r="H33" s="7"/>
      <c r="I33" s="7"/>
      <c r="J33" s="7">
        <v>100</v>
      </c>
      <c r="K33" s="7">
        <v>104</v>
      </c>
      <c r="L33" s="7">
        <v>133</v>
      </c>
      <c r="M33" s="7">
        <v>156</v>
      </c>
      <c r="N33" s="7">
        <v>167</v>
      </c>
      <c r="O33" s="7">
        <v>155</v>
      </c>
      <c r="P33" s="7">
        <v>133</v>
      </c>
      <c r="Q33" s="7"/>
      <c r="R33" s="7">
        <v>168</v>
      </c>
      <c r="S33" s="7"/>
      <c r="T33" s="7"/>
      <c r="U33" s="7">
        <v>158</v>
      </c>
      <c r="V33" s="7">
        <v>172</v>
      </c>
      <c r="W33" s="7">
        <v>178</v>
      </c>
      <c r="X33" s="7">
        <v>192</v>
      </c>
      <c r="Y33" s="7">
        <v>203</v>
      </c>
      <c r="Z33" s="7">
        <v>239</v>
      </c>
      <c r="AA33" s="7">
        <v>201</v>
      </c>
      <c r="AB33" s="7">
        <v>224</v>
      </c>
      <c r="AC33" s="7">
        <v>204</v>
      </c>
      <c r="AD33" s="7">
        <v>219</v>
      </c>
      <c r="AE33" s="7">
        <v>238</v>
      </c>
      <c r="AF33" s="7"/>
      <c r="AG33" s="7">
        <v>262</v>
      </c>
      <c r="AH33" s="7">
        <v>283</v>
      </c>
      <c r="AI33" s="7">
        <v>285</v>
      </c>
      <c r="AJ33" s="187" t="s">
        <v>261</v>
      </c>
      <c r="AK33" s="146" t="s">
        <v>261</v>
      </c>
      <c r="AL33" s="146" t="s">
        <v>261</v>
      </c>
      <c r="AM33" s="146" t="s">
        <v>261</v>
      </c>
      <c r="AN33" s="146" t="s">
        <v>261</v>
      </c>
      <c r="AO33" s="146" t="s">
        <v>261</v>
      </c>
      <c r="AP33" s="146" t="s">
        <v>261</v>
      </c>
      <c r="AQ33" s="146" t="s">
        <v>261</v>
      </c>
      <c r="AR33" s="146" t="s">
        <v>261</v>
      </c>
      <c r="AS33" s="146" t="s">
        <v>261</v>
      </c>
      <c r="AT33" s="146" t="s">
        <v>261</v>
      </c>
      <c r="AU33" s="146"/>
      <c r="AV33" s="146" t="s">
        <v>261</v>
      </c>
      <c r="AW33" s="149" t="s">
        <v>261</v>
      </c>
      <c r="AX33" s="166" t="s">
        <v>261</v>
      </c>
      <c r="AY33" s="166" t="s">
        <v>261</v>
      </c>
      <c r="AZ33" s="166" t="s">
        <v>261</v>
      </c>
      <c r="BA33" s="166" t="s">
        <v>261</v>
      </c>
      <c r="BB33" s="166" t="s">
        <v>261</v>
      </c>
      <c r="BC33" s="166" t="s">
        <v>261</v>
      </c>
      <c r="BD33" s="166" t="s">
        <v>261</v>
      </c>
      <c r="BE33" s="166" t="s">
        <v>261</v>
      </c>
      <c r="BF33" s="166" t="s">
        <v>261</v>
      </c>
      <c r="BG33" s="166"/>
      <c r="BH33" s="166" t="s">
        <v>261</v>
      </c>
      <c r="BI33" s="149" t="s">
        <v>261</v>
      </c>
      <c r="BJ33" s="166" t="s">
        <v>261</v>
      </c>
      <c r="BK33" s="166" t="s">
        <v>261</v>
      </c>
      <c r="BL33" s="166" t="s">
        <v>261</v>
      </c>
      <c r="BM33" s="166" t="s">
        <v>261</v>
      </c>
      <c r="BN33" s="166" t="s">
        <v>261</v>
      </c>
      <c r="BO33" s="166" t="s">
        <v>261</v>
      </c>
      <c r="BP33" s="166" t="s">
        <v>261</v>
      </c>
      <c r="BQ33" s="166" t="s">
        <v>261</v>
      </c>
      <c r="BR33" s="166">
        <v>0</v>
      </c>
      <c r="BS33" s="166">
        <v>0</v>
      </c>
      <c r="BT33" s="166"/>
      <c r="BU33" s="166">
        <v>0</v>
      </c>
      <c r="BV33" s="166">
        <v>0</v>
      </c>
      <c r="BW33" s="166">
        <v>0</v>
      </c>
      <c r="BX33" s="162" t="e">
        <f t="shared" si="66"/>
        <v>#VALUE!</v>
      </c>
      <c r="BY33" s="163" t="e">
        <f t="shared" si="67"/>
        <v>#VALUE!</v>
      </c>
      <c r="BZ33" s="163" t="e">
        <f t="shared" si="68"/>
        <v>#VALUE!</v>
      </c>
      <c r="CA33" s="163" t="e">
        <f t="shared" si="69"/>
        <v>#VALUE!</v>
      </c>
      <c r="CB33" s="163" t="e">
        <f t="shared" si="70"/>
        <v>#VALUE!</v>
      </c>
      <c r="CC33" s="163" t="e">
        <f t="shared" si="71"/>
        <v>#VALUE!</v>
      </c>
      <c r="CD33" s="163" t="e">
        <f t="shared" si="72"/>
        <v>#VALUE!</v>
      </c>
      <c r="CE33" s="163" t="e">
        <f t="shared" si="73"/>
        <v>#VALUE!</v>
      </c>
      <c r="CF33" s="163" t="e">
        <f t="shared" si="74"/>
        <v>#VALUE!</v>
      </c>
      <c r="CG33" s="163">
        <f t="shared" si="75"/>
        <v>0</v>
      </c>
      <c r="CH33" s="163">
        <f t="shared" si="76"/>
        <v>0</v>
      </c>
      <c r="CI33" s="163" t="e">
        <f t="shared" si="77"/>
        <v>#DIV/0!</v>
      </c>
      <c r="CJ33" s="163">
        <f t="shared" si="78"/>
        <v>0</v>
      </c>
      <c r="CK33" s="163">
        <f t="shared" si="79"/>
        <v>0</v>
      </c>
      <c r="CL33" s="163">
        <f t="shared" si="80"/>
        <v>0</v>
      </c>
    </row>
    <row r="34" spans="1:90">
      <c r="A34" s="54" t="s">
        <v>193</v>
      </c>
      <c r="B34" s="124"/>
      <c r="C34" s="7"/>
      <c r="D34" s="7"/>
      <c r="E34" s="7"/>
      <c r="F34" s="7"/>
      <c r="G34" s="7">
        <v>146</v>
      </c>
      <c r="H34" s="7"/>
      <c r="I34" s="7"/>
      <c r="J34" s="7">
        <v>137</v>
      </c>
      <c r="K34" s="7">
        <v>175</v>
      </c>
      <c r="L34" s="7">
        <v>154</v>
      </c>
      <c r="M34" s="7">
        <v>137</v>
      </c>
      <c r="N34" s="7">
        <v>157</v>
      </c>
      <c r="O34" s="7">
        <v>158</v>
      </c>
      <c r="P34" s="7">
        <v>168</v>
      </c>
      <c r="Q34" s="7"/>
      <c r="R34" s="7">
        <v>190</v>
      </c>
      <c r="S34" s="7"/>
      <c r="T34" s="7"/>
      <c r="U34" s="7">
        <v>210</v>
      </c>
      <c r="V34" s="7">
        <v>236</v>
      </c>
      <c r="W34" s="7">
        <v>260</v>
      </c>
      <c r="X34" s="7">
        <v>246</v>
      </c>
      <c r="Y34" s="7">
        <v>270</v>
      </c>
      <c r="Z34" s="7">
        <v>288</v>
      </c>
      <c r="AA34" s="7">
        <v>309</v>
      </c>
      <c r="AB34" s="7">
        <v>323</v>
      </c>
      <c r="AC34" s="7">
        <v>385</v>
      </c>
      <c r="AD34" s="7">
        <v>425</v>
      </c>
      <c r="AE34" s="7">
        <v>428</v>
      </c>
      <c r="AF34" s="7"/>
      <c r="AG34" s="7">
        <v>466</v>
      </c>
      <c r="AH34" s="7">
        <v>416</v>
      </c>
      <c r="AI34" s="7">
        <v>439</v>
      </c>
      <c r="AJ34" s="187" t="s">
        <v>261</v>
      </c>
      <c r="AK34" s="146" t="s">
        <v>261</v>
      </c>
      <c r="AL34" s="146" t="s">
        <v>261</v>
      </c>
      <c r="AM34" s="146" t="s">
        <v>261</v>
      </c>
      <c r="AN34" s="146" t="s">
        <v>261</v>
      </c>
      <c r="AO34" s="146" t="s">
        <v>261</v>
      </c>
      <c r="AP34" s="146" t="s">
        <v>261</v>
      </c>
      <c r="AQ34" s="146" t="s">
        <v>261</v>
      </c>
      <c r="AR34" s="146" t="s">
        <v>261</v>
      </c>
      <c r="AS34" s="146" t="s">
        <v>261</v>
      </c>
      <c r="AT34" s="146" t="s">
        <v>261</v>
      </c>
      <c r="AU34" s="146"/>
      <c r="AV34" s="146" t="s">
        <v>261</v>
      </c>
      <c r="AW34" s="149" t="s">
        <v>261</v>
      </c>
      <c r="AX34" s="166" t="s">
        <v>261</v>
      </c>
      <c r="AY34" s="166" t="s">
        <v>261</v>
      </c>
      <c r="AZ34" s="166" t="s">
        <v>261</v>
      </c>
      <c r="BA34" s="166" t="s">
        <v>261</v>
      </c>
      <c r="BB34" s="166" t="s">
        <v>261</v>
      </c>
      <c r="BC34" s="166" t="s">
        <v>261</v>
      </c>
      <c r="BD34" s="166" t="s">
        <v>261</v>
      </c>
      <c r="BE34" s="166" t="s">
        <v>261</v>
      </c>
      <c r="BF34" s="166" t="s">
        <v>261</v>
      </c>
      <c r="BG34" s="166"/>
      <c r="BH34" s="166" t="s">
        <v>261</v>
      </c>
      <c r="BI34" s="149" t="s">
        <v>261</v>
      </c>
      <c r="BJ34" s="166" t="s">
        <v>261</v>
      </c>
      <c r="BK34" s="166" t="s">
        <v>261</v>
      </c>
      <c r="BL34" s="166" t="s">
        <v>261</v>
      </c>
      <c r="BM34" s="166" t="s">
        <v>261</v>
      </c>
      <c r="BN34" s="166" t="s">
        <v>261</v>
      </c>
      <c r="BO34" s="166" t="s">
        <v>261</v>
      </c>
      <c r="BP34" s="166" t="s">
        <v>261</v>
      </c>
      <c r="BQ34" s="166" t="s">
        <v>261</v>
      </c>
      <c r="BR34" s="166">
        <v>0</v>
      </c>
      <c r="BS34" s="166">
        <v>0</v>
      </c>
      <c r="BT34" s="166"/>
      <c r="BU34" s="166">
        <v>0</v>
      </c>
      <c r="BV34" s="166">
        <v>0</v>
      </c>
      <c r="BW34" s="166">
        <v>10</v>
      </c>
      <c r="BX34" s="162" t="e">
        <f t="shared" si="66"/>
        <v>#VALUE!</v>
      </c>
      <c r="BY34" s="163" t="e">
        <f t="shared" si="67"/>
        <v>#VALUE!</v>
      </c>
      <c r="BZ34" s="163" t="e">
        <f t="shared" si="68"/>
        <v>#VALUE!</v>
      </c>
      <c r="CA34" s="163" t="e">
        <f t="shared" si="69"/>
        <v>#VALUE!</v>
      </c>
      <c r="CB34" s="163" t="e">
        <f t="shared" si="70"/>
        <v>#VALUE!</v>
      </c>
      <c r="CC34" s="163" t="e">
        <f t="shared" si="71"/>
        <v>#VALUE!</v>
      </c>
      <c r="CD34" s="163" t="e">
        <f t="shared" si="72"/>
        <v>#VALUE!</v>
      </c>
      <c r="CE34" s="163" t="e">
        <f t="shared" si="73"/>
        <v>#VALUE!</v>
      </c>
      <c r="CF34" s="163" t="e">
        <f t="shared" si="74"/>
        <v>#VALUE!</v>
      </c>
      <c r="CG34" s="163">
        <f t="shared" si="75"/>
        <v>0</v>
      </c>
      <c r="CH34" s="163">
        <f t="shared" si="76"/>
        <v>0</v>
      </c>
      <c r="CI34" s="163" t="e">
        <f t="shared" si="77"/>
        <v>#DIV/0!</v>
      </c>
      <c r="CJ34" s="163">
        <f t="shared" si="78"/>
        <v>0</v>
      </c>
      <c r="CK34" s="163">
        <f t="shared" si="79"/>
        <v>0</v>
      </c>
      <c r="CL34" s="163">
        <f t="shared" si="80"/>
        <v>2.2779043280182234E-2</v>
      </c>
    </row>
    <row r="35" spans="1:90">
      <c r="A35" s="54" t="s">
        <v>197</v>
      </c>
      <c r="B35" s="124"/>
      <c r="C35" s="7"/>
      <c r="D35" s="7"/>
      <c r="E35" s="7"/>
      <c r="F35" s="7"/>
      <c r="G35" s="7">
        <v>92</v>
      </c>
      <c r="H35" s="7"/>
      <c r="I35" s="7"/>
      <c r="J35" s="7">
        <v>37</v>
      </c>
      <c r="K35" s="7">
        <v>71</v>
      </c>
      <c r="L35" s="7">
        <v>70</v>
      </c>
      <c r="M35" s="7">
        <v>84</v>
      </c>
      <c r="N35" s="7">
        <v>117</v>
      </c>
      <c r="O35" s="7">
        <v>67</v>
      </c>
      <c r="P35" s="7">
        <v>68</v>
      </c>
      <c r="Q35" s="7"/>
      <c r="R35" s="7">
        <v>58</v>
      </c>
      <c r="S35" s="7"/>
      <c r="T35" s="7"/>
      <c r="U35" s="7">
        <v>87</v>
      </c>
      <c r="V35" s="7">
        <v>74</v>
      </c>
      <c r="W35" s="7">
        <v>117</v>
      </c>
      <c r="X35" s="7">
        <v>90</v>
      </c>
      <c r="Y35" s="7">
        <v>139</v>
      </c>
      <c r="Z35" s="7">
        <v>134</v>
      </c>
      <c r="AA35" s="7">
        <v>160</v>
      </c>
      <c r="AB35" s="7">
        <v>143</v>
      </c>
      <c r="AC35" s="7">
        <v>181</v>
      </c>
      <c r="AD35" s="7">
        <v>205</v>
      </c>
      <c r="AE35" s="7">
        <v>233</v>
      </c>
      <c r="AF35" s="7"/>
      <c r="AG35" s="7">
        <v>249</v>
      </c>
      <c r="AH35" s="7">
        <v>280</v>
      </c>
      <c r="AI35" s="7">
        <v>282</v>
      </c>
      <c r="AJ35" s="187" t="s">
        <v>261</v>
      </c>
      <c r="AK35" s="146" t="s">
        <v>261</v>
      </c>
      <c r="AL35" s="146" t="s">
        <v>261</v>
      </c>
      <c r="AM35" s="146" t="s">
        <v>261</v>
      </c>
      <c r="AN35" s="146" t="s">
        <v>261</v>
      </c>
      <c r="AO35" s="146" t="s">
        <v>261</v>
      </c>
      <c r="AP35" s="146" t="s">
        <v>261</v>
      </c>
      <c r="AQ35" s="146" t="s">
        <v>261</v>
      </c>
      <c r="AR35" s="146" t="s">
        <v>261</v>
      </c>
      <c r="AS35" s="146" t="s">
        <v>261</v>
      </c>
      <c r="AT35" s="146" t="s">
        <v>261</v>
      </c>
      <c r="AU35" s="146"/>
      <c r="AV35" s="146" t="s">
        <v>261</v>
      </c>
      <c r="AW35" s="149" t="s">
        <v>261</v>
      </c>
      <c r="AX35" s="166" t="s">
        <v>261</v>
      </c>
      <c r="AY35" s="166" t="s">
        <v>261</v>
      </c>
      <c r="AZ35" s="166" t="s">
        <v>261</v>
      </c>
      <c r="BA35" s="166" t="s">
        <v>261</v>
      </c>
      <c r="BB35" s="166" t="s">
        <v>261</v>
      </c>
      <c r="BC35" s="166" t="s">
        <v>261</v>
      </c>
      <c r="BD35" s="166" t="s">
        <v>261</v>
      </c>
      <c r="BE35" s="166" t="s">
        <v>261</v>
      </c>
      <c r="BF35" s="166" t="s">
        <v>261</v>
      </c>
      <c r="BG35" s="166"/>
      <c r="BH35" s="166" t="s">
        <v>261</v>
      </c>
      <c r="BI35" s="149" t="s">
        <v>261</v>
      </c>
      <c r="BJ35" s="166" t="s">
        <v>261</v>
      </c>
      <c r="BK35" s="166" t="s">
        <v>261</v>
      </c>
      <c r="BL35" s="166" t="s">
        <v>261</v>
      </c>
      <c r="BM35" s="166" t="s">
        <v>261</v>
      </c>
      <c r="BN35" s="166" t="s">
        <v>261</v>
      </c>
      <c r="BO35" s="166" t="s">
        <v>261</v>
      </c>
      <c r="BP35" s="166" t="s">
        <v>261</v>
      </c>
      <c r="BQ35" s="166" t="s">
        <v>261</v>
      </c>
      <c r="BR35" s="166">
        <v>0</v>
      </c>
      <c r="BS35" s="166">
        <v>0</v>
      </c>
      <c r="BT35" s="166"/>
      <c r="BU35" s="166">
        <v>0</v>
      </c>
      <c r="BV35" s="166">
        <v>0</v>
      </c>
      <c r="BW35" s="166">
        <v>0</v>
      </c>
      <c r="BX35" s="162" t="e">
        <f t="shared" si="66"/>
        <v>#VALUE!</v>
      </c>
      <c r="BY35" s="163" t="e">
        <f t="shared" si="67"/>
        <v>#VALUE!</v>
      </c>
      <c r="BZ35" s="163" t="e">
        <f t="shared" si="68"/>
        <v>#VALUE!</v>
      </c>
      <c r="CA35" s="163" t="e">
        <f t="shared" si="69"/>
        <v>#VALUE!</v>
      </c>
      <c r="CB35" s="163" t="e">
        <f t="shared" si="70"/>
        <v>#VALUE!</v>
      </c>
      <c r="CC35" s="163" t="e">
        <f t="shared" si="71"/>
        <v>#VALUE!</v>
      </c>
      <c r="CD35" s="163" t="e">
        <f t="shared" si="72"/>
        <v>#VALUE!</v>
      </c>
      <c r="CE35" s="163" t="e">
        <f t="shared" si="73"/>
        <v>#VALUE!</v>
      </c>
      <c r="CF35" s="163" t="e">
        <f t="shared" si="74"/>
        <v>#VALUE!</v>
      </c>
      <c r="CG35" s="163">
        <f t="shared" si="75"/>
        <v>0</v>
      </c>
      <c r="CH35" s="163">
        <f t="shared" si="76"/>
        <v>0</v>
      </c>
      <c r="CI35" s="163" t="e">
        <f t="shared" si="77"/>
        <v>#DIV/0!</v>
      </c>
      <c r="CJ35" s="163">
        <f t="shared" si="78"/>
        <v>0</v>
      </c>
      <c r="CK35" s="163">
        <f t="shared" si="79"/>
        <v>0</v>
      </c>
      <c r="CL35" s="163">
        <f t="shared" si="80"/>
        <v>0</v>
      </c>
    </row>
    <row r="36" spans="1:90">
      <c r="A36" s="54" t="s">
        <v>76</v>
      </c>
      <c r="B36" s="124"/>
      <c r="C36" s="7"/>
      <c r="D36" s="7"/>
      <c r="E36" s="7"/>
      <c r="F36" s="7"/>
      <c r="G36" s="7">
        <v>267</v>
      </c>
      <c r="H36" s="7"/>
      <c r="I36" s="7"/>
      <c r="J36" s="7">
        <v>378</v>
      </c>
      <c r="K36" s="7">
        <v>376</v>
      </c>
      <c r="L36" s="7">
        <v>398</v>
      </c>
      <c r="M36" s="7">
        <v>466</v>
      </c>
      <c r="N36" s="7">
        <v>475</v>
      </c>
      <c r="O36" s="7">
        <v>518</v>
      </c>
      <c r="P36" s="7">
        <v>566</v>
      </c>
      <c r="Q36" s="7"/>
      <c r="R36" s="7">
        <v>526</v>
      </c>
      <c r="S36" s="7"/>
      <c r="T36" s="7"/>
      <c r="U36" s="7">
        <v>638</v>
      </c>
      <c r="V36" s="7">
        <v>693</v>
      </c>
      <c r="W36" s="7">
        <v>724</v>
      </c>
      <c r="X36" s="7">
        <v>823</v>
      </c>
      <c r="Y36" s="7">
        <v>803</v>
      </c>
      <c r="Z36" s="7">
        <v>854</v>
      </c>
      <c r="AA36" s="7">
        <v>838</v>
      </c>
      <c r="AB36" s="7">
        <v>859</v>
      </c>
      <c r="AC36" s="7">
        <v>939</v>
      </c>
      <c r="AD36" s="7">
        <v>1020</v>
      </c>
      <c r="AE36" s="7">
        <v>987</v>
      </c>
      <c r="AF36" s="7"/>
      <c r="AG36" s="7">
        <v>979</v>
      </c>
      <c r="AH36" s="7">
        <v>1003</v>
      </c>
      <c r="AI36" s="7">
        <v>993</v>
      </c>
      <c r="AJ36" s="187" t="s">
        <v>261</v>
      </c>
      <c r="AK36" s="146" t="s">
        <v>261</v>
      </c>
      <c r="AL36" s="146" t="s">
        <v>261</v>
      </c>
      <c r="AM36" s="146" t="s">
        <v>261</v>
      </c>
      <c r="AN36" s="146" t="s">
        <v>261</v>
      </c>
      <c r="AO36" s="146" t="s">
        <v>261</v>
      </c>
      <c r="AP36" s="146" t="s">
        <v>261</v>
      </c>
      <c r="AQ36" s="146" t="s">
        <v>261</v>
      </c>
      <c r="AR36" s="146" t="s">
        <v>261</v>
      </c>
      <c r="AS36" s="146" t="s">
        <v>261</v>
      </c>
      <c r="AT36" s="146" t="s">
        <v>261</v>
      </c>
      <c r="AU36" s="146"/>
      <c r="AV36" s="146" t="s">
        <v>261</v>
      </c>
      <c r="AW36" s="149" t="s">
        <v>261</v>
      </c>
      <c r="AX36" s="166" t="s">
        <v>261</v>
      </c>
      <c r="AY36" s="166" t="s">
        <v>261</v>
      </c>
      <c r="AZ36" s="166" t="s">
        <v>261</v>
      </c>
      <c r="BA36" s="166" t="s">
        <v>261</v>
      </c>
      <c r="BB36" s="166" t="s">
        <v>261</v>
      </c>
      <c r="BC36" s="166" t="s">
        <v>261</v>
      </c>
      <c r="BD36" s="166" t="s">
        <v>261</v>
      </c>
      <c r="BE36" s="166" t="s">
        <v>261</v>
      </c>
      <c r="BF36" s="166" t="s">
        <v>261</v>
      </c>
      <c r="BG36" s="166"/>
      <c r="BH36" s="166" t="s">
        <v>261</v>
      </c>
      <c r="BI36" s="149" t="s">
        <v>261</v>
      </c>
      <c r="BJ36" s="166" t="s">
        <v>261</v>
      </c>
      <c r="BK36" s="166" t="s">
        <v>261</v>
      </c>
      <c r="BL36" s="166">
        <v>1</v>
      </c>
      <c r="BM36" s="166" t="s">
        <v>261</v>
      </c>
      <c r="BN36" s="166">
        <v>8</v>
      </c>
      <c r="BO36" s="166">
        <v>16</v>
      </c>
      <c r="BP36" s="166">
        <v>13</v>
      </c>
      <c r="BQ36" s="166">
        <v>11</v>
      </c>
      <c r="BR36" s="166">
        <v>15</v>
      </c>
      <c r="BS36" s="166">
        <v>12</v>
      </c>
      <c r="BT36" s="166"/>
      <c r="BU36" s="166">
        <v>0</v>
      </c>
      <c r="BV36" s="166">
        <v>0</v>
      </c>
      <c r="BW36" s="166">
        <v>3</v>
      </c>
      <c r="BX36" s="162" t="e">
        <f t="shared" si="66"/>
        <v>#VALUE!</v>
      </c>
      <c r="BY36" s="163" t="e">
        <f t="shared" si="67"/>
        <v>#VALUE!</v>
      </c>
      <c r="BZ36" s="163" t="e">
        <f t="shared" si="68"/>
        <v>#VALUE!</v>
      </c>
      <c r="CA36" s="163">
        <f t="shared" si="69"/>
        <v>1.215066828675577E-3</v>
      </c>
      <c r="CB36" s="163" t="e">
        <f t="shared" si="70"/>
        <v>#VALUE!</v>
      </c>
      <c r="CC36" s="163">
        <f t="shared" si="71"/>
        <v>9.3676814988290398E-3</v>
      </c>
      <c r="CD36" s="163">
        <f t="shared" si="72"/>
        <v>1.9093078758949882E-2</v>
      </c>
      <c r="CE36" s="163">
        <f t="shared" si="73"/>
        <v>1.5133876600698487E-2</v>
      </c>
      <c r="CF36" s="163">
        <f t="shared" si="74"/>
        <v>1.1714589989350373E-2</v>
      </c>
      <c r="CG36" s="163">
        <f t="shared" si="75"/>
        <v>1.4705882352941176E-2</v>
      </c>
      <c r="CH36" s="163">
        <f t="shared" si="76"/>
        <v>1.2158054711246201E-2</v>
      </c>
      <c r="CI36" s="163" t="e">
        <f t="shared" si="77"/>
        <v>#DIV/0!</v>
      </c>
      <c r="CJ36" s="163">
        <f t="shared" si="78"/>
        <v>0</v>
      </c>
      <c r="CK36" s="163">
        <f t="shared" si="79"/>
        <v>0</v>
      </c>
      <c r="CL36" s="163">
        <f t="shared" si="80"/>
        <v>3.0211480362537764E-3</v>
      </c>
    </row>
    <row r="37" spans="1:90">
      <c r="A37" s="58" t="s">
        <v>200</v>
      </c>
      <c r="B37" s="130"/>
      <c r="C37" s="8"/>
      <c r="D37" s="8"/>
      <c r="E37" s="8"/>
      <c r="F37" s="8"/>
      <c r="G37" s="8">
        <v>0</v>
      </c>
      <c r="H37" s="8"/>
      <c r="I37" s="8"/>
      <c r="J37" s="8">
        <v>9</v>
      </c>
      <c r="K37" s="8">
        <v>9</v>
      </c>
      <c r="L37" s="8">
        <v>14</v>
      </c>
      <c r="M37" s="8">
        <v>10</v>
      </c>
      <c r="N37" s="8">
        <v>7</v>
      </c>
      <c r="O37" s="8">
        <v>13</v>
      </c>
      <c r="P37" s="8">
        <v>14</v>
      </c>
      <c r="Q37" s="8"/>
      <c r="R37" s="8">
        <v>25</v>
      </c>
      <c r="S37" s="8"/>
      <c r="T37" s="8"/>
      <c r="U37" s="8">
        <v>17</v>
      </c>
      <c r="V37" s="8">
        <v>9</v>
      </c>
      <c r="W37" s="8">
        <v>13</v>
      </c>
      <c r="X37" s="8">
        <v>10</v>
      </c>
      <c r="Y37" s="8">
        <v>13</v>
      </c>
      <c r="Z37" s="8">
        <v>12</v>
      </c>
      <c r="AA37" s="8">
        <v>17</v>
      </c>
      <c r="AB37" s="8">
        <v>20</v>
      </c>
      <c r="AC37" s="8">
        <v>10</v>
      </c>
      <c r="AD37" s="8">
        <v>17</v>
      </c>
      <c r="AE37" s="8">
        <v>22</v>
      </c>
      <c r="AF37" s="8"/>
      <c r="AG37" s="8">
        <v>22</v>
      </c>
      <c r="AH37" s="7">
        <v>27</v>
      </c>
      <c r="AI37" s="7">
        <v>14</v>
      </c>
      <c r="AJ37" s="188" t="s">
        <v>261</v>
      </c>
      <c r="AK37" s="147" t="s">
        <v>261</v>
      </c>
      <c r="AL37" s="147" t="s">
        <v>261</v>
      </c>
      <c r="AM37" s="147" t="s">
        <v>261</v>
      </c>
      <c r="AN37" s="147" t="s">
        <v>261</v>
      </c>
      <c r="AO37" s="147" t="s">
        <v>261</v>
      </c>
      <c r="AP37" s="147" t="s">
        <v>261</v>
      </c>
      <c r="AQ37" s="147" t="s">
        <v>261</v>
      </c>
      <c r="AR37" s="147" t="s">
        <v>261</v>
      </c>
      <c r="AS37" s="147" t="s">
        <v>261</v>
      </c>
      <c r="AT37" s="147" t="s">
        <v>261</v>
      </c>
      <c r="AU37" s="147"/>
      <c r="AV37" s="148" t="s">
        <v>261</v>
      </c>
      <c r="AW37" s="171" t="s">
        <v>261</v>
      </c>
      <c r="AX37" s="172" t="s">
        <v>261</v>
      </c>
      <c r="AY37" s="172" t="s">
        <v>261</v>
      </c>
      <c r="AZ37" s="172" t="s">
        <v>261</v>
      </c>
      <c r="BA37" s="172" t="s">
        <v>261</v>
      </c>
      <c r="BB37" s="172" t="s">
        <v>261</v>
      </c>
      <c r="BC37" s="172" t="s">
        <v>261</v>
      </c>
      <c r="BD37" s="172" t="s">
        <v>261</v>
      </c>
      <c r="BE37" s="172" t="s">
        <v>261</v>
      </c>
      <c r="BF37" s="172" t="s">
        <v>261</v>
      </c>
      <c r="BG37" s="172"/>
      <c r="BH37" s="172" t="s">
        <v>261</v>
      </c>
      <c r="BI37" s="171" t="s">
        <v>261</v>
      </c>
      <c r="BJ37" s="172" t="s">
        <v>261</v>
      </c>
      <c r="BK37" s="172" t="s">
        <v>261</v>
      </c>
      <c r="BL37" s="172" t="s">
        <v>261</v>
      </c>
      <c r="BM37" s="172" t="s">
        <v>261</v>
      </c>
      <c r="BN37" s="172" t="s">
        <v>261</v>
      </c>
      <c r="BO37" s="172" t="s">
        <v>261</v>
      </c>
      <c r="BP37" s="172" t="s">
        <v>261</v>
      </c>
      <c r="BQ37" s="172" t="s">
        <v>261</v>
      </c>
      <c r="BR37" s="172">
        <v>0</v>
      </c>
      <c r="BS37" s="172">
        <v>0</v>
      </c>
      <c r="BT37" s="172"/>
      <c r="BU37" s="172">
        <v>0</v>
      </c>
      <c r="BV37" s="172">
        <v>0</v>
      </c>
      <c r="BW37" s="172">
        <v>0</v>
      </c>
      <c r="BX37" s="173" t="e">
        <f t="shared" si="66"/>
        <v>#VALUE!</v>
      </c>
      <c r="BY37" s="174" t="e">
        <f t="shared" si="67"/>
        <v>#VALUE!</v>
      </c>
      <c r="BZ37" s="174" t="e">
        <f t="shared" si="68"/>
        <v>#VALUE!</v>
      </c>
      <c r="CA37" s="174" t="e">
        <f t="shared" si="69"/>
        <v>#VALUE!</v>
      </c>
      <c r="CB37" s="174" t="e">
        <f t="shared" si="70"/>
        <v>#VALUE!</v>
      </c>
      <c r="CC37" s="174" t="e">
        <f t="shared" si="71"/>
        <v>#VALUE!</v>
      </c>
      <c r="CD37" s="174" t="e">
        <f t="shared" si="72"/>
        <v>#VALUE!</v>
      </c>
      <c r="CE37" s="174" t="e">
        <f t="shared" si="73"/>
        <v>#VALUE!</v>
      </c>
      <c r="CF37" s="174" t="e">
        <f t="shared" si="74"/>
        <v>#VALUE!</v>
      </c>
      <c r="CG37" s="174">
        <f t="shared" si="75"/>
        <v>0</v>
      </c>
      <c r="CH37" s="174">
        <f t="shared" si="76"/>
        <v>0</v>
      </c>
      <c r="CI37" s="174" t="e">
        <f t="shared" si="77"/>
        <v>#DIV/0!</v>
      </c>
      <c r="CJ37" s="174">
        <f t="shared" si="78"/>
        <v>0</v>
      </c>
      <c r="CK37" s="174">
        <f t="shared" si="79"/>
        <v>0</v>
      </c>
      <c r="CL37" s="174">
        <f t="shared" si="80"/>
        <v>0</v>
      </c>
    </row>
    <row r="38" spans="1:90">
      <c r="A38" s="54" t="s">
        <v>246</v>
      </c>
      <c r="B38" s="127">
        <f t="shared" ref="B38:BO38" si="81">SUM(B40:B51)</f>
        <v>0</v>
      </c>
      <c r="C38" s="55">
        <f t="shared" si="81"/>
        <v>0</v>
      </c>
      <c r="D38" s="55">
        <f t="shared" si="81"/>
        <v>0</v>
      </c>
      <c r="E38" s="55">
        <f t="shared" si="81"/>
        <v>0</v>
      </c>
      <c r="F38" s="55">
        <f t="shared" si="81"/>
        <v>0</v>
      </c>
      <c r="G38" s="55">
        <f t="shared" si="81"/>
        <v>10122</v>
      </c>
      <c r="H38" s="55">
        <f t="shared" si="81"/>
        <v>0</v>
      </c>
      <c r="I38" s="55">
        <f t="shared" si="81"/>
        <v>0</v>
      </c>
      <c r="J38" s="55">
        <f t="shared" si="81"/>
        <v>12695</v>
      </c>
      <c r="K38" s="55">
        <f t="shared" si="81"/>
        <v>13417</v>
      </c>
      <c r="L38" s="55">
        <f t="shared" si="81"/>
        <v>14339</v>
      </c>
      <c r="M38" s="55">
        <f t="shared" si="81"/>
        <v>15052</v>
      </c>
      <c r="N38" s="55">
        <f t="shared" si="81"/>
        <v>15664</v>
      </c>
      <c r="O38" s="55">
        <f t="shared" si="81"/>
        <v>16279</v>
      </c>
      <c r="P38" s="55">
        <f t="shared" si="81"/>
        <v>16557</v>
      </c>
      <c r="Q38" s="85"/>
      <c r="R38" s="85">
        <f t="shared" si="81"/>
        <v>18100</v>
      </c>
      <c r="S38" s="85"/>
      <c r="T38" s="85"/>
      <c r="U38" s="85">
        <f t="shared" si="81"/>
        <v>20601</v>
      </c>
      <c r="V38" s="85">
        <f t="shared" si="81"/>
        <v>21325</v>
      </c>
      <c r="W38" s="85">
        <f t="shared" si="81"/>
        <v>21440</v>
      </c>
      <c r="X38" s="85">
        <f t="shared" si="81"/>
        <v>22255</v>
      </c>
      <c r="Y38" s="85">
        <f t="shared" si="81"/>
        <v>24287</v>
      </c>
      <c r="Z38" s="85">
        <f t="shared" si="81"/>
        <v>24412</v>
      </c>
      <c r="AA38" s="85">
        <f t="shared" si="81"/>
        <v>25376</v>
      </c>
      <c r="AB38" s="85">
        <f t="shared" ref="AB38:AC38" si="82">SUM(AB40:AB51)</f>
        <v>27513</v>
      </c>
      <c r="AC38" s="85">
        <f t="shared" si="82"/>
        <v>28287</v>
      </c>
      <c r="AD38" s="85">
        <f t="shared" ref="AD38:AE38" si="83">SUM(AD40:AD51)</f>
        <v>30802</v>
      </c>
      <c r="AE38" s="85">
        <f t="shared" si="83"/>
        <v>32118</v>
      </c>
      <c r="AF38" s="85">
        <f t="shared" ref="AF38:AI38" si="84">SUM(AF40:AF51)</f>
        <v>0</v>
      </c>
      <c r="AG38" s="85">
        <f t="shared" si="84"/>
        <v>29218</v>
      </c>
      <c r="AH38" s="55">
        <f t="shared" si="84"/>
        <v>29515</v>
      </c>
      <c r="AI38" s="55">
        <f t="shared" si="84"/>
        <v>29103</v>
      </c>
      <c r="AJ38" s="160">
        <f t="shared" si="81"/>
        <v>0</v>
      </c>
      <c r="AK38" s="161">
        <f t="shared" si="81"/>
        <v>685</v>
      </c>
      <c r="AL38" s="161">
        <f t="shared" si="81"/>
        <v>0</v>
      </c>
      <c r="AM38" s="161">
        <f t="shared" si="81"/>
        <v>0</v>
      </c>
      <c r="AN38" s="161">
        <f t="shared" si="81"/>
        <v>1102</v>
      </c>
      <c r="AO38" s="161">
        <f t="shared" si="81"/>
        <v>1147</v>
      </c>
      <c r="AP38" s="161">
        <f t="shared" si="81"/>
        <v>1137</v>
      </c>
      <c r="AQ38" s="161">
        <f t="shared" si="81"/>
        <v>1255</v>
      </c>
      <c r="AR38" s="161">
        <f t="shared" si="81"/>
        <v>1304</v>
      </c>
      <c r="AS38" s="161">
        <f t="shared" si="81"/>
        <v>1423</v>
      </c>
      <c r="AT38" s="161">
        <f t="shared" si="81"/>
        <v>1454</v>
      </c>
      <c r="AU38" s="161"/>
      <c r="AV38" s="161">
        <f t="shared" si="81"/>
        <v>1410</v>
      </c>
      <c r="AW38" s="160">
        <f t="shared" si="81"/>
        <v>360</v>
      </c>
      <c r="AX38" s="161">
        <f t="shared" si="81"/>
        <v>0</v>
      </c>
      <c r="AY38" s="161">
        <f t="shared" si="81"/>
        <v>0</v>
      </c>
      <c r="AZ38" s="161">
        <f t="shared" si="81"/>
        <v>414</v>
      </c>
      <c r="BA38" s="161">
        <f t="shared" si="81"/>
        <v>484</v>
      </c>
      <c r="BB38" s="161">
        <f t="shared" si="81"/>
        <v>543</v>
      </c>
      <c r="BC38" s="161">
        <f t="shared" si="81"/>
        <v>525</v>
      </c>
      <c r="BD38" s="161">
        <f t="shared" si="81"/>
        <v>584</v>
      </c>
      <c r="BE38" s="161">
        <f t="shared" si="81"/>
        <v>603</v>
      </c>
      <c r="BF38" s="161">
        <f t="shared" si="81"/>
        <v>621</v>
      </c>
      <c r="BG38" s="161"/>
      <c r="BH38" s="161">
        <f t="shared" si="81"/>
        <v>532</v>
      </c>
      <c r="BI38" s="160">
        <f t="shared" si="81"/>
        <v>1651</v>
      </c>
      <c r="BJ38" s="161">
        <f t="shared" si="81"/>
        <v>1300</v>
      </c>
      <c r="BK38" s="161">
        <f t="shared" si="81"/>
        <v>1403</v>
      </c>
      <c r="BL38" s="161">
        <f t="shared" si="81"/>
        <v>1391</v>
      </c>
      <c r="BM38" s="161">
        <f t="shared" si="81"/>
        <v>1515</v>
      </c>
      <c r="BN38" s="161">
        <f t="shared" si="81"/>
        <v>1528</v>
      </c>
      <c r="BO38" s="161">
        <f t="shared" si="81"/>
        <v>1701</v>
      </c>
      <c r="BP38" s="161">
        <f t="shared" ref="BP38:BQ38" si="85">SUM(BP40:BP51)</f>
        <v>1835</v>
      </c>
      <c r="BQ38" s="161">
        <f t="shared" si="85"/>
        <v>1847</v>
      </c>
      <c r="BR38" s="161">
        <f t="shared" ref="BR38:BS38" si="86">SUM(BR40:BR51)</f>
        <v>1733</v>
      </c>
      <c r="BS38" s="161">
        <f t="shared" si="86"/>
        <v>1871</v>
      </c>
      <c r="BT38" s="161">
        <f t="shared" ref="BT38:BW38" si="87">SUM(BT40:BT51)</f>
        <v>0</v>
      </c>
      <c r="BU38" s="161">
        <f t="shared" si="87"/>
        <v>769</v>
      </c>
      <c r="BV38" s="55">
        <f t="shared" si="87"/>
        <v>1445</v>
      </c>
      <c r="BW38" s="55">
        <f t="shared" si="87"/>
        <v>1096</v>
      </c>
      <c r="BX38" s="162">
        <f t="shared" si="66"/>
        <v>8.0141740692199412E-2</v>
      </c>
      <c r="BY38" s="163">
        <f t="shared" si="67"/>
        <v>6.096131301289566E-2</v>
      </c>
      <c r="BZ38" s="163">
        <f t="shared" si="68"/>
        <v>6.5438432835820889E-2</v>
      </c>
      <c r="CA38" s="163">
        <f t="shared" si="69"/>
        <v>6.2502808357672426E-2</v>
      </c>
      <c r="CB38" s="163">
        <f t="shared" si="70"/>
        <v>6.2379050520854781E-2</v>
      </c>
      <c r="CC38" s="163">
        <f t="shared" si="71"/>
        <v>6.2592167786334585E-2</v>
      </c>
      <c r="CD38" s="163">
        <f t="shared" si="72"/>
        <v>6.7031841109709958E-2</v>
      </c>
      <c r="CE38" s="163">
        <f t="shared" si="73"/>
        <v>6.6695743830189363E-2</v>
      </c>
      <c r="CF38" s="163">
        <f t="shared" si="74"/>
        <v>6.5295011842896031E-2</v>
      </c>
      <c r="CG38" s="163">
        <f t="shared" si="75"/>
        <v>5.6262580351925197E-2</v>
      </c>
      <c r="CH38" s="163">
        <f t="shared" si="76"/>
        <v>5.8253938601407311E-2</v>
      </c>
      <c r="CI38" s="163" t="e">
        <f t="shared" si="77"/>
        <v>#DIV/0!</v>
      </c>
      <c r="CJ38" s="163">
        <f t="shared" si="78"/>
        <v>2.6319392155520569E-2</v>
      </c>
      <c r="CK38" s="163">
        <f t="shared" si="79"/>
        <v>4.8958156869388446E-2</v>
      </c>
      <c r="CL38" s="163">
        <f t="shared" si="80"/>
        <v>3.7659347833556678E-2</v>
      </c>
    </row>
    <row r="39" spans="1:90">
      <c r="A39" s="56" t="s">
        <v>244</v>
      </c>
      <c r="B39" s="128">
        <f t="shared" ref="B39:BO39" si="88">(B38/B4)*100</f>
        <v>0</v>
      </c>
      <c r="C39" s="57">
        <f t="shared" si="88"/>
        <v>0</v>
      </c>
      <c r="D39" s="57">
        <f t="shared" si="88"/>
        <v>0</v>
      </c>
      <c r="E39" s="57">
        <f t="shared" si="88"/>
        <v>0</v>
      </c>
      <c r="F39" s="57">
        <f t="shared" si="88"/>
        <v>0</v>
      </c>
      <c r="G39" s="57">
        <f t="shared" si="88"/>
        <v>18.466759103845874</v>
      </c>
      <c r="H39" s="57">
        <f t="shared" si="88"/>
        <v>0</v>
      </c>
      <c r="I39" s="57">
        <f t="shared" si="88"/>
        <v>0</v>
      </c>
      <c r="J39" s="57">
        <f t="shared" si="88"/>
        <v>17.871471809671288</v>
      </c>
      <c r="K39" s="57">
        <f t="shared" si="88"/>
        <v>17.567496792102023</v>
      </c>
      <c r="L39" s="57">
        <f t="shared" si="88"/>
        <v>17.488931442022711</v>
      </c>
      <c r="M39" s="57">
        <f t="shared" si="88"/>
        <v>17.715112926194877</v>
      </c>
      <c r="N39" s="57">
        <f t="shared" si="88"/>
        <v>17.583996587375534</v>
      </c>
      <c r="O39" s="57">
        <f t="shared" si="88"/>
        <v>17.731956517003248</v>
      </c>
      <c r="P39" s="57">
        <f t="shared" si="88"/>
        <v>17.353345002148597</v>
      </c>
      <c r="Q39" s="57"/>
      <c r="R39" s="57">
        <f t="shared" si="88"/>
        <v>17.406356686060491</v>
      </c>
      <c r="S39" s="57"/>
      <c r="T39" s="57"/>
      <c r="U39" s="57">
        <f t="shared" si="88"/>
        <v>17.522327124266397</v>
      </c>
      <c r="V39" s="57">
        <f t="shared" si="88"/>
        <v>17.304056411629624</v>
      </c>
      <c r="W39" s="57">
        <f t="shared" si="88"/>
        <v>16.892264540426403</v>
      </c>
      <c r="X39" s="57">
        <f t="shared" si="88"/>
        <v>16.933612326421912</v>
      </c>
      <c r="Y39" s="57">
        <f t="shared" si="88"/>
        <v>17.695059488681487</v>
      </c>
      <c r="Z39" s="57">
        <f t="shared" si="88"/>
        <v>17.159646853736714</v>
      </c>
      <c r="AA39" s="57">
        <f t="shared" si="88"/>
        <v>17.418880979674771</v>
      </c>
      <c r="AB39" s="57">
        <f t="shared" ref="AB39:AC39" si="89">(AB38/AB4)*100</f>
        <v>18.25849780337921</v>
      </c>
      <c r="AC39" s="57">
        <f t="shared" si="89"/>
        <v>18.338887232083813</v>
      </c>
      <c r="AD39" s="57">
        <f t="shared" ref="AD39:AE39" si="90">(AD38/AD4)*100</f>
        <v>18.212241615817607</v>
      </c>
      <c r="AE39" s="57">
        <f t="shared" si="90"/>
        <v>18.35335260974411</v>
      </c>
      <c r="AF39" s="57" t="e">
        <f t="shared" ref="AF39:AI39" si="91">(AF38/AF4)*100</f>
        <v>#DIV/0!</v>
      </c>
      <c r="AG39" s="57">
        <f t="shared" si="91"/>
        <v>16.489923075620673</v>
      </c>
      <c r="AH39" s="57">
        <f t="shared" si="91"/>
        <v>16.346457390659008</v>
      </c>
      <c r="AI39" s="57">
        <f t="shared" si="91"/>
        <v>15.926864372923838</v>
      </c>
      <c r="AJ39" s="164" t="e">
        <f t="shared" si="88"/>
        <v>#VALUE!</v>
      </c>
      <c r="AK39" s="165">
        <f t="shared" si="88"/>
        <v>4.0544539804675939</v>
      </c>
      <c r="AL39" s="165" t="e">
        <f t="shared" si="88"/>
        <v>#VALUE!</v>
      </c>
      <c r="AM39" s="165" t="e">
        <f t="shared" si="88"/>
        <v>#VALUE!</v>
      </c>
      <c r="AN39" s="165">
        <f t="shared" si="88"/>
        <v>5.2471193219693362</v>
      </c>
      <c r="AO39" s="165">
        <f t="shared" si="88"/>
        <v>4.9780825485004989</v>
      </c>
      <c r="AP39" s="165">
        <f t="shared" si="88"/>
        <v>4.6765105087813108</v>
      </c>
      <c r="AQ39" s="165">
        <f t="shared" si="88"/>
        <v>4.841260656559812</v>
      </c>
      <c r="AR39" s="165">
        <f t="shared" si="88"/>
        <v>4.7596452166295578</v>
      </c>
      <c r="AS39" s="165">
        <f t="shared" si="88"/>
        <v>5.2553827972079619</v>
      </c>
      <c r="AT39" s="165">
        <f t="shared" si="88"/>
        <v>5.2855429132283982</v>
      </c>
      <c r="AU39" s="165"/>
      <c r="AV39" s="165">
        <f t="shared" si="88"/>
        <v>4.9290358666014127</v>
      </c>
      <c r="AW39" s="164">
        <f t="shared" si="88"/>
        <v>2.2628700735432776</v>
      </c>
      <c r="AX39" s="165">
        <f t="shared" si="88"/>
        <v>0</v>
      </c>
      <c r="AY39" s="165">
        <f t="shared" si="88"/>
        <v>0</v>
      </c>
      <c r="AZ39" s="165">
        <f t="shared" si="88"/>
        <v>2.162331557505484</v>
      </c>
      <c r="BA39" s="165">
        <f t="shared" si="88"/>
        <v>2.2264133584801509</v>
      </c>
      <c r="BB39" s="165">
        <f t="shared" si="88"/>
        <v>2.3309723116548615</v>
      </c>
      <c r="BC39" s="165">
        <f t="shared" si="88"/>
        <v>2.2000586682311529</v>
      </c>
      <c r="BD39" s="165">
        <f t="shared" si="88"/>
        <v>2.3195773920641858</v>
      </c>
      <c r="BE39" s="165">
        <f t="shared" si="88"/>
        <v>2.4059370386625702</v>
      </c>
      <c r="BF39" s="165">
        <f t="shared" si="88"/>
        <v>2.4448818897637796</v>
      </c>
      <c r="BG39" s="165"/>
      <c r="BH39" s="165">
        <f t="shared" si="88"/>
        <v>2.0959735245449531</v>
      </c>
      <c r="BI39" s="164">
        <f t="shared" si="88"/>
        <v>5.4336021063024518</v>
      </c>
      <c r="BJ39" s="165">
        <f t="shared" si="88"/>
        <v>4.4157608695652177</v>
      </c>
      <c r="BK39" s="165">
        <f t="shared" si="88"/>
        <v>4.4857243341752726</v>
      </c>
      <c r="BL39" s="165">
        <f t="shared" si="88"/>
        <v>4.2687043515620209</v>
      </c>
      <c r="BM39" s="165">
        <f t="shared" si="88"/>
        <v>4.5515998197386205</v>
      </c>
      <c r="BN39" s="165">
        <f t="shared" si="88"/>
        <v>4.41567448849844</v>
      </c>
      <c r="BO39" s="165">
        <f t="shared" si="88"/>
        <v>4.8694606664376501</v>
      </c>
      <c r="BP39" s="165">
        <f t="shared" ref="BP39:BQ39" si="92">(BP38/BP4)*100</f>
        <v>5.301476323924537</v>
      </c>
      <c r="BQ39" s="165">
        <f t="shared" si="92"/>
        <v>5.0212048716833406</v>
      </c>
      <c r="BR39" s="165">
        <f t="shared" ref="BR39:BS39" si="93">(BR38/BR4)*100</f>
        <v>4.6165321399078296</v>
      </c>
      <c r="BS39" s="165">
        <f t="shared" si="93"/>
        <v>5.0282182209083581</v>
      </c>
      <c r="BT39" s="165" t="e">
        <f t="shared" ref="BT39:BW39" si="94">(BT38/BT4)*100</f>
        <v>#DIV/0!</v>
      </c>
      <c r="BU39" s="165">
        <f t="shared" si="94"/>
        <v>2.6786025288237139</v>
      </c>
      <c r="BV39" s="57">
        <f t="shared" si="94"/>
        <v>4.1113039519731416</v>
      </c>
      <c r="BW39" s="57">
        <f t="shared" si="94"/>
        <v>3.2150190671751249</v>
      </c>
      <c r="BX39" s="162"/>
      <c r="BY39" s="163"/>
      <c r="BZ39" s="163"/>
      <c r="CA39" s="163"/>
      <c r="CB39" s="163"/>
      <c r="CC39" s="163"/>
      <c r="CD39" s="163"/>
      <c r="CE39" s="163"/>
      <c r="CF39" s="163"/>
      <c r="CG39" s="163"/>
      <c r="CH39" s="163"/>
      <c r="CI39" s="163"/>
      <c r="CJ39" s="163"/>
      <c r="CK39" s="163"/>
      <c r="CL39" s="163"/>
    </row>
    <row r="40" spans="1:90">
      <c r="A40" s="54" t="s">
        <v>176</v>
      </c>
      <c r="B40" s="124"/>
      <c r="C40" s="7"/>
      <c r="D40" s="7"/>
      <c r="E40" s="7"/>
      <c r="F40" s="7"/>
      <c r="G40" s="7">
        <v>3055</v>
      </c>
      <c r="H40" s="7"/>
      <c r="I40" s="7"/>
      <c r="J40" s="7">
        <v>3844</v>
      </c>
      <c r="K40" s="7">
        <v>3830</v>
      </c>
      <c r="L40" s="7">
        <v>4049</v>
      </c>
      <c r="M40" s="7">
        <v>4417</v>
      </c>
      <c r="N40" s="7">
        <v>4284</v>
      </c>
      <c r="O40" s="7">
        <v>4713</v>
      </c>
      <c r="P40" s="7">
        <v>4747</v>
      </c>
      <c r="Q40" s="7"/>
      <c r="R40" s="7">
        <v>5308</v>
      </c>
      <c r="S40" s="7"/>
      <c r="T40" s="7"/>
      <c r="U40" s="7">
        <v>5803</v>
      </c>
      <c r="V40" s="7">
        <v>5863</v>
      </c>
      <c r="W40" s="7">
        <v>5850</v>
      </c>
      <c r="X40" s="7">
        <v>5859</v>
      </c>
      <c r="Y40" s="7">
        <v>7320</v>
      </c>
      <c r="Z40" s="7">
        <v>7045</v>
      </c>
      <c r="AA40" s="7">
        <v>7052</v>
      </c>
      <c r="AB40" s="7">
        <v>7217</v>
      </c>
      <c r="AC40" s="7">
        <v>6540</v>
      </c>
      <c r="AD40" s="7">
        <v>6787</v>
      </c>
      <c r="AE40" s="7">
        <v>7398</v>
      </c>
      <c r="AF40" s="7"/>
      <c r="AG40" s="7">
        <v>7143</v>
      </c>
      <c r="AH40" s="7">
        <v>7170</v>
      </c>
      <c r="AI40" s="7">
        <v>6894</v>
      </c>
      <c r="AJ40" s="149" t="s">
        <v>261</v>
      </c>
      <c r="AK40" s="166">
        <v>478</v>
      </c>
      <c r="AL40" s="166" t="s">
        <v>261</v>
      </c>
      <c r="AM40" s="166" t="s">
        <v>261</v>
      </c>
      <c r="AN40" s="166">
        <v>493</v>
      </c>
      <c r="AO40" s="166">
        <v>479</v>
      </c>
      <c r="AP40" s="166">
        <v>614</v>
      </c>
      <c r="AQ40" s="166">
        <v>705</v>
      </c>
      <c r="AR40" s="166">
        <v>671</v>
      </c>
      <c r="AS40" s="166">
        <v>740</v>
      </c>
      <c r="AT40" s="166">
        <v>755</v>
      </c>
      <c r="AU40" s="166"/>
      <c r="AV40" s="166">
        <v>771</v>
      </c>
      <c r="AW40" s="149" t="s">
        <v>261</v>
      </c>
      <c r="AX40" s="166" t="s">
        <v>261</v>
      </c>
      <c r="AY40" s="166" t="s">
        <v>261</v>
      </c>
      <c r="AZ40" s="166" t="s">
        <v>261</v>
      </c>
      <c r="BA40" s="166" t="s">
        <v>261</v>
      </c>
      <c r="BB40" s="166" t="s">
        <v>261</v>
      </c>
      <c r="BC40" s="166" t="s">
        <v>261</v>
      </c>
      <c r="BD40" s="166" t="s">
        <v>261</v>
      </c>
      <c r="BE40" s="166" t="s">
        <v>261</v>
      </c>
      <c r="BF40" s="166" t="s">
        <v>261</v>
      </c>
      <c r="BG40" s="166" t="s">
        <v>261</v>
      </c>
      <c r="BH40" s="166" t="s">
        <v>261</v>
      </c>
      <c r="BI40" s="149">
        <v>684</v>
      </c>
      <c r="BJ40" s="166">
        <v>641</v>
      </c>
      <c r="BK40" s="166">
        <v>652</v>
      </c>
      <c r="BL40" s="166">
        <v>621</v>
      </c>
      <c r="BM40" s="166">
        <v>634</v>
      </c>
      <c r="BN40" s="166">
        <v>686</v>
      </c>
      <c r="BO40" s="166">
        <v>742</v>
      </c>
      <c r="BP40" s="166">
        <v>852</v>
      </c>
      <c r="BQ40" s="166">
        <v>928</v>
      </c>
      <c r="BR40" s="166">
        <v>847</v>
      </c>
      <c r="BS40" s="166">
        <v>891</v>
      </c>
      <c r="BT40" s="166"/>
      <c r="BU40" s="166">
        <v>22</v>
      </c>
      <c r="BV40" s="7">
        <v>587</v>
      </c>
      <c r="BW40" s="7">
        <v>399</v>
      </c>
      <c r="BX40" s="162">
        <f t="shared" ref="BX40:BX52" si="95">BI40/U40</f>
        <v>0.11787006720661726</v>
      </c>
      <c r="BY40" s="163">
        <f t="shared" ref="BY40:BY52" si="96">BJ40/V40</f>
        <v>0.10932969469554836</v>
      </c>
      <c r="BZ40" s="163">
        <f t="shared" ref="BZ40:BZ52" si="97">BK40/W40</f>
        <v>0.11145299145299145</v>
      </c>
      <c r="CA40" s="163">
        <f t="shared" ref="CA40:CA52" si="98">BL40/X40</f>
        <v>0.10599078341013825</v>
      </c>
      <c r="CB40" s="163">
        <f t="shared" ref="CB40:CB52" si="99">BM40/Y40</f>
        <v>8.6612021857923494E-2</v>
      </c>
      <c r="CC40" s="163">
        <f t="shared" ref="CC40:CC52" si="100">BN40/Z40</f>
        <v>9.7374024130589071E-2</v>
      </c>
      <c r="CD40" s="163">
        <f t="shared" ref="CD40:CD52" si="101">BO40/AA40</f>
        <v>0.105218377765173</v>
      </c>
      <c r="CE40" s="163">
        <f t="shared" ref="CE40:CE52" si="102">BP40/AB40</f>
        <v>0.11805459332132465</v>
      </c>
      <c r="CF40" s="163">
        <f t="shared" ref="CF40:CF52" si="103">BQ40/AC40</f>
        <v>0.14189602446483179</v>
      </c>
      <c r="CG40" s="163">
        <f t="shared" ref="CG40:CG52" si="104">BR40/AD40</f>
        <v>0.12479740680713128</v>
      </c>
      <c r="CH40" s="163">
        <f t="shared" ref="CH40:CH52" si="105">BS40/AE40</f>
        <v>0.12043795620437957</v>
      </c>
      <c r="CI40" s="163" t="e">
        <f t="shared" ref="CI40:CI52" si="106">BT40/AF40</f>
        <v>#DIV/0!</v>
      </c>
      <c r="CJ40" s="163">
        <f t="shared" ref="CJ40:CJ52" si="107">BU40/AG40</f>
        <v>3.0799384012319755E-3</v>
      </c>
      <c r="CK40" s="163">
        <f t="shared" ref="CK40:CK52" si="108">BV40/AH40</f>
        <v>8.1868898186889819E-2</v>
      </c>
      <c r="CL40" s="163">
        <f t="shared" ref="CL40:CL52" si="109">BW40/AI40</f>
        <v>5.7876414273281114E-2</v>
      </c>
    </row>
    <row r="41" spans="1:90">
      <c r="A41" s="54" t="s">
        <v>177</v>
      </c>
      <c r="B41" s="124"/>
      <c r="C41" s="7"/>
      <c r="D41" s="7"/>
      <c r="E41" s="7"/>
      <c r="F41" s="7"/>
      <c r="G41" s="7">
        <v>824</v>
      </c>
      <c r="H41" s="7"/>
      <c r="I41" s="7"/>
      <c r="J41" s="7">
        <v>1055</v>
      </c>
      <c r="K41" s="7">
        <v>1251</v>
      </c>
      <c r="L41" s="7">
        <v>1232</v>
      </c>
      <c r="M41" s="7">
        <v>1191</v>
      </c>
      <c r="N41" s="7">
        <v>1266</v>
      </c>
      <c r="O41" s="7">
        <v>1188</v>
      </c>
      <c r="P41" s="7">
        <v>1321</v>
      </c>
      <c r="Q41" s="7"/>
      <c r="R41" s="7">
        <v>1479</v>
      </c>
      <c r="S41" s="7"/>
      <c r="T41" s="7"/>
      <c r="U41" s="7">
        <v>1800</v>
      </c>
      <c r="V41" s="7">
        <v>1874</v>
      </c>
      <c r="W41" s="7">
        <v>1905</v>
      </c>
      <c r="X41" s="7">
        <v>2071</v>
      </c>
      <c r="Y41" s="7">
        <v>2247</v>
      </c>
      <c r="Z41" s="7">
        <v>2273</v>
      </c>
      <c r="AA41" s="7">
        <v>2306</v>
      </c>
      <c r="AB41" s="7">
        <v>2473</v>
      </c>
      <c r="AC41" s="7">
        <v>2573</v>
      </c>
      <c r="AD41" s="7">
        <v>2744</v>
      </c>
      <c r="AE41" s="7">
        <v>2780</v>
      </c>
      <c r="AF41" s="7"/>
      <c r="AG41" s="7">
        <v>2894</v>
      </c>
      <c r="AH41" s="7">
        <v>2975</v>
      </c>
      <c r="AI41" s="7">
        <v>3007</v>
      </c>
      <c r="AJ41" s="149" t="s">
        <v>261</v>
      </c>
      <c r="AK41" s="166">
        <v>19</v>
      </c>
      <c r="AL41" s="166" t="s">
        <v>261</v>
      </c>
      <c r="AM41" s="166" t="s">
        <v>261</v>
      </c>
      <c r="AN41" s="166">
        <v>35</v>
      </c>
      <c r="AO41" s="166">
        <v>85</v>
      </c>
      <c r="AP41" s="166">
        <v>25</v>
      </c>
      <c r="AQ41" s="166">
        <v>39</v>
      </c>
      <c r="AR41" s="166">
        <v>32</v>
      </c>
      <c r="AS41" s="166">
        <v>37</v>
      </c>
      <c r="AT41" s="166">
        <v>37</v>
      </c>
      <c r="AU41" s="166"/>
      <c r="AV41" s="166">
        <v>56</v>
      </c>
      <c r="AW41" s="149" t="s">
        <v>261</v>
      </c>
      <c r="AX41" s="166" t="s">
        <v>261</v>
      </c>
      <c r="AY41" s="166" t="s">
        <v>261</v>
      </c>
      <c r="AZ41" s="166" t="s">
        <v>261</v>
      </c>
      <c r="BA41" s="166" t="s">
        <v>261</v>
      </c>
      <c r="BB41" s="166" t="s">
        <v>261</v>
      </c>
      <c r="BC41" s="166" t="s">
        <v>261</v>
      </c>
      <c r="BD41" s="166" t="s">
        <v>261</v>
      </c>
      <c r="BE41" s="166" t="s">
        <v>261</v>
      </c>
      <c r="BF41" s="166" t="s">
        <v>261</v>
      </c>
      <c r="BG41" s="166" t="s">
        <v>261</v>
      </c>
      <c r="BH41" s="166" t="s">
        <v>261</v>
      </c>
      <c r="BI41" s="149">
        <v>49</v>
      </c>
      <c r="BJ41" s="166">
        <v>46</v>
      </c>
      <c r="BK41" s="166">
        <v>32</v>
      </c>
      <c r="BL41" s="166">
        <v>56</v>
      </c>
      <c r="BM41" s="166">
        <v>59</v>
      </c>
      <c r="BN41" s="166">
        <v>89</v>
      </c>
      <c r="BO41" s="166">
        <v>84</v>
      </c>
      <c r="BP41" s="166">
        <v>94</v>
      </c>
      <c r="BQ41" s="166">
        <v>95</v>
      </c>
      <c r="BR41" s="166">
        <v>112</v>
      </c>
      <c r="BS41" s="166">
        <v>82</v>
      </c>
      <c r="BT41" s="166"/>
      <c r="BU41" s="166">
        <v>65</v>
      </c>
      <c r="BV41" s="7">
        <v>79</v>
      </c>
      <c r="BW41" s="7">
        <v>37</v>
      </c>
      <c r="BX41" s="162">
        <f t="shared" si="95"/>
        <v>2.7222222222222221E-2</v>
      </c>
      <c r="BY41" s="163">
        <f t="shared" si="96"/>
        <v>2.454642475987193E-2</v>
      </c>
      <c r="BZ41" s="163">
        <f t="shared" si="97"/>
        <v>1.6797900262467191E-2</v>
      </c>
      <c r="CA41" s="163">
        <f t="shared" si="98"/>
        <v>2.7040077257363591E-2</v>
      </c>
      <c r="CB41" s="163">
        <f t="shared" si="99"/>
        <v>2.6257231864708502E-2</v>
      </c>
      <c r="CC41" s="163">
        <f t="shared" si="100"/>
        <v>3.915530136383634E-2</v>
      </c>
      <c r="CD41" s="163">
        <f t="shared" si="101"/>
        <v>3.6426712922810058E-2</v>
      </c>
      <c r="CE41" s="163">
        <f t="shared" si="102"/>
        <v>3.8010513546300043E-2</v>
      </c>
      <c r="CF41" s="163">
        <f t="shared" si="103"/>
        <v>3.6921881072677805E-2</v>
      </c>
      <c r="CG41" s="163">
        <f t="shared" si="104"/>
        <v>4.0816326530612242E-2</v>
      </c>
      <c r="CH41" s="163">
        <f t="shared" si="105"/>
        <v>2.9496402877697843E-2</v>
      </c>
      <c r="CI41" s="163" t="e">
        <f t="shared" si="106"/>
        <v>#DIV/0!</v>
      </c>
      <c r="CJ41" s="163">
        <f t="shared" si="107"/>
        <v>2.2460262612301312E-2</v>
      </c>
      <c r="CK41" s="163">
        <f t="shared" si="108"/>
        <v>2.6554621848739496E-2</v>
      </c>
      <c r="CL41" s="163">
        <f t="shared" si="109"/>
        <v>1.2304622547389425E-2</v>
      </c>
    </row>
    <row r="42" spans="1:90">
      <c r="A42" s="54" t="s">
        <v>174</v>
      </c>
      <c r="B42" s="124"/>
      <c r="C42" s="7"/>
      <c r="D42" s="7"/>
      <c r="E42" s="7"/>
      <c r="F42" s="7"/>
      <c r="G42" s="7">
        <v>220</v>
      </c>
      <c r="H42" s="7"/>
      <c r="I42" s="7"/>
      <c r="J42" s="7">
        <v>262</v>
      </c>
      <c r="K42" s="7">
        <v>310</v>
      </c>
      <c r="L42" s="7">
        <v>346</v>
      </c>
      <c r="M42" s="7">
        <v>419</v>
      </c>
      <c r="N42" s="7">
        <v>431</v>
      </c>
      <c r="O42" s="7">
        <v>442</v>
      </c>
      <c r="P42" s="7">
        <v>420</v>
      </c>
      <c r="Q42" s="7"/>
      <c r="R42" s="7">
        <v>471</v>
      </c>
      <c r="S42" s="7"/>
      <c r="T42" s="7"/>
      <c r="U42" s="7">
        <v>485</v>
      </c>
      <c r="V42" s="7">
        <v>501</v>
      </c>
      <c r="W42" s="7">
        <v>561</v>
      </c>
      <c r="X42" s="7">
        <v>590</v>
      </c>
      <c r="Y42" s="7">
        <v>631</v>
      </c>
      <c r="Z42" s="7">
        <v>799</v>
      </c>
      <c r="AA42" s="7">
        <v>1137</v>
      </c>
      <c r="AB42" s="7">
        <v>1790</v>
      </c>
      <c r="AC42" s="7">
        <v>3004</v>
      </c>
      <c r="AD42" s="7">
        <v>3998</v>
      </c>
      <c r="AE42" s="7">
        <v>5065</v>
      </c>
      <c r="AF42" s="7"/>
      <c r="AG42" s="7">
        <v>1616</v>
      </c>
      <c r="AH42" s="7">
        <v>1736</v>
      </c>
      <c r="AI42" s="7">
        <v>1585</v>
      </c>
      <c r="AJ42" s="149" t="s">
        <v>261</v>
      </c>
      <c r="AK42" s="166"/>
      <c r="AL42" s="166" t="s">
        <v>261</v>
      </c>
      <c r="AM42" s="166" t="s">
        <v>261</v>
      </c>
      <c r="AN42" s="166" t="s">
        <v>261</v>
      </c>
      <c r="AO42" s="166" t="s">
        <v>261</v>
      </c>
      <c r="AP42" s="166" t="s">
        <v>261</v>
      </c>
      <c r="AQ42" s="166" t="s">
        <v>261</v>
      </c>
      <c r="AR42" s="166" t="s">
        <v>261</v>
      </c>
      <c r="AS42" s="166" t="s">
        <v>261</v>
      </c>
      <c r="AT42" s="166" t="s">
        <v>261</v>
      </c>
      <c r="AU42" s="166"/>
      <c r="AV42" s="166" t="s">
        <v>261</v>
      </c>
      <c r="AW42" s="149" t="s">
        <v>261</v>
      </c>
      <c r="AX42" s="166" t="s">
        <v>261</v>
      </c>
      <c r="AY42" s="166" t="s">
        <v>261</v>
      </c>
      <c r="AZ42" s="166" t="s">
        <v>261</v>
      </c>
      <c r="BA42" s="166" t="s">
        <v>261</v>
      </c>
      <c r="BB42" s="166" t="s">
        <v>261</v>
      </c>
      <c r="BC42" s="166" t="s">
        <v>261</v>
      </c>
      <c r="BD42" s="166" t="s">
        <v>261</v>
      </c>
      <c r="BE42" s="166" t="s">
        <v>261</v>
      </c>
      <c r="BF42" s="166" t="s">
        <v>261</v>
      </c>
      <c r="BG42" s="166" t="s">
        <v>261</v>
      </c>
      <c r="BH42" s="166" t="s">
        <v>261</v>
      </c>
      <c r="BI42" s="149" t="s">
        <v>261</v>
      </c>
      <c r="BJ42" s="166" t="s">
        <v>261</v>
      </c>
      <c r="BK42" s="166" t="s">
        <v>261</v>
      </c>
      <c r="BL42" s="166" t="s">
        <v>261</v>
      </c>
      <c r="BM42" s="166" t="s">
        <v>261</v>
      </c>
      <c r="BN42" s="166" t="s">
        <v>261</v>
      </c>
      <c r="BO42" s="166" t="s">
        <v>261</v>
      </c>
      <c r="BP42" s="166" t="s">
        <v>261</v>
      </c>
      <c r="BQ42" s="166" t="s">
        <v>261</v>
      </c>
      <c r="BR42" s="166">
        <v>0</v>
      </c>
      <c r="BS42" s="166">
        <v>0</v>
      </c>
      <c r="BT42" s="166"/>
      <c r="BU42" s="166">
        <v>0</v>
      </c>
      <c r="BV42" s="166">
        <v>0</v>
      </c>
      <c r="BW42" s="166">
        <v>0</v>
      </c>
      <c r="BX42" s="162" t="e">
        <f t="shared" si="95"/>
        <v>#VALUE!</v>
      </c>
      <c r="BY42" s="163" t="e">
        <f t="shared" si="96"/>
        <v>#VALUE!</v>
      </c>
      <c r="BZ42" s="163" t="e">
        <f t="shared" si="97"/>
        <v>#VALUE!</v>
      </c>
      <c r="CA42" s="163" t="e">
        <f t="shared" si="98"/>
        <v>#VALUE!</v>
      </c>
      <c r="CB42" s="163" t="e">
        <f t="shared" si="99"/>
        <v>#VALUE!</v>
      </c>
      <c r="CC42" s="163" t="e">
        <f t="shared" si="100"/>
        <v>#VALUE!</v>
      </c>
      <c r="CD42" s="163" t="e">
        <f t="shared" si="101"/>
        <v>#VALUE!</v>
      </c>
      <c r="CE42" s="163" t="e">
        <f t="shared" si="102"/>
        <v>#VALUE!</v>
      </c>
      <c r="CF42" s="163" t="e">
        <f t="shared" si="103"/>
        <v>#VALUE!</v>
      </c>
      <c r="CG42" s="163">
        <f t="shared" si="104"/>
        <v>0</v>
      </c>
      <c r="CH42" s="163">
        <f t="shared" si="105"/>
        <v>0</v>
      </c>
      <c r="CI42" s="163" t="e">
        <f t="shared" si="106"/>
        <v>#DIV/0!</v>
      </c>
      <c r="CJ42" s="163">
        <f t="shared" si="107"/>
        <v>0</v>
      </c>
      <c r="CK42" s="163">
        <f t="shared" si="108"/>
        <v>0</v>
      </c>
      <c r="CL42" s="163">
        <f t="shared" si="109"/>
        <v>0</v>
      </c>
    </row>
    <row r="43" spans="1:90">
      <c r="A43" s="54" t="s">
        <v>178</v>
      </c>
      <c r="B43" s="124"/>
      <c r="C43" s="7"/>
      <c r="D43" s="7"/>
      <c r="E43" s="7"/>
      <c r="F43" s="7"/>
      <c r="G43" s="7">
        <v>311</v>
      </c>
      <c r="H43" s="7"/>
      <c r="I43" s="7"/>
      <c r="J43" s="7">
        <v>347</v>
      </c>
      <c r="K43" s="7">
        <v>348</v>
      </c>
      <c r="L43" s="7">
        <v>414</v>
      </c>
      <c r="M43" s="7">
        <v>447</v>
      </c>
      <c r="N43" s="7">
        <v>495</v>
      </c>
      <c r="O43" s="7">
        <v>494</v>
      </c>
      <c r="P43" s="7">
        <v>461</v>
      </c>
      <c r="Q43" s="7"/>
      <c r="R43" s="7">
        <v>460</v>
      </c>
      <c r="S43" s="7"/>
      <c r="T43" s="7"/>
      <c r="U43" s="7">
        <v>535</v>
      </c>
      <c r="V43" s="7">
        <v>544</v>
      </c>
      <c r="W43" s="7">
        <v>575</v>
      </c>
      <c r="X43" s="7">
        <v>548</v>
      </c>
      <c r="Y43" s="7">
        <v>608</v>
      </c>
      <c r="Z43" s="7">
        <v>601</v>
      </c>
      <c r="AA43" s="7">
        <v>613</v>
      </c>
      <c r="AB43" s="7">
        <v>704</v>
      </c>
      <c r="AC43" s="7">
        <v>697</v>
      </c>
      <c r="AD43" s="7">
        <v>777</v>
      </c>
      <c r="AE43" s="7">
        <v>795</v>
      </c>
      <c r="AF43" s="7"/>
      <c r="AG43" s="7">
        <v>831</v>
      </c>
      <c r="AH43" s="7">
        <v>876</v>
      </c>
      <c r="AI43" s="7">
        <v>852</v>
      </c>
      <c r="AJ43" s="149" t="s">
        <v>261</v>
      </c>
      <c r="AK43" s="166">
        <v>2</v>
      </c>
      <c r="AL43" s="166" t="s">
        <v>261</v>
      </c>
      <c r="AM43" s="166" t="s">
        <v>261</v>
      </c>
      <c r="AN43" s="166" t="s">
        <v>261</v>
      </c>
      <c r="AO43" s="166" t="s">
        <v>261</v>
      </c>
      <c r="AP43" s="166" t="s">
        <v>261</v>
      </c>
      <c r="AQ43" s="166" t="s">
        <v>261</v>
      </c>
      <c r="AR43" s="166" t="s">
        <v>261</v>
      </c>
      <c r="AS43" s="166" t="s">
        <v>261</v>
      </c>
      <c r="AT43" s="166" t="s">
        <v>261</v>
      </c>
      <c r="AU43" s="166"/>
      <c r="AV43" s="166" t="s">
        <v>261</v>
      </c>
      <c r="AW43" s="149" t="s">
        <v>261</v>
      </c>
      <c r="AX43" s="166" t="s">
        <v>261</v>
      </c>
      <c r="AY43" s="166" t="s">
        <v>261</v>
      </c>
      <c r="AZ43" s="166" t="s">
        <v>261</v>
      </c>
      <c r="BA43" s="166" t="s">
        <v>261</v>
      </c>
      <c r="BB43" s="166" t="s">
        <v>261</v>
      </c>
      <c r="BC43" s="166" t="s">
        <v>261</v>
      </c>
      <c r="BD43" s="166" t="s">
        <v>261</v>
      </c>
      <c r="BE43" s="166" t="s">
        <v>261</v>
      </c>
      <c r="BF43" s="166" t="s">
        <v>261</v>
      </c>
      <c r="BG43" s="166" t="s">
        <v>261</v>
      </c>
      <c r="BH43" s="166" t="s">
        <v>261</v>
      </c>
      <c r="BI43" s="149" t="s">
        <v>261</v>
      </c>
      <c r="BJ43" s="166" t="s">
        <v>261</v>
      </c>
      <c r="BK43" s="166" t="s">
        <v>261</v>
      </c>
      <c r="BL43" s="166" t="s">
        <v>261</v>
      </c>
      <c r="BM43" s="166" t="s">
        <v>261</v>
      </c>
      <c r="BN43" s="166" t="s">
        <v>261</v>
      </c>
      <c r="BO43" s="166" t="s">
        <v>261</v>
      </c>
      <c r="BP43" s="166" t="s">
        <v>261</v>
      </c>
      <c r="BQ43" s="166" t="s">
        <v>261</v>
      </c>
      <c r="BR43" s="166">
        <v>0</v>
      </c>
      <c r="BS43" s="166">
        <v>0</v>
      </c>
      <c r="BT43" s="166"/>
      <c r="BU43" s="166">
        <v>0</v>
      </c>
      <c r="BV43" s="166">
        <v>0</v>
      </c>
      <c r="BW43" s="166">
        <v>0</v>
      </c>
      <c r="BX43" s="162" t="e">
        <f t="shared" si="95"/>
        <v>#VALUE!</v>
      </c>
      <c r="BY43" s="163" t="e">
        <f t="shared" si="96"/>
        <v>#VALUE!</v>
      </c>
      <c r="BZ43" s="163" t="e">
        <f t="shared" si="97"/>
        <v>#VALUE!</v>
      </c>
      <c r="CA43" s="163" t="e">
        <f t="shared" si="98"/>
        <v>#VALUE!</v>
      </c>
      <c r="CB43" s="163" t="e">
        <f t="shared" si="99"/>
        <v>#VALUE!</v>
      </c>
      <c r="CC43" s="163" t="e">
        <f t="shared" si="100"/>
        <v>#VALUE!</v>
      </c>
      <c r="CD43" s="163" t="e">
        <f t="shared" si="101"/>
        <v>#VALUE!</v>
      </c>
      <c r="CE43" s="163" t="e">
        <f t="shared" si="102"/>
        <v>#VALUE!</v>
      </c>
      <c r="CF43" s="163" t="e">
        <f t="shared" si="103"/>
        <v>#VALUE!</v>
      </c>
      <c r="CG43" s="163">
        <f t="shared" si="104"/>
        <v>0</v>
      </c>
      <c r="CH43" s="163">
        <f t="shared" si="105"/>
        <v>0</v>
      </c>
      <c r="CI43" s="163" t="e">
        <f t="shared" si="106"/>
        <v>#DIV/0!</v>
      </c>
      <c r="CJ43" s="163">
        <f t="shared" si="107"/>
        <v>0</v>
      </c>
      <c r="CK43" s="163">
        <f t="shared" si="108"/>
        <v>0</v>
      </c>
      <c r="CL43" s="163">
        <f t="shared" si="109"/>
        <v>0</v>
      </c>
    </row>
    <row r="44" spans="1:90">
      <c r="A44" s="54" t="s">
        <v>181</v>
      </c>
      <c r="B44" s="124"/>
      <c r="C44" s="7"/>
      <c r="D44" s="7"/>
      <c r="E44" s="7"/>
      <c r="F44" s="7"/>
      <c r="G44" s="7">
        <v>1938</v>
      </c>
      <c r="H44" s="7"/>
      <c r="I44" s="7"/>
      <c r="J44" s="7">
        <v>2553</v>
      </c>
      <c r="K44" s="7">
        <v>2684</v>
      </c>
      <c r="L44" s="7">
        <v>2801</v>
      </c>
      <c r="M44" s="7">
        <v>2930</v>
      </c>
      <c r="N44" s="7">
        <v>3143</v>
      </c>
      <c r="O44" s="7">
        <v>3247</v>
      </c>
      <c r="P44" s="7">
        <v>3328</v>
      </c>
      <c r="Q44" s="7"/>
      <c r="R44" s="7">
        <v>3718</v>
      </c>
      <c r="S44" s="7"/>
      <c r="T44" s="7"/>
      <c r="U44" s="7">
        <v>3932</v>
      </c>
      <c r="V44" s="7">
        <v>4088</v>
      </c>
      <c r="W44" s="7">
        <v>3981</v>
      </c>
      <c r="X44" s="7">
        <v>4094</v>
      </c>
      <c r="Y44" s="7">
        <v>4149</v>
      </c>
      <c r="Z44" s="7">
        <v>4146</v>
      </c>
      <c r="AA44" s="7">
        <v>4224</v>
      </c>
      <c r="AB44" s="7">
        <v>4435</v>
      </c>
      <c r="AC44" s="7">
        <v>4211</v>
      </c>
      <c r="AD44" s="7">
        <v>4235</v>
      </c>
      <c r="AE44" s="7">
        <v>4382</v>
      </c>
      <c r="AF44" s="7"/>
      <c r="AG44" s="7">
        <v>4515</v>
      </c>
      <c r="AH44" s="7">
        <v>4456</v>
      </c>
      <c r="AI44" s="7">
        <v>4464</v>
      </c>
      <c r="AJ44" s="149" t="s">
        <v>261</v>
      </c>
      <c r="AK44" s="166">
        <v>76</v>
      </c>
      <c r="AL44" s="166" t="s">
        <v>261</v>
      </c>
      <c r="AM44" s="166" t="s">
        <v>261</v>
      </c>
      <c r="AN44" s="166">
        <v>166</v>
      </c>
      <c r="AO44" s="166">
        <v>171</v>
      </c>
      <c r="AP44" s="166">
        <v>25</v>
      </c>
      <c r="AQ44" s="166">
        <v>70</v>
      </c>
      <c r="AR44" s="166">
        <v>101</v>
      </c>
      <c r="AS44" s="166">
        <v>117</v>
      </c>
      <c r="AT44" s="166">
        <v>131</v>
      </c>
      <c r="AU44" s="166"/>
      <c r="AV44" s="166">
        <v>148</v>
      </c>
      <c r="AW44" s="149">
        <v>0</v>
      </c>
      <c r="AX44" s="166">
        <v>0</v>
      </c>
      <c r="AY44" s="166">
        <v>0</v>
      </c>
      <c r="AZ44" s="166">
        <v>0</v>
      </c>
      <c r="BA44" s="166">
        <v>0</v>
      </c>
      <c r="BB44" s="166">
        <v>0</v>
      </c>
      <c r="BC44" s="166">
        <v>0</v>
      </c>
      <c r="BD44" s="166">
        <v>0</v>
      </c>
      <c r="BE44" s="166">
        <v>0</v>
      </c>
      <c r="BF44" s="166">
        <v>0</v>
      </c>
      <c r="BG44" s="166">
        <v>0</v>
      </c>
      <c r="BH44" s="166">
        <v>0</v>
      </c>
      <c r="BI44" s="149">
        <v>250</v>
      </c>
      <c r="BJ44" s="166"/>
      <c r="BK44" s="166">
        <v>87</v>
      </c>
      <c r="BL44" s="166">
        <v>120</v>
      </c>
      <c r="BM44" s="166">
        <v>173</v>
      </c>
      <c r="BN44" s="166">
        <v>173</v>
      </c>
      <c r="BO44" s="166">
        <v>245</v>
      </c>
      <c r="BP44" s="166">
        <v>203</v>
      </c>
      <c r="BQ44" s="166">
        <v>181</v>
      </c>
      <c r="BR44" s="166">
        <v>73</v>
      </c>
      <c r="BS44" s="166">
        <v>222</v>
      </c>
      <c r="BT44" s="166"/>
      <c r="BU44" s="166">
        <v>28</v>
      </c>
      <c r="BV44" s="7">
        <v>75</v>
      </c>
      <c r="BW44" s="7">
        <v>90</v>
      </c>
      <c r="BX44" s="162">
        <f t="shared" si="95"/>
        <v>6.3580874872838256E-2</v>
      </c>
      <c r="BY44" s="163">
        <f t="shared" si="96"/>
        <v>0</v>
      </c>
      <c r="BZ44" s="163">
        <f t="shared" si="97"/>
        <v>2.1853805576488319E-2</v>
      </c>
      <c r="CA44" s="163">
        <f t="shared" si="98"/>
        <v>2.9311187103077674E-2</v>
      </c>
      <c r="CB44" s="163">
        <f t="shared" si="99"/>
        <v>4.1696794408291153E-2</v>
      </c>
      <c r="CC44" s="163">
        <f t="shared" si="100"/>
        <v>4.1726965750120595E-2</v>
      </c>
      <c r="CD44" s="163">
        <f t="shared" si="101"/>
        <v>5.8001893939393936E-2</v>
      </c>
      <c r="CE44" s="163">
        <f t="shared" si="102"/>
        <v>4.577226606538895E-2</v>
      </c>
      <c r="CF44" s="163">
        <f t="shared" si="103"/>
        <v>4.2982664450249349E-2</v>
      </c>
      <c r="CG44" s="163">
        <f t="shared" si="104"/>
        <v>1.7237308146399056E-2</v>
      </c>
      <c r="CH44" s="163">
        <f t="shared" si="105"/>
        <v>5.0661798265632128E-2</v>
      </c>
      <c r="CI44" s="163" t="e">
        <f t="shared" si="106"/>
        <v>#DIV/0!</v>
      </c>
      <c r="CJ44" s="163">
        <f t="shared" si="107"/>
        <v>6.2015503875968991E-3</v>
      </c>
      <c r="CK44" s="163">
        <f t="shared" si="108"/>
        <v>1.6831238779174147E-2</v>
      </c>
      <c r="CL44" s="163">
        <f t="shared" si="109"/>
        <v>2.0161290322580645E-2</v>
      </c>
    </row>
    <row r="45" spans="1:90">
      <c r="A45" s="54" t="s">
        <v>182</v>
      </c>
      <c r="B45" s="124"/>
      <c r="C45" s="7"/>
      <c r="D45" s="7"/>
      <c r="E45" s="7"/>
      <c r="F45" s="7"/>
      <c r="G45" s="7">
        <v>169</v>
      </c>
      <c r="H45" s="7"/>
      <c r="I45" s="7"/>
      <c r="J45" s="7">
        <v>243</v>
      </c>
      <c r="K45" s="7">
        <v>280</v>
      </c>
      <c r="L45" s="7">
        <v>346</v>
      </c>
      <c r="M45" s="7">
        <v>317</v>
      </c>
      <c r="N45" s="7">
        <v>399</v>
      </c>
      <c r="O45" s="7">
        <v>364</v>
      </c>
      <c r="P45" s="7">
        <v>353</v>
      </c>
      <c r="Q45" s="7"/>
      <c r="R45" s="7">
        <v>418</v>
      </c>
      <c r="S45" s="7"/>
      <c r="T45" s="7"/>
      <c r="U45" s="7">
        <v>509</v>
      </c>
      <c r="V45" s="7">
        <v>571</v>
      </c>
      <c r="W45" s="7">
        <v>555</v>
      </c>
      <c r="X45" s="7">
        <v>654</v>
      </c>
      <c r="Y45" s="7">
        <v>772</v>
      </c>
      <c r="Z45" s="7">
        <v>861</v>
      </c>
      <c r="AA45" s="7">
        <v>987</v>
      </c>
      <c r="AB45" s="7">
        <v>1079</v>
      </c>
      <c r="AC45" s="7">
        <v>1119</v>
      </c>
      <c r="AD45" s="7">
        <v>1218</v>
      </c>
      <c r="AE45" s="7">
        <v>1287</v>
      </c>
      <c r="AF45" s="7"/>
      <c r="AG45" s="7">
        <v>1407</v>
      </c>
      <c r="AH45" s="7">
        <v>1390</v>
      </c>
      <c r="AI45" s="7">
        <v>1508</v>
      </c>
      <c r="AJ45" s="149" t="s">
        <v>261</v>
      </c>
      <c r="AK45" s="166" t="s">
        <v>261</v>
      </c>
      <c r="AL45" s="166" t="s">
        <v>261</v>
      </c>
      <c r="AM45" s="166" t="s">
        <v>261</v>
      </c>
      <c r="AN45" s="166" t="s">
        <v>261</v>
      </c>
      <c r="AO45" s="166" t="s">
        <v>261</v>
      </c>
      <c r="AP45" s="166" t="s">
        <v>261</v>
      </c>
      <c r="AQ45" s="166" t="s">
        <v>261</v>
      </c>
      <c r="AR45" s="166" t="s">
        <v>261</v>
      </c>
      <c r="AS45" s="166" t="s">
        <v>261</v>
      </c>
      <c r="AT45" s="166" t="s">
        <v>261</v>
      </c>
      <c r="AU45" s="166"/>
      <c r="AV45" s="166" t="s">
        <v>261</v>
      </c>
      <c r="AW45" s="149" t="s">
        <v>261</v>
      </c>
      <c r="AX45" s="166" t="s">
        <v>261</v>
      </c>
      <c r="AY45" s="166" t="s">
        <v>261</v>
      </c>
      <c r="AZ45" s="166" t="s">
        <v>261</v>
      </c>
      <c r="BA45" s="166" t="s">
        <v>261</v>
      </c>
      <c r="BB45" s="166" t="s">
        <v>261</v>
      </c>
      <c r="BC45" s="166" t="s">
        <v>261</v>
      </c>
      <c r="BD45" s="166" t="s">
        <v>261</v>
      </c>
      <c r="BE45" s="166" t="s">
        <v>261</v>
      </c>
      <c r="BF45" s="166" t="s">
        <v>261</v>
      </c>
      <c r="BG45" s="166" t="s">
        <v>261</v>
      </c>
      <c r="BH45" s="166" t="s">
        <v>261</v>
      </c>
      <c r="BI45" s="149" t="s">
        <v>261</v>
      </c>
      <c r="BJ45" s="166" t="s">
        <v>261</v>
      </c>
      <c r="BK45" s="166" t="s">
        <v>261</v>
      </c>
      <c r="BL45" s="166" t="s">
        <v>261</v>
      </c>
      <c r="BM45" s="166" t="s">
        <v>261</v>
      </c>
      <c r="BN45" s="166" t="s">
        <v>261</v>
      </c>
      <c r="BO45" s="166" t="s">
        <v>261</v>
      </c>
      <c r="BP45" s="166" t="s">
        <v>261</v>
      </c>
      <c r="BQ45" s="166" t="s">
        <v>261</v>
      </c>
      <c r="BR45" s="166">
        <v>0</v>
      </c>
      <c r="BS45" s="166">
        <v>0</v>
      </c>
      <c r="BT45" s="166"/>
      <c r="BU45" s="166">
        <v>0</v>
      </c>
      <c r="BV45" s="166">
        <v>0</v>
      </c>
      <c r="BW45" s="166">
        <v>0</v>
      </c>
      <c r="BX45" s="162" t="e">
        <f t="shared" si="95"/>
        <v>#VALUE!</v>
      </c>
      <c r="BY45" s="163" t="e">
        <f t="shared" si="96"/>
        <v>#VALUE!</v>
      </c>
      <c r="BZ45" s="163" t="e">
        <f t="shared" si="97"/>
        <v>#VALUE!</v>
      </c>
      <c r="CA45" s="163" t="e">
        <f t="shared" si="98"/>
        <v>#VALUE!</v>
      </c>
      <c r="CB45" s="163" t="e">
        <f t="shared" si="99"/>
        <v>#VALUE!</v>
      </c>
      <c r="CC45" s="163" t="e">
        <f t="shared" si="100"/>
        <v>#VALUE!</v>
      </c>
      <c r="CD45" s="163" t="e">
        <f t="shared" si="101"/>
        <v>#VALUE!</v>
      </c>
      <c r="CE45" s="163" t="e">
        <f t="shared" si="102"/>
        <v>#VALUE!</v>
      </c>
      <c r="CF45" s="163" t="e">
        <f t="shared" si="103"/>
        <v>#VALUE!</v>
      </c>
      <c r="CG45" s="163">
        <f t="shared" si="104"/>
        <v>0</v>
      </c>
      <c r="CH45" s="163">
        <f t="shared" si="105"/>
        <v>0</v>
      </c>
      <c r="CI45" s="163" t="e">
        <f t="shared" si="106"/>
        <v>#DIV/0!</v>
      </c>
      <c r="CJ45" s="163">
        <f t="shared" si="107"/>
        <v>0</v>
      </c>
      <c r="CK45" s="163">
        <f t="shared" si="108"/>
        <v>0</v>
      </c>
      <c r="CL45" s="163">
        <f t="shared" si="109"/>
        <v>0</v>
      </c>
    </row>
    <row r="46" spans="1:90">
      <c r="A46" s="54" t="s">
        <v>183</v>
      </c>
      <c r="B46" s="124"/>
      <c r="C46" s="7"/>
      <c r="D46" s="7"/>
      <c r="E46" s="7"/>
      <c r="F46" s="7"/>
      <c r="G46" s="7">
        <v>987</v>
      </c>
      <c r="H46" s="7"/>
      <c r="I46" s="7"/>
      <c r="J46" s="7">
        <v>1323</v>
      </c>
      <c r="K46" s="7">
        <v>1402</v>
      </c>
      <c r="L46" s="7">
        <v>1518</v>
      </c>
      <c r="M46" s="7">
        <v>1697</v>
      </c>
      <c r="N46" s="7">
        <v>1698</v>
      </c>
      <c r="O46" s="7">
        <v>1796</v>
      </c>
      <c r="P46" s="7">
        <v>1837</v>
      </c>
      <c r="Q46" s="7"/>
      <c r="R46" s="7">
        <v>2040</v>
      </c>
      <c r="S46" s="7"/>
      <c r="T46" s="7"/>
      <c r="U46" s="7">
        <v>2597</v>
      </c>
      <c r="V46" s="7">
        <v>2672</v>
      </c>
      <c r="W46" s="7">
        <v>2700</v>
      </c>
      <c r="X46" s="7">
        <v>2912</v>
      </c>
      <c r="Y46" s="7">
        <v>3016</v>
      </c>
      <c r="Z46" s="7">
        <v>2975</v>
      </c>
      <c r="AA46" s="7">
        <v>3280</v>
      </c>
      <c r="AB46" s="7">
        <v>3686</v>
      </c>
      <c r="AC46" s="7">
        <v>3784</v>
      </c>
      <c r="AD46" s="7">
        <v>4035</v>
      </c>
      <c r="AE46" s="7">
        <v>3568</v>
      </c>
      <c r="AF46" s="7"/>
      <c r="AG46" s="7">
        <v>3616</v>
      </c>
      <c r="AH46" s="7">
        <v>3788</v>
      </c>
      <c r="AI46" s="7">
        <v>3757</v>
      </c>
      <c r="AJ46" s="149" t="s">
        <v>261</v>
      </c>
      <c r="AK46" s="166">
        <v>37</v>
      </c>
      <c r="AL46" s="166" t="s">
        <v>261</v>
      </c>
      <c r="AM46" s="166" t="s">
        <v>261</v>
      </c>
      <c r="AN46" s="166">
        <v>62</v>
      </c>
      <c r="AO46" s="166">
        <v>62</v>
      </c>
      <c r="AP46" s="166">
        <v>76</v>
      </c>
      <c r="AQ46" s="166">
        <v>79</v>
      </c>
      <c r="AR46" s="166">
        <v>100</v>
      </c>
      <c r="AS46" s="166">
        <v>124</v>
      </c>
      <c r="AT46" s="166">
        <v>107</v>
      </c>
      <c r="AU46" s="166"/>
      <c r="AV46" s="166">
        <v>87</v>
      </c>
      <c r="AW46" s="149">
        <v>68</v>
      </c>
      <c r="AX46" s="166">
        <v>0</v>
      </c>
      <c r="AY46" s="166">
        <v>0</v>
      </c>
      <c r="AZ46" s="166">
        <v>68</v>
      </c>
      <c r="BA46" s="166">
        <v>134</v>
      </c>
      <c r="BB46" s="166">
        <v>146</v>
      </c>
      <c r="BC46" s="166">
        <v>163</v>
      </c>
      <c r="BD46" s="166">
        <v>184</v>
      </c>
      <c r="BE46" s="166">
        <v>198</v>
      </c>
      <c r="BF46" s="166">
        <v>197</v>
      </c>
      <c r="BG46" s="166"/>
      <c r="BH46" s="166">
        <v>186</v>
      </c>
      <c r="BI46" s="149">
        <v>220</v>
      </c>
      <c r="BJ46" s="166">
        <v>251</v>
      </c>
      <c r="BK46" s="166">
        <v>215</v>
      </c>
      <c r="BL46" s="166">
        <v>205</v>
      </c>
      <c r="BM46" s="166">
        <v>219</v>
      </c>
      <c r="BN46" s="166">
        <v>191</v>
      </c>
      <c r="BO46" s="166">
        <v>251</v>
      </c>
      <c r="BP46" s="166">
        <v>287</v>
      </c>
      <c r="BQ46" s="166">
        <v>280</v>
      </c>
      <c r="BR46" s="166">
        <v>287</v>
      </c>
      <c r="BS46" s="166">
        <v>288</v>
      </c>
      <c r="BT46" s="166"/>
      <c r="BU46" s="166">
        <v>205</v>
      </c>
      <c r="BV46" s="7">
        <v>284</v>
      </c>
      <c r="BW46" s="7">
        <v>217</v>
      </c>
      <c r="BX46" s="162">
        <f t="shared" si="95"/>
        <v>8.4713130535232967E-2</v>
      </c>
      <c r="BY46" s="163">
        <f t="shared" si="96"/>
        <v>9.3937125748502992E-2</v>
      </c>
      <c r="BZ46" s="163">
        <f t="shared" si="97"/>
        <v>7.9629629629629634E-2</v>
      </c>
      <c r="CA46" s="163">
        <f t="shared" si="98"/>
        <v>7.0398351648351648E-2</v>
      </c>
      <c r="CB46" s="163">
        <f t="shared" si="99"/>
        <v>7.2612732095490712E-2</v>
      </c>
      <c r="CC46" s="163">
        <f t="shared" si="100"/>
        <v>6.4201680672268904E-2</v>
      </c>
      <c r="CD46" s="163">
        <f t="shared" si="101"/>
        <v>7.6524390243902438E-2</v>
      </c>
      <c r="CE46" s="163">
        <f t="shared" si="102"/>
        <v>7.7862181226261526E-2</v>
      </c>
      <c r="CF46" s="163">
        <f t="shared" si="103"/>
        <v>7.399577167019028E-2</v>
      </c>
      <c r="CG46" s="163">
        <f t="shared" si="104"/>
        <v>7.112763320941759E-2</v>
      </c>
      <c r="CH46" s="163">
        <f t="shared" si="105"/>
        <v>8.0717488789237665E-2</v>
      </c>
      <c r="CI46" s="163" t="e">
        <f t="shared" si="106"/>
        <v>#DIV/0!</v>
      </c>
      <c r="CJ46" s="163">
        <f t="shared" si="107"/>
        <v>5.6692477876106193E-2</v>
      </c>
      <c r="CK46" s="163">
        <f t="shared" si="108"/>
        <v>7.4973600844772961E-2</v>
      </c>
      <c r="CL46" s="163">
        <f t="shared" si="109"/>
        <v>5.7758850146393398E-2</v>
      </c>
    </row>
    <row r="47" spans="1:90">
      <c r="A47" s="54" t="s">
        <v>186</v>
      </c>
      <c r="B47" s="124"/>
      <c r="C47" s="7"/>
      <c r="D47" s="7"/>
      <c r="E47" s="7"/>
      <c r="F47" s="7"/>
      <c r="G47" s="7">
        <v>152</v>
      </c>
      <c r="H47" s="7"/>
      <c r="I47" s="7"/>
      <c r="J47" s="7">
        <v>190</v>
      </c>
      <c r="K47" s="7">
        <v>185</v>
      </c>
      <c r="L47" s="7">
        <v>217</v>
      </c>
      <c r="M47" s="7">
        <v>222</v>
      </c>
      <c r="N47" s="7">
        <v>220</v>
      </c>
      <c r="O47" s="7">
        <v>231</v>
      </c>
      <c r="P47" s="7">
        <v>232</v>
      </c>
      <c r="Q47" s="7"/>
      <c r="R47" s="7">
        <v>289</v>
      </c>
      <c r="S47" s="7"/>
      <c r="T47" s="7"/>
      <c r="U47" s="7">
        <v>302</v>
      </c>
      <c r="V47" s="7">
        <v>351</v>
      </c>
      <c r="W47" s="7">
        <v>353</v>
      </c>
      <c r="X47" s="7">
        <v>431</v>
      </c>
      <c r="Y47" s="7">
        <v>396</v>
      </c>
      <c r="Z47" s="7">
        <v>407</v>
      </c>
      <c r="AA47" s="7">
        <v>488</v>
      </c>
      <c r="AB47" s="7">
        <v>544</v>
      </c>
      <c r="AC47" s="7">
        <v>546</v>
      </c>
      <c r="AD47" s="7">
        <v>599</v>
      </c>
      <c r="AE47" s="7">
        <v>533</v>
      </c>
      <c r="AF47" s="7"/>
      <c r="AG47" s="7">
        <v>490</v>
      </c>
      <c r="AH47" s="7">
        <v>516</v>
      </c>
      <c r="AI47" s="7">
        <v>540</v>
      </c>
      <c r="AJ47" s="149" t="s">
        <v>261</v>
      </c>
      <c r="AK47" s="166"/>
      <c r="AL47" s="166" t="s">
        <v>261</v>
      </c>
      <c r="AM47" s="166" t="s">
        <v>261</v>
      </c>
      <c r="AN47" s="166" t="s">
        <v>261</v>
      </c>
      <c r="AO47" s="166" t="s">
        <v>261</v>
      </c>
      <c r="AP47" s="166" t="s">
        <v>261</v>
      </c>
      <c r="AQ47" s="166" t="s">
        <v>261</v>
      </c>
      <c r="AR47" s="166" t="s">
        <v>261</v>
      </c>
      <c r="AS47" s="166" t="s">
        <v>261</v>
      </c>
      <c r="AT47" s="166" t="s">
        <v>261</v>
      </c>
      <c r="AU47" s="166"/>
      <c r="AV47" s="166" t="s">
        <v>261</v>
      </c>
      <c r="AW47" s="149" t="s">
        <v>261</v>
      </c>
      <c r="AX47" s="166" t="s">
        <v>261</v>
      </c>
      <c r="AY47" s="166" t="s">
        <v>261</v>
      </c>
      <c r="AZ47" s="166" t="s">
        <v>261</v>
      </c>
      <c r="BA47" s="166" t="s">
        <v>261</v>
      </c>
      <c r="BB47" s="166" t="s">
        <v>261</v>
      </c>
      <c r="BC47" s="166" t="s">
        <v>261</v>
      </c>
      <c r="BD47" s="166" t="s">
        <v>261</v>
      </c>
      <c r="BE47" s="166" t="s">
        <v>261</v>
      </c>
      <c r="BF47" s="166" t="s">
        <v>261</v>
      </c>
      <c r="BG47" s="166" t="s">
        <v>261</v>
      </c>
      <c r="BH47" s="166" t="s">
        <v>261</v>
      </c>
      <c r="BI47" s="149" t="s">
        <v>261</v>
      </c>
      <c r="BJ47" s="166" t="s">
        <v>261</v>
      </c>
      <c r="BK47" s="166" t="s">
        <v>261</v>
      </c>
      <c r="BL47" s="166" t="s">
        <v>261</v>
      </c>
      <c r="BM47" s="166" t="s">
        <v>261</v>
      </c>
      <c r="BN47" s="166" t="s">
        <v>261</v>
      </c>
      <c r="BO47" s="166" t="s">
        <v>261</v>
      </c>
      <c r="BP47" s="166" t="s">
        <v>261</v>
      </c>
      <c r="BQ47" s="166" t="s">
        <v>261</v>
      </c>
      <c r="BR47" s="166">
        <v>0</v>
      </c>
      <c r="BS47" s="166">
        <v>0</v>
      </c>
      <c r="BT47" s="166"/>
      <c r="BU47" s="166">
        <v>0</v>
      </c>
      <c r="BV47" s="166">
        <v>0</v>
      </c>
      <c r="BW47" s="166">
        <v>0</v>
      </c>
      <c r="BX47" s="162" t="e">
        <f t="shared" si="95"/>
        <v>#VALUE!</v>
      </c>
      <c r="BY47" s="163" t="e">
        <f t="shared" si="96"/>
        <v>#VALUE!</v>
      </c>
      <c r="BZ47" s="163" t="e">
        <f t="shared" si="97"/>
        <v>#VALUE!</v>
      </c>
      <c r="CA47" s="163" t="e">
        <f t="shared" si="98"/>
        <v>#VALUE!</v>
      </c>
      <c r="CB47" s="163" t="e">
        <f t="shared" si="99"/>
        <v>#VALUE!</v>
      </c>
      <c r="CC47" s="163" t="e">
        <f t="shared" si="100"/>
        <v>#VALUE!</v>
      </c>
      <c r="CD47" s="163" t="e">
        <f t="shared" si="101"/>
        <v>#VALUE!</v>
      </c>
      <c r="CE47" s="163" t="e">
        <f t="shared" si="102"/>
        <v>#VALUE!</v>
      </c>
      <c r="CF47" s="163" t="e">
        <f t="shared" si="103"/>
        <v>#VALUE!</v>
      </c>
      <c r="CG47" s="163">
        <f t="shared" si="104"/>
        <v>0</v>
      </c>
      <c r="CH47" s="163">
        <f t="shared" si="105"/>
        <v>0</v>
      </c>
      <c r="CI47" s="163" t="e">
        <f t="shared" si="106"/>
        <v>#DIV/0!</v>
      </c>
      <c r="CJ47" s="163">
        <f t="shared" si="107"/>
        <v>0</v>
      </c>
      <c r="CK47" s="163">
        <f t="shared" si="108"/>
        <v>0</v>
      </c>
      <c r="CL47" s="163">
        <f t="shared" si="109"/>
        <v>0</v>
      </c>
    </row>
    <row r="48" spans="1:90">
      <c r="A48" s="54" t="s">
        <v>185</v>
      </c>
      <c r="B48" s="124"/>
      <c r="C48" s="7"/>
      <c r="D48" s="7"/>
      <c r="E48" s="7"/>
      <c r="F48" s="7"/>
      <c r="G48" s="7">
        <v>29</v>
      </c>
      <c r="H48" s="7"/>
      <c r="I48" s="7"/>
      <c r="J48" s="7">
        <v>27</v>
      </c>
      <c r="K48" s="7">
        <v>20</v>
      </c>
      <c r="L48" s="7">
        <v>27</v>
      </c>
      <c r="M48" s="7">
        <v>21</v>
      </c>
      <c r="N48" s="7">
        <v>28</v>
      </c>
      <c r="O48" s="7">
        <v>28</v>
      </c>
      <c r="P48" s="7">
        <v>15</v>
      </c>
      <c r="Q48" s="7"/>
      <c r="R48" s="7">
        <v>26</v>
      </c>
      <c r="S48" s="7"/>
      <c r="T48" s="7"/>
      <c r="U48" s="7">
        <v>34</v>
      </c>
      <c r="V48" s="7">
        <v>39</v>
      </c>
      <c r="W48" s="7">
        <v>52</v>
      </c>
      <c r="X48" s="7">
        <v>51</v>
      </c>
      <c r="Y48" s="7">
        <v>47</v>
      </c>
      <c r="Z48" s="7">
        <v>63</v>
      </c>
      <c r="AA48" s="7">
        <v>75</v>
      </c>
      <c r="AB48" s="7">
        <v>72</v>
      </c>
      <c r="AC48" s="7">
        <v>74</v>
      </c>
      <c r="AD48" s="7">
        <v>106</v>
      </c>
      <c r="AE48" s="7">
        <v>93</v>
      </c>
      <c r="AF48" s="7"/>
      <c r="AG48" s="7">
        <v>135</v>
      </c>
      <c r="AH48" s="7">
        <v>146</v>
      </c>
      <c r="AI48" s="7">
        <v>173</v>
      </c>
      <c r="AJ48" s="149" t="s">
        <v>261</v>
      </c>
      <c r="AK48" s="166"/>
      <c r="AL48" s="166" t="s">
        <v>261</v>
      </c>
      <c r="AM48" s="166" t="s">
        <v>261</v>
      </c>
      <c r="AN48" s="166" t="s">
        <v>261</v>
      </c>
      <c r="AO48" s="166" t="s">
        <v>261</v>
      </c>
      <c r="AP48" s="166" t="s">
        <v>261</v>
      </c>
      <c r="AQ48" s="166" t="s">
        <v>261</v>
      </c>
      <c r="AR48" s="166" t="s">
        <v>261</v>
      </c>
      <c r="AS48" s="166" t="s">
        <v>261</v>
      </c>
      <c r="AT48" s="166" t="s">
        <v>261</v>
      </c>
      <c r="AU48" s="166"/>
      <c r="AV48" s="166" t="s">
        <v>261</v>
      </c>
      <c r="AW48" s="149" t="s">
        <v>261</v>
      </c>
      <c r="AX48" s="166" t="s">
        <v>261</v>
      </c>
      <c r="AY48" s="166" t="s">
        <v>261</v>
      </c>
      <c r="AZ48" s="166" t="s">
        <v>261</v>
      </c>
      <c r="BA48" s="166" t="s">
        <v>261</v>
      </c>
      <c r="BB48" s="166" t="s">
        <v>261</v>
      </c>
      <c r="BC48" s="166" t="s">
        <v>261</v>
      </c>
      <c r="BD48" s="166" t="s">
        <v>261</v>
      </c>
      <c r="BE48" s="166" t="s">
        <v>261</v>
      </c>
      <c r="BF48" s="166" t="s">
        <v>261</v>
      </c>
      <c r="BG48" s="166" t="s">
        <v>261</v>
      </c>
      <c r="BH48" s="166" t="s">
        <v>261</v>
      </c>
      <c r="BI48" s="149" t="s">
        <v>261</v>
      </c>
      <c r="BJ48" s="166" t="s">
        <v>261</v>
      </c>
      <c r="BK48" s="166" t="s">
        <v>261</v>
      </c>
      <c r="BL48" s="166" t="s">
        <v>261</v>
      </c>
      <c r="BM48" s="166" t="s">
        <v>261</v>
      </c>
      <c r="BN48" s="166" t="s">
        <v>261</v>
      </c>
      <c r="BO48" s="166" t="s">
        <v>261</v>
      </c>
      <c r="BP48" s="166" t="s">
        <v>261</v>
      </c>
      <c r="BQ48" s="166" t="s">
        <v>261</v>
      </c>
      <c r="BR48" s="166">
        <v>0</v>
      </c>
      <c r="BS48" s="166">
        <v>0</v>
      </c>
      <c r="BT48" s="166"/>
      <c r="BU48" s="166">
        <v>0</v>
      </c>
      <c r="BV48" s="166">
        <v>0</v>
      </c>
      <c r="BW48" s="166">
        <v>0</v>
      </c>
      <c r="BX48" s="162" t="e">
        <f t="shared" si="95"/>
        <v>#VALUE!</v>
      </c>
      <c r="BY48" s="163" t="e">
        <f t="shared" si="96"/>
        <v>#VALUE!</v>
      </c>
      <c r="BZ48" s="163" t="e">
        <f t="shared" si="97"/>
        <v>#VALUE!</v>
      </c>
      <c r="CA48" s="163" t="e">
        <f t="shared" si="98"/>
        <v>#VALUE!</v>
      </c>
      <c r="CB48" s="163" t="e">
        <f t="shared" si="99"/>
        <v>#VALUE!</v>
      </c>
      <c r="CC48" s="163" t="e">
        <f t="shared" si="100"/>
        <v>#VALUE!</v>
      </c>
      <c r="CD48" s="163" t="e">
        <f t="shared" si="101"/>
        <v>#VALUE!</v>
      </c>
      <c r="CE48" s="163" t="e">
        <f t="shared" si="102"/>
        <v>#VALUE!</v>
      </c>
      <c r="CF48" s="163" t="e">
        <f t="shared" si="103"/>
        <v>#VALUE!</v>
      </c>
      <c r="CG48" s="163">
        <f t="shared" si="104"/>
        <v>0</v>
      </c>
      <c r="CH48" s="163">
        <f t="shared" si="105"/>
        <v>0</v>
      </c>
      <c r="CI48" s="163" t="e">
        <f t="shared" si="106"/>
        <v>#DIV/0!</v>
      </c>
      <c r="CJ48" s="163">
        <f t="shared" si="107"/>
        <v>0</v>
      </c>
      <c r="CK48" s="163">
        <f t="shared" si="108"/>
        <v>0</v>
      </c>
      <c r="CL48" s="163">
        <f t="shared" si="109"/>
        <v>0</v>
      </c>
    </row>
    <row r="49" spans="1:90">
      <c r="A49" s="54" t="s">
        <v>192</v>
      </c>
      <c r="B49" s="124"/>
      <c r="C49" s="7"/>
      <c r="D49" s="7"/>
      <c r="E49" s="7"/>
      <c r="F49" s="7"/>
      <c r="G49" s="7">
        <v>2047</v>
      </c>
      <c r="H49" s="7"/>
      <c r="I49" s="7"/>
      <c r="J49" s="7">
        <v>2419</v>
      </c>
      <c r="K49" s="7">
        <v>2612</v>
      </c>
      <c r="L49" s="7">
        <v>2814</v>
      </c>
      <c r="M49" s="7">
        <v>2820</v>
      </c>
      <c r="N49" s="7">
        <v>3072</v>
      </c>
      <c r="O49" s="7">
        <v>3122</v>
      </c>
      <c r="P49" s="7">
        <v>3186</v>
      </c>
      <c r="Q49" s="7"/>
      <c r="R49" s="7">
        <v>3199</v>
      </c>
      <c r="S49" s="7"/>
      <c r="T49" s="7"/>
      <c r="U49" s="7">
        <v>3808</v>
      </c>
      <c r="V49" s="7">
        <v>3953</v>
      </c>
      <c r="W49" s="7">
        <v>4060</v>
      </c>
      <c r="X49" s="7">
        <v>4060</v>
      </c>
      <c r="Y49" s="7">
        <v>4174</v>
      </c>
      <c r="Z49" s="7">
        <v>4268</v>
      </c>
      <c r="AA49" s="7">
        <v>4275</v>
      </c>
      <c r="AB49" s="7">
        <v>4486</v>
      </c>
      <c r="AC49" s="7">
        <v>4691</v>
      </c>
      <c r="AD49" s="7">
        <v>5192</v>
      </c>
      <c r="AE49" s="7">
        <v>5040</v>
      </c>
      <c r="AF49" s="7"/>
      <c r="AG49" s="7">
        <v>5327</v>
      </c>
      <c r="AH49" s="7">
        <v>5166</v>
      </c>
      <c r="AI49" s="7">
        <v>5130</v>
      </c>
      <c r="AJ49" s="149" t="s">
        <v>261</v>
      </c>
      <c r="AK49" s="166">
        <v>73</v>
      </c>
      <c r="AL49" s="166" t="s">
        <v>261</v>
      </c>
      <c r="AM49" s="166" t="s">
        <v>261</v>
      </c>
      <c r="AN49" s="166">
        <v>346</v>
      </c>
      <c r="AO49" s="166">
        <v>350</v>
      </c>
      <c r="AP49" s="166">
        <v>397</v>
      </c>
      <c r="AQ49" s="166">
        <v>362</v>
      </c>
      <c r="AR49" s="166">
        <v>400</v>
      </c>
      <c r="AS49" s="166">
        <v>405</v>
      </c>
      <c r="AT49" s="166">
        <v>424</v>
      </c>
      <c r="AU49" s="166"/>
      <c r="AV49" s="166">
        <v>348</v>
      </c>
      <c r="AW49" s="149">
        <v>292</v>
      </c>
      <c r="AX49" s="166">
        <v>0</v>
      </c>
      <c r="AY49" s="166">
        <v>0</v>
      </c>
      <c r="AZ49" s="166">
        <v>346</v>
      </c>
      <c r="BA49" s="166">
        <v>350</v>
      </c>
      <c r="BB49" s="166">
        <v>397</v>
      </c>
      <c r="BC49" s="166">
        <v>362</v>
      </c>
      <c r="BD49" s="166">
        <v>400</v>
      </c>
      <c r="BE49" s="166">
        <v>405</v>
      </c>
      <c r="BF49" s="166">
        <v>424</v>
      </c>
      <c r="BG49" s="166">
        <v>0</v>
      </c>
      <c r="BH49" s="166">
        <v>346</v>
      </c>
      <c r="BI49" s="149">
        <v>448</v>
      </c>
      <c r="BJ49" s="166">
        <v>360</v>
      </c>
      <c r="BK49" s="166">
        <v>409</v>
      </c>
      <c r="BL49" s="166">
        <v>383</v>
      </c>
      <c r="BM49" s="166">
        <v>420</v>
      </c>
      <c r="BN49" s="166">
        <v>389</v>
      </c>
      <c r="BO49" s="166">
        <v>378</v>
      </c>
      <c r="BP49" s="166">
        <v>399</v>
      </c>
      <c r="BQ49" s="166">
        <v>360</v>
      </c>
      <c r="BR49" s="166">
        <v>410</v>
      </c>
      <c r="BS49" s="166">
        <v>368</v>
      </c>
      <c r="BT49" s="166"/>
      <c r="BU49" s="166">
        <v>422</v>
      </c>
      <c r="BV49" s="7">
        <v>404</v>
      </c>
      <c r="BW49" s="7">
        <v>344</v>
      </c>
      <c r="BX49" s="162">
        <f t="shared" si="95"/>
        <v>0.11764705882352941</v>
      </c>
      <c r="BY49" s="163">
        <f t="shared" si="96"/>
        <v>9.107007336200354E-2</v>
      </c>
      <c r="BZ49" s="163">
        <f t="shared" si="97"/>
        <v>0.10073891625615763</v>
      </c>
      <c r="CA49" s="163">
        <f t="shared" si="98"/>
        <v>9.4334975369458132E-2</v>
      </c>
      <c r="CB49" s="163">
        <f t="shared" si="99"/>
        <v>0.10062290368950647</v>
      </c>
      <c r="CC49" s="163">
        <f t="shared" si="100"/>
        <v>9.1143392689784442E-2</v>
      </c>
      <c r="CD49" s="163">
        <f t="shared" si="101"/>
        <v>8.8421052631578942E-2</v>
      </c>
      <c r="CE49" s="163">
        <f t="shared" si="102"/>
        <v>8.8943379402585829E-2</v>
      </c>
      <c r="CF49" s="163">
        <f t="shared" si="103"/>
        <v>7.6742698784907276E-2</v>
      </c>
      <c r="CG49" s="163">
        <f t="shared" si="104"/>
        <v>7.896764252696456E-2</v>
      </c>
      <c r="CH49" s="163">
        <f t="shared" si="105"/>
        <v>7.301587301587302E-2</v>
      </c>
      <c r="CI49" s="163" t="e">
        <f t="shared" si="106"/>
        <v>#DIV/0!</v>
      </c>
      <c r="CJ49" s="163">
        <f t="shared" si="107"/>
        <v>7.9219072648770414E-2</v>
      </c>
      <c r="CK49" s="163">
        <f t="shared" si="108"/>
        <v>7.820363917924894E-2</v>
      </c>
      <c r="CL49" s="163">
        <f t="shared" si="109"/>
        <v>6.7056530214424953E-2</v>
      </c>
    </row>
    <row r="50" spans="1:90">
      <c r="A50" s="54" t="s">
        <v>196</v>
      </c>
      <c r="B50" s="124"/>
      <c r="C50" s="7"/>
      <c r="D50" s="7"/>
      <c r="E50" s="7"/>
      <c r="F50" s="7"/>
      <c r="G50" s="7">
        <v>30</v>
      </c>
      <c r="H50" s="7"/>
      <c r="I50" s="7"/>
      <c r="J50" s="7">
        <v>20</v>
      </c>
      <c r="K50" s="7">
        <v>23</v>
      </c>
      <c r="L50" s="7">
        <v>14</v>
      </c>
      <c r="M50" s="7">
        <v>27</v>
      </c>
      <c r="N50" s="7">
        <v>28</v>
      </c>
      <c r="O50" s="7">
        <v>24</v>
      </c>
      <c r="P50" s="7">
        <v>25</v>
      </c>
      <c r="Q50" s="7"/>
      <c r="R50" s="7">
        <v>50</v>
      </c>
      <c r="S50" s="7"/>
      <c r="T50" s="7"/>
      <c r="U50" s="7">
        <v>42</v>
      </c>
      <c r="V50" s="7">
        <v>36</v>
      </c>
      <c r="W50" s="7">
        <v>38</v>
      </c>
      <c r="X50" s="7">
        <v>50</v>
      </c>
      <c r="Y50" s="7">
        <v>39</v>
      </c>
      <c r="Z50" s="7">
        <v>64</v>
      </c>
      <c r="AA50" s="7">
        <v>45</v>
      </c>
      <c r="AB50" s="7">
        <v>54</v>
      </c>
      <c r="AC50" s="7">
        <v>58</v>
      </c>
      <c r="AD50" s="7">
        <v>62</v>
      </c>
      <c r="AE50" s="7">
        <v>78</v>
      </c>
      <c r="AF50" s="7"/>
      <c r="AG50" s="7">
        <v>87</v>
      </c>
      <c r="AH50" s="7">
        <v>132</v>
      </c>
      <c r="AI50" s="7">
        <v>146</v>
      </c>
      <c r="AJ50" s="149" t="s">
        <v>261</v>
      </c>
      <c r="AK50" s="166"/>
      <c r="AL50" s="166" t="s">
        <v>261</v>
      </c>
      <c r="AM50" s="166" t="s">
        <v>261</v>
      </c>
      <c r="AN50" s="166" t="s">
        <v>261</v>
      </c>
      <c r="AO50" s="166" t="s">
        <v>261</v>
      </c>
      <c r="AP50" s="166" t="s">
        <v>261</v>
      </c>
      <c r="AQ50" s="166" t="s">
        <v>261</v>
      </c>
      <c r="AR50" s="166" t="s">
        <v>261</v>
      </c>
      <c r="AS50" s="166" t="s">
        <v>261</v>
      </c>
      <c r="AT50" s="166" t="s">
        <v>261</v>
      </c>
      <c r="AU50" s="166"/>
      <c r="AV50" s="166" t="s">
        <v>261</v>
      </c>
      <c r="AW50" s="149" t="s">
        <v>261</v>
      </c>
      <c r="AX50" s="166" t="s">
        <v>261</v>
      </c>
      <c r="AY50" s="166" t="s">
        <v>261</v>
      </c>
      <c r="AZ50" s="166" t="s">
        <v>261</v>
      </c>
      <c r="BA50" s="166" t="s">
        <v>261</v>
      </c>
      <c r="BB50" s="166" t="s">
        <v>261</v>
      </c>
      <c r="BC50" s="166" t="s">
        <v>261</v>
      </c>
      <c r="BD50" s="166" t="s">
        <v>261</v>
      </c>
      <c r="BE50" s="166" t="s">
        <v>261</v>
      </c>
      <c r="BF50" s="166" t="s">
        <v>261</v>
      </c>
      <c r="BG50" s="166" t="s">
        <v>261</v>
      </c>
      <c r="BH50" s="166" t="s">
        <v>261</v>
      </c>
      <c r="BI50" s="149" t="s">
        <v>261</v>
      </c>
      <c r="BJ50" s="166" t="s">
        <v>261</v>
      </c>
      <c r="BK50" s="166" t="s">
        <v>261</v>
      </c>
      <c r="BL50" s="166" t="s">
        <v>261</v>
      </c>
      <c r="BM50" s="166" t="s">
        <v>261</v>
      </c>
      <c r="BN50" s="166" t="s">
        <v>261</v>
      </c>
      <c r="BO50" s="166" t="s">
        <v>261</v>
      </c>
      <c r="BP50" s="166" t="s">
        <v>261</v>
      </c>
      <c r="BQ50" s="166" t="s">
        <v>261</v>
      </c>
      <c r="BR50" s="166">
        <v>0</v>
      </c>
      <c r="BS50" s="166">
        <v>0</v>
      </c>
      <c r="BT50" s="166"/>
      <c r="BU50" s="166">
        <v>0</v>
      </c>
      <c r="BV50" s="166">
        <v>0</v>
      </c>
      <c r="BW50" s="166">
        <v>0</v>
      </c>
      <c r="BX50" s="162" t="e">
        <f t="shared" si="95"/>
        <v>#VALUE!</v>
      </c>
      <c r="BY50" s="163" t="e">
        <f t="shared" si="96"/>
        <v>#VALUE!</v>
      </c>
      <c r="BZ50" s="163" t="e">
        <f t="shared" si="97"/>
        <v>#VALUE!</v>
      </c>
      <c r="CA50" s="163" t="e">
        <f t="shared" si="98"/>
        <v>#VALUE!</v>
      </c>
      <c r="CB50" s="163" t="e">
        <f t="shared" si="99"/>
        <v>#VALUE!</v>
      </c>
      <c r="CC50" s="163" t="e">
        <f t="shared" si="100"/>
        <v>#VALUE!</v>
      </c>
      <c r="CD50" s="163" t="e">
        <f t="shared" si="101"/>
        <v>#VALUE!</v>
      </c>
      <c r="CE50" s="163" t="e">
        <f t="shared" si="102"/>
        <v>#VALUE!</v>
      </c>
      <c r="CF50" s="163" t="e">
        <f t="shared" si="103"/>
        <v>#VALUE!</v>
      </c>
      <c r="CG50" s="163">
        <f t="shared" si="104"/>
        <v>0</v>
      </c>
      <c r="CH50" s="163">
        <f t="shared" si="105"/>
        <v>0</v>
      </c>
      <c r="CI50" s="163" t="e">
        <f t="shared" si="106"/>
        <v>#DIV/0!</v>
      </c>
      <c r="CJ50" s="163">
        <f t="shared" si="107"/>
        <v>0</v>
      </c>
      <c r="CK50" s="163">
        <f t="shared" si="108"/>
        <v>0</v>
      </c>
      <c r="CL50" s="163">
        <f t="shared" si="109"/>
        <v>0</v>
      </c>
    </row>
    <row r="51" spans="1:90">
      <c r="A51" s="58" t="s">
        <v>199</v>
      </c>
      <c r="B51" s="124"/>
      <c r="C51" s="7"/>
      <c r="D51" s="7"/>
      <c r="E51" s="7"/>
      <c r="F51" s="7"/>
      <c r="G51" s="7">
        <v>360</v>
      </c>
      <c r="H51" s="7"/>
      <c r="I51" s="7"/>
      <c r="J51" s="7">
        <v>412</v>
      </c>
      <c r="K51" s="7">
        <v>472</v>
      </c>
      <c r="L51" s="7">
        <v>561</v>
      </c>
      <c r="M51" s="7">
        <v>544</v>
      </c>
      <c r="N51" s="7">
        <v>600</v>
      </c>
      <c r="O51" s="7">
        <v>630</v>
      </c>
      <c r="P51" s="7">
        <v>632</v>
      </c>
      <c r="Q51" s="7"/>
      <c r="R51" s="7">
        <v>642</v>
      </c>
      <c r="S51" s="7"/>
      <c r="T51" s="7"/>
      <c r="U51" s="7">
        <v>754</v>
      </c>
      <c r="V51" s="7">
        <v>833</v>
      </c>
      <c r="W51" s="7">
        <v>810</v>
      </c>
      <c r="X51" s="7">
        <v>935</v>
      </c>
      <c r="Y51" s="7">
        <v>888</v>
      </c>
      <c r="Z51" s="7">
        <v>910</v>
      </c>
      <c r="AA51" s="7">
        <v>894</v>
      </c>
      <c r="AB51" s="7">
        <v>973</v>
      </c>
      <c r="AC51" s="7">
        <v>990</v>
      </c>
      <c r="AD51" s="7">
        <v>1049</v>
      </c>
      <c r="AE51" s="7">
        <v>1099</v>
      </c>
      <c r="AF51" s="7"/>
      <c r="AG51" s="7">
        <v>1157</v>
      </c>
      <c r="AH51" s="7">
        <v>1164</v>
      </c>
      <c r="AI51" s="7">
        <v>1047</v>
      </c>
      <c r="AJ51" s="149" t="s">
        <v>261</v>
      </c>
      <c r="AK51" s="166"/>
      <c r="AL51" s="166" t="s">
        <v>261</v>
      </c>
      <c r="AM51" s="166" t="s">
        <v>261</v>
      </c>
      <c r="AN51" s="166" t="s">
        <v>261</v>
      </c>
      <c r="AO51" s="166" t="s">
        <v>261</v>
      </c>
      <c r="AP51" s="166" t="s">
        <v>261</v>
      </c>
      <c r="AQ51" s="166" t="s">
        <v>261</v>
      </c>
      <c r="AR51" s="166" t="s">
        <v>261</v>
      </c>
      <c r="AS51" s="166" t="s">
        <v>261</v>
      </c>
      <c r="AT51" s="166" t="s">
        <v>261</v>
      </c>
      <c r="AU51" s="166"/>
      <c r="AV51" s="166" t="s">
        <v>261</v>
      </c>
      <c r="AW51" s="149" t="s">
        <v>261</v>
      </c>
      <c r="AX51" s="166" t="s">
        <v>261</v>
      </c>
      <c r="AY51" s="166" t="s">
        <v>261</v>
      </c>
      <c r="AZ51" s="166" t="s">
        <v>261</v>
      </c>
      <c r="BA51" s="166" t="s">
        <v>261</v>
      </c>
      <c r="BB51" s="166" t="s">
        <v>261</v>
      </c>
      <c r="BC51" s="166" t="s">
        <v>261</v>
      </c>
      <c r="BD51" s="166" t="s">
        <v>261</v>
      </c>
      <c r="BE51" s="166" t="s">
        <v>261</v>
      </c>
      <c r="BF51" s="166" t="s">
        <v>261</v>
      </c>
      <c r="BG51" s="166" t="s">
        <v>261</v>
      </c>
      <c r="BH51" s="166" t="s">
        <v>261</v>
      </c>
      <c r="BI51" s="149">
        <v>0</v>
      </c>
      <c r="BJ51" s="166">
        <v>2</v>
      </c>
      <c r="BK51" s="166">
        <v>8</v>
      </c>
      <c r="BL51" s="166">
        <v>6</v>
      </c>
      <c r="BM51" s="166">
        <v>10</v>
      </c>
      <c r="BN51" s="166">
        <v>0</v>
      </c>
      <c r="BO51" s="166">
        <v>1</v>
      </c>
      <c r="BP51" s="166">
        <v>0</v>
      </c>
      <c r="BQ51" s="166">
        <v>3</v>
      </c>
      <c r="BR51" s="166">
        <v>4</v>
      </c>
      <c r="BS51" s="166">
        <v>20</v>
      </c>
      <c r="BT51" s="166"/>
      <c r="BU51" s="166">
        <v>27</v>
      </c>
      <c r="BV51" s="7">
        <v>16</v>
      </c>
      <c r="BW51" s="7">
        <v>9</v>
      </c>
      <c r="BX51" s="162">
        <f t="shared" si="95"/>
        <v>0</v>
      </c>
      <c r="BY51" s="163">
        <f t="shared" si="96"/>
        <v>2.4009603841536613E-3</v>
      </c>
      <c r="BZ51" s="163">
        <f t="shared" si="97"/>
        <v>9.876543209876543E-3</v>
      </c>
      <c r="CA51" s="163">
        <f t="shared" si="98"/>
        <v>6.4171122994652408E-3</v>
      </c>
      <c r="CB51" s="163">
        <f t="shared" si="99"/>
        <v>1.1261261261261261E-2</v>
      </c>
      <c r="CC51" s="163">
        <f t="shared" si="100"/>
        <v>0</v>
      </c>
      <c r="CD51" s="163">
        <f t="shared" si="101"/>
        <v>1.1185682326621924E-3</v>
      </c>
      <c r="CE51" s="163">
        <f t="shared" si="102"/>
        <v>0</v>
      </c>
      <c r="CF51" s="163">
        <f t="shared" si="103"/>
        <v>3.0303030303030303E-3</v>
      </c>
      <c r="CG51" s="163">
        <f t="shared" si="104"/>
        <v>3.8131553860819827E-3</v>
      </c>
      <c r="CH51" s="163">
        <f t="shared" si="105"/>
        <v>1.8198362147406732E-2</v>
      </c>
      <c r="CI51" s="163" t="e">
        <f t="shared" si="106"/>
        <v>#DIV/0!</v>
      </c>
      <c r="CJ51" s="163">
        <f t="shared" si="107"/>
        <v>2.3336214347450302E-2</v>
      </c>
      <c r="CK51" s="163">
        <f t="shared" si="108"/>
        <v>1.3745704467353952E-2</v>
      </c>
      <c r="CL51" s="163">
        <f t="shared" si="109"/>
        <v>8.5959885386819486E-3</v>
      </c>
    </row>
    <row r="52" spans="1:90">
      <c r="A52" s="54" t="s">
        <v>247</v>
      </c>
      <c r="B52" s="127">
        <f t="shared" ref="B52:BO52" si="110">SUM(B54:B62)</f>
        <v>0</v>
      </c>
      <c r="C52" s="55">
        <f t="shared" si="110"/>
        <v>0</v>
      </c>
      <c r="D52" s="55">
        <f t="shared" si="110"/>
        <v>0</v>
      </c>
      <c r="E52" s="55">
        <f t="shared" si="110"/>
        <v>0</v>
      </c>
      <c r="F52" s="55">
        <f t="shared" si="110"/>
        <v>0</v>
      </c>
      <c r="G52" s="55">
        <f t="shared" si="110"/>
        <v>9737</v>
      </c>
      <c r="H52" s="55">
        <f t="shared" si="110"/>
        <v>0</v>
      </c>
      <c r="I52" s="55">
        <f t="shared" si="110"/>
        <v>0</v>
      </c>
      <c r="J52" s="55">
        <f t="shared" si="110"/>
        <v>14398</v>
      </c>
      <c r="K52" s="55">
        <f t="shared" si="110"/>
        <v>14968</v>
      </c>
      <c r="L52" s="55">
        <f t="shared" si="110"/>
        <v>15658</v>
      </c>
      <c r="M52" s="55">
        <f t="shared" si="110"/>
        <v>16123</v>
      </c>
      <c r="N52" s="55">
        <f t="shared" si="110"/>
        <v>16449</v>
      </c>
      <c r="O52" s="55">
        <f t="shared" si="110"/>
        <v>17183</v>
      </c>
      <c r="P52" s="55">
        <f t="shared" si="110"/>
        <v>17860</v>
      </c>
      <c r="Q52" s="55"/>
      <c r="R52" s="55">
        <f t="shared" si="110"/>
        <v>19230</v>
      </c>
      <c r="S52" s="55"/>
      <c r="T52" s="55"/>
      <c r="U52" s="55">
        <f t="shared" si="110"/>
        <v>21905</v>
      </c>
      <c r="V52" s="55">
        <f t="shared" si="110"/>
        <v>22528</v>
      </c>
      <c r="W52" s="55">
        <f t="shared" si="110"/>
        <v>23796</v>
      </c>
      <c r="X52" s="55">
        <f t="shared" si="110"/>
        <v>24878</v>
      </c>
      <c r="Y52" s="55">
        <f t="shared" si="110"/>
        <v>24996</v>
      </c>
      <c r="Z52" s="55">
        <f t="shared" si="110"/>
        <v>25935</v>
      </c>
      <c r="AA52" s="55">
        <f t="shared" si="110"/>
        <v>25967</v>
      </c>
      <c r="AB52" s="55">
        <f t="shared" ref="AB52:AC52" si="111">SUM(AB54:AB62)</f>
        <v>26773</v>
      </c>
      <c r="AC52" s="55">
        <f t="shared" si="111"/>
        <v>26809</v>
      </c>
      <c r="AD52" s="55">
        <f t="shared" ref="AD52:AE52" si="112">SUM(AD54:AD62)</f>
        <v>28037</v>
      </c>
      <c r="AE52" s="55">
        <f t="shared" si="112"/>
        <v>29371</v>
      </c>
      <c r="AF52" s="55">
        <f t="shared" ref="AF52:AI52" si="113">SUM(AF54:AF62)</f>
        <v>0</v>
      </c>
      <c r="AG52" s="55">
        <f t="shared" si="113"/>
        <v>31339</v>
      </c>
      <c r="AH52" s="55">
        <f t="shared" si="113"/>
        <v>32222</v>
      </c>
      <c r="AI52" s="55">
        <f t="shared" si="113"/>
        <v>33225</v>
      </c>
      <c r="AJ52" s="167">
        <f t="shared" si="110"/>
        <v>0</v>
      </c>
      <c r="AK52" s="168">
        <f t="shared" si="110"/>
        <v>420</v>
      </c>
      <c r="AL52" s="168">
        <f t="shared" si="110"/>
        <v>0</v>
      </c>
      <c r="AM52" s="168">
        <f t="shared" si="110"/>
        <v>0</v>
      </c>
      <c r="AN52" s="168">
        <f t="shared" si="110"/>
        <v>875</v>
      </c>
      <c r="AO52" s="168">
        <f t="shared" si="110"/>
        <v>922</v>
      </c>
      <c r="AP52" s="168">
        <f t="shared" si="110"/>
        <v>1376</v>
      </c>
      <c r="AQ52" s="168">
        <f t="shared" si="110"/>
        <v>1615</v>
      </c>
      <c r="AR52" s="168">
        <f t="shared" si="110"/>
        <v>1600</v>
      </c>
      <c r="AS52" s="168">
        <f t="shared" si="110"/>
        <v>1194</v>
      </c>
      <c r="AT52" s="168">
        <f t="shared" si="110"/>
        <v>1295</v>
      </c>
      <c r="AU52" s="168"/>
      <c r="AV52" s="168">
        <f t="shared" si="110"/>
        <v>2038</v>
      </c>
      <c r="AW52" s="167">
        <f t="shared" si="110"/>
        <v>281</v>
      </c>
      <c r="AX52" s="168">
        <f t="shared" si="110"/>
        <v>0</v>
      </c>
      <c r="AY52" s="168">
        <f t="shared" si="110"/>
        <v>0</v>
      </c>
      <c r="AZ52" s="168">
        <f t="shared" si="110"/>
        <v>345</v>
      </c>
      <c r="BA52" s="168">
        <f t="shared" si="110"/>
        <v>321</v>
      </c>
      <c r="BB52" s="168">
        <f t="shared" si="110"/>
        <v>367</v>
      </c>
      <c r="BC52" s="168">
        <f t="shared" si="110"/>
        <v>414</v>
      </c>
      <c r="BD52" s="168">
        <f t="shared" si="110"/>
        <v>352</v>
      </c>
      <c r="BE52" s="168">
        <f t="shared" si="110"/>
        <v>343</v>
      </c>
      <c r="BF52" s="168">
        <f t="shared" si="110"/>
        <v>354</v>
      </c>
      <c r="BG52" s="168"/>
      <c r="BH52" s="168">
        <f t="shared" si="110"/>
        <v>412</v>
      </c>
      <c r="BI52" s="167">
        <f t="shared" si="110"/>
        <v>1950</v>
      </c>
      <c r="BJ52" s="168">
        <f t="shared" si="110"/>
        <v>1347</v>
      </c>
      <c r="BK52" s="168">
        <f t="shared" si="110"/>
        <v>1971</v>
      </c>
      <c r="BL52" s="168">
        <f t="shared" si="110"/>
        <v>1701</v>
      </c>
      <c r="BM52" s="168">
        <f t="shared" si="110"/>
        <v>2236</v>
      </c>
      <c r="BN52" s="168">
        <f t="shared" si="110"/>
        <v>2318</v>
      </c>
      <c r="BO52" s="168">
        <f t="shared" si="110"/>
        <v>2389</v>
      </c>
      <c r="BP52" s="168">
        <f t="shared" ref="BP52:BQ52" si="114">SUM(BP54:BP62)</f>
        <v>2181</v>
      </c>
      <c r="BQ52" s="168">
        <f t="shared" si="114"/>
        <v>2063</v>
      </c>
      <c r="BR52" s="168">
        <f t="shared" ref="BR52:BS52" si="115">SUM(BR54:BR62)</f>
        <v>1934</v>
      </c>
      <c r="BS52" s="168">
        <f t="shared" si="115"/>
        <v>1821</v>
      </c>
      <c r="BT52" s="168">
        <f t="shared" ref="BT52:BW52" si="116">SUM(BT54:BT62)</f>
        <v>0</v>
      </c>
      <c r="BU52" s="168">
        <f t="shared" si="116"/>
        <v>841</v>
      </c>
      <c r="BV52" s="55">
        <f t="shared" si="116"/>
        <v>2321</v>
      </c>
      <c r="BW52" s="55">
        <f t="shared" si="116"/>
        <v>1787</v>
      </c>
      <c r="BX52" s="169">
        <f t="shared" si="95"/>
        <v>8.9020771513353122E-2</v>
      </c>
      <c r="BY52" s="170">
        <f t="shared" si="96"/>
        <v>5.9792258522727272E-2</v>
      </c>
      <c r="BZ52" s="170">
        <f t="shared" si="97"/>
        <v>8.2829046898638431E-2</v>
      </c>
      <c r="CA52" s="170">
        <f t="shared" si="98"/>
        <v>6.8373663477771532E-2</v>
      </c>
      <c r="CB52" s="170">
        <f t="shared" si="99"/>
        <v>8.9454312690030402E-2</v>
      </c>
      <c r="CC52" s="170">
        <f t="shared" si="100"/>
        <v>8.9377289377289379E-2</v>
      </c>
      <c r="CD52" s="170">
        <f t="shared" si="101"/>
        <v>9.2001386375014441E-2</v>
      </c>
      <c r="CE52" s="170">
        <f t="shared" si="102"/>
        <v>8.1462667612893586E-2</v>
      </c>
      <c r="CF52" s="170">
        <f t="shared" si="103"/>
        <v>7.6951769928009256E-2</v>
      </c>
      <c r="CG52" s="170">
        <f t="shared" si="104"/>
        <v>6.8980276063772869E-2</v>
      </c>
      <c r="CH52" s="170">
        <f t="shared" si="105"/>
        <v>6.199993190562119E-2</v>
      </c>
      <c r="CI52" s="170" t="e">
        <f t="shared" si="106"/>
        <v>#DIV/0!</v>
      </c>
      <c r="CJ52" s="170">
        <f t="shared" si="107"/>
        <v>2.6835572290117744E-2</v>
      </c>
      <c r="CK52" s="170">
        <f t="shared" si="108"/>
        <v>7.2031531251939673E-2</v>
      </c>
      <c r="CL52" s="170">
        <f t="shared" si="109"/>
        <v>5.378480060195636E-2</v>
      </c>
    </row>
    <row r="53" spans="1:90">
      <c r="A53" s="56" t="s">
        <v>244</v>
      </c>
      <c r="B53" s="128">
        <f t="shared" ref="B53:BO53" si="117">(B52/B4)*100</f>
        <v>0</v>
      </c>
      <c r="C53" s="57">
        <f t="shared" si="117"/>
        <v>0</v>
      </c>
      <c r="D53" s="57">
        <f t="shared" si="117"/>
        <v>0</v>
      </c>
      <c r="E53" s="57">
        <f t="shared" si="117"/>
        <v>0</v>
      </c>
      <c r="F53" s="57">
        <f t="shared" si="117"/>
        <v>0</v>
      </c>
      <c r="G53" s="57">
        <f t="shared" si="117"/>
        <v>17.764358169743851</v>
      </c>
      <c r="H53" s="57">
        <f t="shared" si="117"/>
        <v>0</v>
      </c>
      <c r="I53" s="57">
        <f t="shared" si="117"/>
        <v>0</v>
      </c>
      <c r="J53" s="57">
        <f t="shared" si="117"/>
        <v>20.26888153727036</v>
      </c>
      <c r="K53" s="57">
        <f t="shared" si="117"/>
        <v>19.598292612669233</v>
      </c>
      <c r="L53" s="57">
        <f t="shared" si="117"/>
        <v>19.097683835636488</v>
      </c>
      <c r="M53" s="57">
        <f t="shared" si="117"/>
        <v>18.975602292654795</v>
      </c>
      <c r="N53" s="57">
        <f t="shared" si="117"/>
        <v>18.465217049651443</v>
      </c>
      <c r="O53" s="57">
        <f t="shared" si="117"/>
        <v>18.716641613837876</v>
      </c>
      <c r="P53" s="57">
        <f t="shared" si="117"/>
        <v>18.71901562712895</v>
      </c>
      <c r="Q53" s="57"/>
      <c r="R53" s="57">
        <f t="shared" si="117"/>
        <v>18.493051882483051</v>
      </c>
      <c r="S53" s="57"/>
      <c r="T53" s="57"/>
      <c r="U53" s="57">
        <f t="shared" si="117"/>
        <v>18.631453602109382</v>
      </c>
      <c r="V53" s="57">
        <f t="shared" si="117"/>
        <v>18.280224283291542</v>
      </c>
      <c r="W53" s="57">
        <f t="shared" si="117"/>
        <v>18.748522714738186</v>
      </c>
      <c r="X53" s="57">
        <f t="shared" si="117"/>
        <v>18.929427430093209</v>
      </c>
      <c r="Y53" s="57">
        <f t="shared" si="117"/>
        <v>18.211623789643941</v>
      </c>
      <c r="Z53" s="57">
        <f t="shared" si="117"/>
        <v>18.230191756171624</v>
      </c>
      <c r="AA53" s="57">
        <f t="shared" si="117"/>
        <v>17.824561885214958</v>
      </c>
      <c r="AB53" s="57">
        <f t="shared" ref="AB53:AC53" si="118">(AB52/AB4)*100</f>
        <v>17.767410376544603</v>
      </c>
      <c r="AC53" s="57">
        <f t="shared" si="118"/>
        <v>17.38067761886856</v>
      </c>
      <c r="AD53" s="57">
        <f t="shared" ref="AD53:AE53" si="119">(AD52/AD4)*100</f>
        <v>16.577385175724896</v>
      </c>
      <c r="AE53" s="57">
        <f t="shared" si="119"/>
        <v>16.783620384232965</v>
      </c>
      <c r="AF53" s="57" t="e">
        <f t="shared" ref="AF53:AI53" si="120">(AF52/AF4)*100</f>
        <v>#DIV/0!</v>
      </c>
      <c r="AG53" s="57">
        <f t="shared" si="120"/>
        <v>17.68696349054953</v>
      </c>
      <c r="AH53" s="57">
        <f t="shared" si="120"/>
        <v>17.84569032836912</v>
      </c>
      <c r="AI53" s="57">
        <f t="shared" si="120"/>
        <v>18.182663944967683</v>
      </c>
      <c r="AJ53" s="164" t="e">
        <f t="shared" si="117"/>
        <v>#VALUE!</v>
      </c>
      <c r="AK53" s="165">
        <f t="shared" si="117"/>
        <v>2.4859425865640725</v>
      </c>
      <c r="AL53" s="165" t="e">
        <f t="shared" si="117"/>
        <v>#VALUE!</v>
      </c>
      <c r="AM53" s="165" t="e">
        <f t="shared" si="117"/>
        <v>#VALUE!</v>
      </c>
      <c r="AN53" s="165">
        <f t="shared" si="117"/>
        <v>4.1662698790591373</v>
      </c>
      <c r="AO53" s="165">
        <f t="shared" si="117"/>
        <v>4.0015624321861027</v>
      </c>
      <c r="AP53" s="165">
        <f t="shared" si="117"/>
        <v>5.6595237115946206</v>
      </c>
      <c r="AQ53" s="165">
        <f t="shared" si="117"/>
        <v>6.2299888130231844</v>
      </c>
      <c r="AR53" s="165">
        <f t="shared" si="117"/>
        <v>5.8400554805270648</v>
      </c>
      <c r="AS53" s="165">
        <f t="shared" si="117"/>
        <v>4.4096465635040811</v>
      </c>
      <c r="AT53" s="165">
        <f t="shared" si="117"/>
        <v>4.7075502562797631</v>
      </c>
      <c r="AU53" s="165"/>
      <c r="AV53" s="165">
        <f t="shared" si="117"/>
        <v>7.1243795008040278</v>
      </c>
      <c r="AW53" s="164">
        <f t="shared" si="117"/>
        <v>1.7662958074046138</v>
      </c>
      <c r="AX53" s="165">
        <f t="shared" si="117"/>
        <v>0</v>
      </c>
      <c r="AY53" s="165">
        <f t="shared" si="117"/>
        <v>0</v>
      </c>
      <c r="AZ53" s="165">
        <f t="shared" si="117"/>
        <v>1.8019429645879035</v>
      </c>
      <c r="BA53" s="165">
        <f t="shared" si="117"/>
        <v>1.4766088596531579</v>
      </c>
      <c r="BB53" s="165">
        <f t="shared" si="117"/>
        <v>1.5754453745438934</v>
      </c>
      <c r="BC53" s="165">
        <f t="shared" si="117"/>
        <v>1.7349034069479949</v>
      </c>
      <c r="BD53" s="165">
        <f t="shared" si="117"/>
        <v>1.3981014417921118</v>
      </c>
      <c r="BE53" s="165">
        <f t="shared" si="117"/>
        <v>1.3685512508478634</v>
      </c>
      <c r="BF53" s="165">
        <f t="shared" si="117"/>
        <v>1.3937007874015748</v>
      </c>
      <c r="BG53" s="165"/>
      <c r="BH53" s="165">
        <f t="shared" si="117"/>
        <v>1.6231975415648887</v>
      </c>
      <c r="BI53" s="164">
        <f t="shared" si="117"/>
        <v>6.4176402830343928</v>
      </c>
      <c r="BJ53" s="165">
        <f t="shared" si="117"/>
        <v>4.5754076086956523</v>
      </c>
      <c r="BK53" s="165">
        <f t="shared" si="117"/>
        <v>6.3017552834351118</v>
      </c>
      <c r="BL53" s="165">
        <f t="shared" si="117"/>
        <v>5.2200331430675746</v>
      </c>
      <c r="BM53" s="165">
        <f t="shared" si="117"/>
        <v>6.7177407240498725</v>
      </c>
      <c r="BN53" s="165">
        <f t="shared" si="117"/>
        <v>6.6986475551959312</v>
      </c>
      <c r="BO53" s="165">
        <f t="shared" si="117"/>
        <v>6.8390014886064359</v>
      </c>
      <c r="BP53" s="165">
        <f t="shared" ref="BP53:BQ53" si="121">(BP52/BP4)*100</f>
        <v>6.3011007424955938</v>
      </c>
      <c r="BQ53" s="165">
        <f t="shared" si="121"/>
        <v>5.6084167029143108</v>
      </c>
      <c r="BR53" s="165">
        <f t="shared" ref="BR53:BS53" si="122">(BR52/BR4)*100</f>
        <v>5.1519752790431284</v>
      </c>
      <c r="BS53" s="165">
        <f t="shared" si="122"/>
        <v>4.8938457403923676</v>
      </c>
      <c r="BT53" s="165" t="e">
        <f t="shared" ref="BT53:BW53" si="123">(BT52/BT4)*100</f>
        <v>#DIV/0!</v>
      </c>
      <c r="BU53" s="165">
        <f t="shared" si="123"/>
        <v>2.929394963251942</v>
      </c>
      <c r="BV53" s="57">
        <f t="shared" si="123"/>
        <v>6.6036930605741606</v>
      </c>
      <c r="BW53" s="57">
        <f t="shared" si="123"/>
        <v>5.2420064535054269</v>
      </c>
      <c r="BX53" s="162"/>
      <c r="BY53" s="163"/>
      <c r="BZ53" s="163"/>
      <c r="CA53" s="163"/>
      <c r="CB53" s="163"/>
      <c r="CC53" s="163"/>
      <c r="CD53" s="163"/>
      <c r="CE53" s="163"/>
      <c r="CF53" s="163"/>
      <c r="CG53" s="163"/>
      <c r="CH53" s="163"/>
      <c r="CI53" s="163"/>
      <c r="CJ53" s="163"/>
      <c r="CK53" s="163"/>
      <c r="CL53" s="163"/>
    </row>
    <row r="54" spans="1:90">
      <c r="A54" s="54" t="s">
        <v>171</v>
      </c>
      <c r="B54" s="124"/>
      <c r="C54" s="7"/>
      <c r="D54" s="7"/>
      <c r="E54" s="7"/>
      <c r="F54" s="7"/>
      <c r="G54" s="7">
        <v>481</v>
      </c>
      <c r="H54" s="7"/>
      <c r="I54" s="7"/>
      <c r="J54" s="7">
        <v>595</v>
      </c>
      <c r="K54" s="7">
        <v>613</v>
      </c>
      <c r="L54" s="7">
        <v>598</v>
      </c>
      <c r="M54" s="7">
        <v>571</v>
      </c>
      <c r="N54" s="7">
        <v>670</v>
      </c>
      <c r="O54" s="7">
        <v>679</v>
      </c>
      <c r="P54" s="7">
        <v>696</v>
      </c>
      <c r="Q54" s="7"/>
      <c r="R54" s="7">
        <v>898</v>
      </c>
      <c r="S54" s="7"/>
      <c r="T54" s="7"/>
      <c r="U54" s="7">
        <v>949</v>
      </c>
      <c r="V54" s="7">
        <v>1083</v>
      </c>
      <c r="W54" s="7">
        <v>1116</v>
      </c>
      <c r="X54" s="7">
        <v>1120</v>
      </c>
      <c r="Y54" s="7">
        <v>1276</v>
      </c>
      <c r="Z54" s="7">
        <v>1218</v>
      </c>
      <c r="AA54" s="7">
        <v>1333</v>
      </c>
      <c r="AB54" s="7">
        <v>1327</v>
      </c>
      <c r="AC54" s="7">
        <v>1338</v>
      </c>
      <c r="AD54" s="7">
        <v>1508</v>
      </c>
      <c r="AE54" s="7">
        <v>1522</v>
      </c>
      <c r="AF54" s="7"/>
      <c r="AG54" s="7">
        <v>1745</v>
      </c>
      <c r="AH54" s="7">
        <v>1861</v>
      </c>
      <c r="AI54" s="7">
        <v>1911</v>
      </c>
      <c r="AJ54" s="149" t="s">
        <v>261</v>
      </c>
      <c r="AK54" s="166" t="s">
        <v>261</v>
      </c>
      <c r="AL54" s="166" t="s">
        <v>261</v>
      </c>
      <c r="AM54" s="166" t="s">
        <v>261</v>
      </c>
      <c r="AN54" s="166" t="s">
        <v>261</v>
      </c>
      <c r="AO54" s="166" t="s">
        <v>261</v>
      </c>
      <c r="AP54" s="166" t="s">
        <v>261</v>
      </c>
      <c r="AQ54" s="166" t="s">
        <v>261</v>
      </c>
      <c r="AR54" s="166" t="s">
        <v>261</v>
      </c>
      <c r="AS54" s="166" t="s">
        <v>261</v>
      </c>
      <c r="AT54" s="166" t="s">
        <v>261</v>
      </c>
      <c r="AU54" s="166"/>
      <c r="AV54" s="166" t="s">
        <v>261</v>
      </c>
      <c r="AW54" s="149" t="s">
        <v>261</v>
      </c>
      <c r="AX54" s="166" t="s">
        <v>261</v>
      </c>
      <c r="AY54" s="166" t="s">
        <v>261</v>
      </c>
      <c r="AZ54" s="166" t="s">
        <v>261</v>
      </c>
      <c r="BA54" s="166" t="s">
        <v>261</v>
      </c>
      <c r="BB54" s="166" t="s">
        <v>261</v>
      </c>
      <c r="BC54" s="166" t="s">
        <v>261</v>
      </c>
      <c r="BD54" s="166" t="s">
        <v>261</v>
      </c>
      <c r="BE54" s="166" t="s">
        <v>261</v>
      </c>
      <c r="BF54" s="166" t="s">
        <v>261</v>
      </c>
      <c r="BG54" s="166" t="s">
        <v>261</v>
      </c>
      <c r="BH54" s="166" t="s">
        <v>261</v>
      </c>
      <c r="BI54" s="149"/>
      <c r="BJ54" s="166"/>
      <c r="BK54" s="166"/>
      <c r="BL54" s="166"/>
      <c r="BM54" s="166"/>
      <c r="BN54" s="166"/>
      <c r="BO54" s="166">
        <v>2</v>
      </c>
      <c r="BP54" s="166"/>
      <c r="BQ54" s="166">
        <v>0</v>
      </c>
      <c r="BR54" s="166">
        <v>0</v>
      </c>
      <c r="BS54" s="166">
        <v>1</v>
      </c>
      <c r="BT54" s="166"/>
      <c r="BU54" s="166">
        <v>0</v>
      </c>
      <c r="BV54" s="166">
        <v>0</v>
      </c>
      <c r="BW54" s="166">
        <v>0</v>
      </c>
      <c r="BX54" s="162">
        <f t="shared" ref="BX54:BX63" si="124">BI54/U54</f>
        <v>0</v>
      </c>
      <c r="BY54" s="163">
        <f t="shared" ref="BY54:BY63" si="125">BJ54/V54</f>
        <v>0</v>
      </c>
      <c r="BZ54" s="163">
        <f t="shared" ref="BZ54:BZ63" si="126">BK54/W54</f>
        <v>0</v>
      </c>
      <c r="CA54" s="163">
        <f t="shared" ref="CA54:CA63" si="127">BL54/X54</f>
        <v>0</v>
      </c>
      <c r="CB54" s="163">
        <f t="shared" ref="CB54:CB63" si="128">BM54/Y54</f>
        <v>0</v>
      </c>
      <c r="CC54" s="163">
        <f t="shared" ref="CC54:CC63" si="129">BN54/Z54</f>
        <v>0</v>
      </c>
      <c r="CD54" s="163">
        <f t="shared" ref="CD54:CD63" si="130">BO54/AA54</f>
        <v>1.5003750937734434E-3</v>
      </c>
      <c r="CE54" s="163">
        <f t="shared" ref="CE54:CE63" si="131">BP54/AB54</f>
        <v>0</v>
      </c>
      <c r="CF54" s="163">
        <f t="shared" ref="CF54:CF63" si="132">BQ54/AC54</f>
        <v>0</v>
      </c>
      <c r="CG54" s="163">
        <f t="shared" ref="CG54:CG63" si="133">BR54/AD54</f>
        <v>0</v>
      </c>
      <c r="CH54" s="163">
        <f t="shared" ref="CH54:CH63" si="134">BS54/AE54</f>
        <v>6.5703022339027597E-4</v>
      </c>
      <c r="CI54" s="163" t="e">
        <f t="shared" ref="CI54:CI63" si="135">BT54/AF54</f>
        <v>#DIV/0!</v>
      </c>
      <c r="CJ54" s="163">
        <f t="shared" ref="CJ54:CJ63" si="136">BU54/AG54</f>
        <v>0</v>
      </c>
      <c r="CK54" s="163">
        <f t="shared" ref="CK54:CK63" si="137">BV54/AH54</f>
        <v>0</v>
      </c>
      <c r="CL54" s="163">
        <f t="shared" ref="CL54:CL63" si="138">BW54/AI54</f>
        <v>0</v>
      </c>
    </row>
    <row r="55" spans="1:90">
      <c r="A55" s="54" t="s">
        <v>180</v>
      </c>
      <c r="B55" s="124"/>
      <c r="C55" s="7"/>
      <c r="D55" s="7"/>
      <c r="E55" s="7"/>
      <c r="F55" s="7"/>
      <c r="G55" s="7">
        <v>59</v>
      </c>
      <c r="H55" s="7"/>
      <c r="I55" s="7"/>
      <c r="J55" s="7">
        <v>33</v>
      </c>
      <c r="K55" s="7">
        <v>60</v>
      </c>
      <c r="L55" s="7">
        <v>59</v>
      </c>
      <c r="M55" s="7">
        <v>55</v>
      </c>
      <c r="N55" s="7">
        <v>35</v>
      </c>
      <c r="O55" s="7">
        <v>35</v>
      </c>
      <c r="P55" s="7">
        <v>31</v>
      </c>
      <c r="Q55" s="7"/>
      <c r="R55" s="7">
        <v>49</v>
      </c>
      <c r="S55" s="7"/>
      <c r="T55" s="7"/>
      <c r="U55" s="7">
        <v>56</v>
      </c>
      <c r="V55" s="7">
        <v>55</v>
      </c>
      <c r="W55" s="7">
        <v>70</v>
      </c>
      <c r="X55" s="7">
        <v>75</v>
      </c>
      <c r="Y55" s="7">
        <v>97</v>
      </c>
      <c r="Z55" s="7">
        <v>78</v>
      </c>
      <c r="AA55" s="7">
        <v>110</v>
      </c>
      <c r="AB55" s="7">
        <v>97</v>
      </c>
      <c r="AC55" s="7">
        <v>136</v>
      </c>
      <c r="AD55" s="7">
        <v>139</v>
      </c>
      <c r="AE55" s="7">
        <v>155</v>
      </c>
      <c r="AF55" s="7"/>
      <c r="AG55" s="7">
        <v>173</v>
      </c>
      <c r="AH55" s="7">
        <v>136</v>
      </c>
      <c r="AI55" s="7">
        <v>204</v>
      </c>
      <c r="AJ55" s="149" t="s">
        <v>261</v>
      </c>
      <c r="AK55" s="166" t="s">
        <v>261</v>
      </c>
      <c r="AL55" s="166" t="s">
        <v>261</v>
      </c>
      <c r="AM55" s="166" t="s">
        <v>261</v>
      </c>
      <c r="AN55" s="166" t="s">
        <v>261</v>
      </c>
      <c r="AO55" s="166" t="s">
        <v>261</v>
      </c>
      <c r="AP55" s="166" t="s">
        <v>261</v>
      </c>
      <c r="AQ55" s="166" t="s">
        <v>261</v>
      </c>
      <c r="AR55" s="166" t="s">
        <v>261</v>
      </c>
      <c r="AS55" s="166" t="s">
        <v>261</v>
      </c>
      <c r="AT55" s="166" t="s">
        <v>261</v>
      </c>
      <c r="AU55" s="166"/>
      <c r="AV55" s="166" t="s">
        <v>261</v>
      </c>
      <c r="AW55" s="149" t="s">
        <v>261</v>
      </c>
      <c r="AX55" s="166" t="s">
        <v>261</v>
      </c>
      <c r="AY55" s="166" t="s">
        <v>261</v>
      </c>
      <c r="AZ55" s="166" t="s">
        <v>261</v>
      </c>
      <c r="BA55" s="166" t="s">
        <v>261</v>
      </c>
      <c r="BB55" s="166" t="s">
        <v>261</v>
      </c>
      <c r="BC55" s="166" t="s">
        <v>261</v>
      </c>
      <c r="BD55" s="166" t="s">
        <v>261</v>
      </c>
      <c r="BE55" s="166" t="s">
        <v>261</v>
      </c>
      <c r="BF55" s="166" t="s">
        <v>261</v>
      </c>
      <c r="BG55" s="166" t="s">
        <v>261</v>
      </c>
      <c r="BH55" s="166" t="s">
        <v>261</v>
      </c>
      <c r="BI55" s="149"/>
      <c r="BJ55" s="166"/>
      <c r="BK55" s="166"/>
      <c r="BL55" s="166"/>
      <c r="BM55" s="166"/>
      <c r="BN55" s="166"/>
      <c r="BO55" s="166"/>
      <c r="BP55" s="166"/>
      <c r="BQ55" s="166">
        <v>0</v>
      </c>
      <c r="BR55" s="166">
        <v>0</v>
      </c>
      <c r="BS55" s="166">
        <v>0</v>
      </c>
      <c r="BT55" s="166"/>
      <c r="BU55" s="166">
        <v>0</v>
      </c>
      <c r="BV55" s="166">
        <v>0</v>
      </c>
      <c r="BW55" s="166">
        <v>0</v>
      </c>
      <c r="BX55" s="162">
        <f t="shared" si="124"/>
        <v>0</v>
      </c>
      <c r="BY55" s="163">
        <f t="shared" si="125"/>
        <v>0</v>
      </c>
      <c r="BZ55" s="163">
        <f t="shared" si="126"/>
        <v>0</v>
      </c>
      <c r="CA55" s="163">
        <f t="shared" si="127"/>
        <v>0</v>
      </c>
      <c r="CB55" s="163">
        <f t="shared" si="128"/>
        <v>0</v>
      </c>
      <c r="CC55" s="163">
        <f t="shared" si="129"/>
        <v>0</v>
      </c>
      <c r="CD55" s="163">
        <f t="shared" si="130"/>
        <v>0</v>
      </c>
      <c r="CE55" s="163">
        <f t="shared" si="131"/>
        <v>0</v>
      </c>
      <c r="CF55" s="163">
        <f t="shared" si="132"/>
        <v>0</v>
      </c>
      <c r="CG55" s="163">
        <f t="shared" si="133"/>
        <v>0</v>
      </c>
      <c r="CH55" s="163">
        <f t="shared" si="134"/>
        <v>0</v>
      </c>
      <c r="CI55" s="163" t="e">
        <f t="shared" si="135"/>
        <v>#DIV/0!</v>
      </c>
      <c r="CJ55" s="163">
        <f t="shared" si="136"/>
        <v>0</v>
      </c>
      <c r="CK55" s="163">
        <f t="shared" si="137"/>
        <v>0</v>
      </c>
      <c r="CL55" s="163">
        <f t="shared" si="138"/>
        <v>0</v>
      </c>
    </row>
    <row r="56" spans="1:90">
      <c r="A56" s="54" t="s">
        <v>179</v>
      </c>
      <c r="B56" s="124"/>
      <c r="C56" s="7"/>
      <c r="D56" s="7"/>
      <c r="E56" s="7"/>
      <c r="F56" s="7"/>
      <c r="G56" s="7">
        <v>1081</v>
      </c>
      <c r="H56" s="7"/>
      <c r="I56" s="7"/>
      <c r="J56" s="7">
        <v>1536</v>
      </c>
      <c r="K56" s="7">
        <v>1413</v>
      </c>
      <c r="L56" s="7">
        <v>1474</v>
      </c>
      <c r="M56" s="7">
        <v>1515</v>
      </c>
      <c r="N56" s="7">
        <v>1460</v>
      </c>
      <c r="O56" s="7">
        <v>1516</v>
      </c>
      <c r="P56" s="7">
        <v>1652</v>
      </c>
      <c r="Q56" s="7"/>
      <c r="R56" s="7">
        <v>1893</v>
      </c>
      <c r="S56" s="7"/>
      <c r="T56" s="7"/>
      <c r="U56" s="7">
        <v>2210</v>
      </c>
      <c r="V56" s="7">
        <v>2322</v>
      </c>
      <c r="W56" s="7">
        <v>2432</v>
      </c>
      <c r="X56" s="7">
        <v>2510</v>
      </c>
      <c r="Y56" s="7">
        <v>2570</v>
      </c>
      <c r="Z56" s="7">
        <v>2751</v>
      </c>
      <c r="AA56" s="7">
        <v>2622</v>
      </c>
      <c r="AB56" s="7">
        <v>2898</v>
      </c>
      <c r="AC56" s="7">
        <v>2910</v>
      </c>
      <c r="AD56" s="7">
        <v>3127</v>
      </c>
      <c r="AE56" s="7">
        <v>3386</v>
      </c>
      <c r="AF56" s="7"/>
      <c r="AG56" s="7">
        <v>3573</v>
      </c>
      <c r="AH56" s="7">
        <v>3695</v>
      </c>
      <c r="AI56" s="7">
        <v>3927</v>
      </c>
      <c r="AJ56" s="149" t="s">
        <v>261</v>
      </c>
      <c r="AK56" s="166" t="s">
        <v>261</v>
      </c>
      <c r="AL56" s="166" t="s">
        <v>261</v>
      </c>
      <c r="AM56" s="166" t="s">
        <v>261</v>
      </c>
      <c r="AN56" s="166" t="s">
        <v>261</v>
      </c>
      <c r="AO56" s="166" t="s">
        <v>261</v>
      </c>
      <c r="AP56" s="166" t="s">
        <v>261</v>
      </c>
      <c r="AQ56" s="166" t="s">
        <v>261</v>
      </c>
      <c r="AR56" s="166" t="s">
        <v>261</v>
      </c>
      <c r="AS56" s="166" t="s">
        <v>261</v>
      </c>
      <c r="AT56" s="166" t="s">
        <v>261</v>
      </c>
      <c r="AU56" s="166"/>
      <c r="AV56" s="166" t="s">
        <v>261</v>
      </c>
      <c r="AW56" s="149" t="s">
        <v>261</v>
      </c>
      <c r="AX56" s="166" t="s">
        <v>261</v>
      </c>
      <c r="AY56" s="166" t="s">
        <v>261</v>
      </c>
      <c r="AZ56" s="166" t="s">
        <v>261</v>
      </c>
      <c r="BA56" s="166" t="s">
        <v>261</v>
      </c>
      <c r="BB56" s="166" t="s">
        <v>261</v>
      </c>
      <c r="BC56" s="166" t="s">
        <v>261</v>
      </c>
      <c r="BD56" s="166" t="s">
        <v>261</v>
      </c>
      <c r="BE56" s="166" t="s">
        <v>261</v>
      </c>
      <c r="BF56" s="166" t="s">
        <v>261</v>
      </c>
      <c r="BG56" s="166" t="s">
        <v>261</v>
      </c>
      <c r="BH56" s="166" t="s">
        <v>261</v>
      </c>
      <c r="BI56" s="149">
        <v>45</v>
      </c>
      <c r="BJ56" s="166"/>
      <c r="BK56" s="166">
        <v>61</v>
      </c>
      <c r="BL56" s="166"/>
      <c r="BM56" s="166">
        <v>56</v>
      </c>
      <c r="BN56" s="166">
        <v>43</v>
      </c>
      <c r="BO56" s="166">
        <v>43</v>
      </c>
      <c r="BP56" s="166">
        <v>0</v>
      </c>
      <c r="BQ56" s="166">
        <v>187</v>
      </c>
      <c r="BR56" s="166">
        <v>263</v>
      </c>
      <c r="BS56" s="166">
        <v>256</v>
      </c>
      <c r="BT56" s="166"/>
      <c r="BU56" s="166">
        <v>0</v>
      </c>
      <c r="BV56" s="7">
        <v>201</v>
      </c>
      <c r="BW56" s="7">
        <v>191</v>
      </c>
      <c r="BX56" s="162">
        <f t="shared" si="124"/>
        <v>2.0361990950226245E-2</v>
      </c>
      <c r="BY56" s="163">
        <f t="shared" si="125"/>
        <v>0</v>
      </c>
      <c r="BZ56" s="163">
        <f t="shared" si="126"/>
        <v>2.5082236842105265E-2</v>
      </c>
      <c r="CA56" s="163">
        <f t="shared" si="127"/>
        <v>0</v>
      </c>
      <c r="CB56" s="163">
        <f t="shared" si="128"/>
        <v>2.1789883268482489E-2</v>
      </c>
      <c r="CC56" s="163">
        <f t="shared" si="129"/>
        <v>1.5630679752817157E-2</v>
      </c>
      <c r="CD56" s="163">
        <f t="shared" si="130"/>
        <v>1.6399694889397406E-2</v>
      </c>
      <c r="CE56" s="163">
        <f t="shared" si="131"/>
        <v>0</v>
      </c>
      <c r="CF56" s="163">
        <f t="shared" si="132"/>
        <v>6.4261168384879719E-2</v>
      </c>
      <c r="CG56" s="163">
        <f t="shared" si="133"/>
        <v>8.4106172049888073E-2</v>
      </c>
      <c r="CH56" s="163">
        <f t="shared" si="134"/>
        <v>7.5605434140578853E-2</v>
      </c>
      <c r="CI56" s="163" t="e">
        <f t="shared" si="135"/>
        <v>#DIV/0!</v>
      </c>
      <c r="CJ56" s="163">
        <f t="shared" si="136"/>
        <v>0</v>
      </c>
      <c r="CK56" s="163">
        <f t="shared" si="137"/>
        <v>5.4397834912043301E-2</v>
      </c>
      <c r="CL56" s="163">
        <f t="shared" si="138"/>
        <v>4.8637636872930989E-2</v>
      </c>
    </row>
    <row r="57" spans="1:90">
      <c r="A57" s="54" t="s">
        <v>187</v>
      </c>
      <c r="B57" s="124"/>
      <c r="C57" s="7"/>
      <c r="D57" s="7"/>
      <c r="E57" s="7"/>
      <c r="F57" s="7"/>
      <c r="G57" s="7">
        <v>156</v>
      </c>
      <c r="H57" s="7"/>
      <c r="I57" s="7"/>
      <c r="J57" s="7">
        <v>120</v>
      </c>
      <c r="K57" s="7">
        <v>87</v>
      </c>
      <c r="L57" s="7">
        <v>81</v>
      </c>
      <c r="M57" s="7">
        <v>105</v>
      </c>
      <c r="N57" s="7">
        <v>76</v>
      </c>
      <c r="O57" s="7">
        <v>91</v>
      </c>
      <c r="P57" s="7">
        <v>136</v>
      </c>
      <c r="Q57" s="7"/>
      <c r="R57" s="7">
        <v>107</v>
      </c>
      <c r="S57" s="7"/>
      <c r="T57" s="7"/>
      <c r="U57" s="7">
        <v>130</v>
      </c>
      <c r="V57" s="7">
        <v>123</v>
      </c>
      <c r="W57" s="7">
        <v>154</v>
      </c>
      <c r="X57" s="7">
        <v>130</v>
      </c>
      <c r="Y57" s="7">
        <v>153</v>
      </c>
      <c r="Z57" s="7">
        <v>149</v>
      </c>
      <c r="AA57" s="7">
        <v>144</v>
      </c>
      <c r="AB57" s="7">
        <v>166</v>
      </c>
      <c r="AC57" s="7">
        <v>164</v>
      </c>
      <c r="AD57" s="7">
        <v>196</v>
      </c>
      <c r="AE57" s="7">
        <v>204</v>
      </c>
      <c r="AF57" s="7"/>
      <c r="AG57" s="7">
        <v>253</v>
      </c>
      <c r="AH57" s="7">
        <v>313</v>
      </c>
      <c r="AI57" s="7">
        <v>580</v>
      </c>
      <c r="AJ57" s="149" t="s">
        <v>261</v>
      </c>
      <c r="AK57" s="166" t="s">
        <v>261</v>
      </c>
      <c r="AL57" s="166" t="s">
        <v>261</v>
      </c>
      <c r="AM57" s="166" t="s">
        <v>261</v>
      </c>
      <c r="AN57" s="166" t="s">
        <v>261</v>
      </c>
      <c r="AO57" s="166" t="s">
        <v>261</v>
      </c>
      <c r="AP57" s="166" t="s">
        <v>261</v>
      </c>
      <c r="AQ57" s="166" t="s">
        <v>261</v>
      </c>
      <c r="AR57" s="166" t="s">
        <v>261</v>
      </c>
      <c r="AS57" s="166" t="s">
        <v>261</v>
      </c>
      <c r="AT57" s="166" t="s">
        <v>261</v>
      </c>
      <c r="AU57" s="166"/>
      <c r="AV57" s="166" t="s">
        <v>261</v>
      </c>
      <c r="AW57" s="149" t="s">
        <v>261</v>
      </c>
      <c r="AX57" s="166" t="s">
        <v>261</v>
      </c>
      <c r="AY57" s="166" t="s">
        <v>261</v>
      </c>
      <c r="AZ57" s="166" t="s">
        <v>261</v>
      </c>
      <c r="BA57" s="166" t="s">
        <v>261</v>
      </c>
      <c r="BB57" s="166" t="s">
        <v>261</v>
      </c>
      <c r="BC57" s="166" t="s">
        <v>261</v>
      </c>
      <c r="BD57" s="166" t="s">
        <v>261</v>
      </c>
      <c r="BE57" s="166" t="s">
        <v>261</v>
      </c>
      <c r="BF57" s="166" t="s">
        <v>261</v>
      </c>
      <c r="BG57" s="166" t="s">
        <v>261</v>
      </c>
      <c r="BH57" s="166" t="s">
        <v>261</v>
      </c>
      <c r="BI57" s="149"/>
      <c r="BJ57" s="166"/>
      <c r="BK57" s="166"/>
      <c r="BL57" s="166"/>
      <c r="BM57" s="166"/>
      <c r="BN57" s="166"/>
      <c r="BO57" s="166"/>
      <c r="BP57" s="166"/>
      <c r="BQ57" s="166">
        <v>0</v>
      </c>
      <c r="BR57" s="166">
        <v>0</v>
      </c>
      <c r="BS57" s="166">
        <v>0</v>
      </c>
      <c r="BT57" s="166"/>
      <c r="BU57" s="166">
        <v>0</v>
      </c>
      <c r="BV57" s="166">
        <v>0</v>
      </c>
      <c r="BW57" s="166">
        <v>0</v>
      </c>
      <c r="BX57" s="162">
        <f t="shared" si="124"/>
        <v>0</v>
      </c>
      <c r="BY57" s="163">
        <f t="shared" si="125"/>
        <v>0</v>
      </c>
      <c r="BZ57" s="163">
        <f t="shared" si="126"/>
        <v>0</v>
      </c>
      <c r="CA57" s="163">
        <f t="shared" si="127"/>
        <v>0</v>
      </c>
      <c r="CB57" s="163">
        <f t="shared" si="128"/>
        <v>0</v>
      </c>
      <c r="CC57" s="163">
        <f t="shared" si="129"/>
        <v>0</v>
      </c>
      <c r="CD57" s="163">
        <f t="shared" si="130"/>
        <v>0</v>
      </c>
      <c r="CE57" s="163">
        <f t="shared" si="131"/>
        <v>0</v>
      </c>
      <c r="CF57" s="163">
        <f t="shared" si="132"/>
        <v>0</v>
      </c>
      <c r="CG57" s="163">
        <f t="shared" si="133"/>
        <v>0</v>
      </c>
      <c r="CH57" s="163">
        <f t="shared" si="134"/>
        <v>0</v>
      </c>
      <c r="CI57" s="163" t="e">
        <f t="shared" si="135"/>
        <v>#DIV/0!</v>
      </c>
      <c r="CJ57" s="163">
        <f t="shared" si="136"/>
        <v>0</v>
      </c>
      <c r="CK57" s="163">
        <f t="shared" si="137"/>
        <v>0</v>
      </c>
      <c r="CL57" s="163">
        <f t="shared" si="138"/>
        <v>0</v>
      </c>
    </row>
    <row r="58" spans="1:90">
      <c r="A58" s="54" t="s">
        <v>188</v>
      </c>
      <c r="B58" s="124"/>
      <c r="C58" s="7"/>
      <c r="D58" s="7"/>
      <c r="E58" s="7"/>
      <c r="F58" s="7"/>
      <c r="G58" s="7">
        <v>1496</v>
      </c>
      <c r="H58" s="7"/>
      <c r="I58" s="7"/>
      <c r="J58" s="7">
        <v>1784</v>
      </c>
      <c r="K58" s="7">
        <v>1906</v>
      </c>
      <c r="L58" s="7">
        <v>1963</v>
      </c>
      <c r="M58" s="7">
        <v>1985</v>
      </c>
      <c r="N58" s="7">
        <v>1994</v>
      </c>
      <c r="O58" s="7">
        <v>2191</v>
      </c>
      <c r="P58" s="7">
        <v>2286</v>
      </c>
      <c r="Q58" s="7"/>
      <c r="R58" s="7">
        <v>2384</v>
      </c>
      <c r="S58" s="7"/>
      <c r="T58" s="7"/>
      <c r="U58" s="7">
        <v>2844</v>
      </c>
      <c r="V58" s="7">
        <v>2918</v>
      </c>
      <c r="W58" s="7">
        <v>3151</v>
      </c>
      <c r="X58" s="7">
        <v>3368</v>
      </c>
      <c r="Y58" s="7">
        <v>3333</v>
      </c>
      <c r="Z58" s="7">
        <v>3451</v>
      </c>
      <c r="AA58" s="7">
        <v>3470</v>
      </c>
      <c r="AB58" s="7">
        <v>3557</v>
      </c>
      <c r="AC58" s="7">
        <v>3680</v>
      </c>
      <c r="AD58" s="7">
        <v>4036</v>
      </c>
      <c r="AE58" s="7">
        <v>4016</v>
      </c>
      <c r="AF58" s="7"/>
      <c r="AG58" s="7">
        <v>4375</v>
      </c>
      <c r="AH58" s="7">
        <v>4428</v>
      </c>
      <c r="AI58" s="7">
        <v>4631</v>
      </c>
      <c r="AJ58" s="149" t="s">
        <v>261</v>
      </c>
      <c r="AK58" s="166" t="s">
        <v>261</v>
      </c>
      <c r="AL58" s="166" t="s">
        <v>261</v>
      </c>
      <c r="AM58" s="166" t="s">
        <v>261</v>
      </c>
      <c r="AN58" s="166" t="s">
        <v>261</v>
      </c>
      <c r="AO58" s="166" t="s">
        <v>261</v>
      </c>
      <c r="AP58" s="166" t="s">
        <v>261</v>
      </c>
      <c r="AQ58" s="166" t="s">
        <v>261</v>
      </c>
      <c r="AR58" s="166" t="s">
        <v>261</v>
      </c>
      <c r="AS58" s="166" t="s">
        <v>261</v>
      </c>
      <c r="AT58" s="166" t="s">
        <v>261</v>
      </c>
      <c r="AU58" s="166"/>
      <c r="AV58" s="166">
        <v>123</v>
      </c>
      <c r="AW58" s="149" t="s">
        <v>261</v>
      </c>
      <c r="AX58" s="166" t="s">
        <v>261</v>
      </c>
      <c r="AY58" s="166" t="s">
        <v>261</v>
      </c>
      <c r="AZ58" s="166" t="s">
        <v>261</v>
      </c>
      <c r="BA58" s="166" t="s">
        <v>261</v>
      </c>
      <c r="BB58" s="166" t="s">
        <v>261</v>
      </c>
      <c r="BC58" s="166" t="s">
        <v>261</v>
      </c>
      <c r="BD58" s="166" t="s">
        <v>261</v>
      </c>
      <c r="BE58" s="166" t="s">
        <v>261</v>
      </c>
      <c r="BF58" s="166" t="s">
        <v>261</v>
      </c>
      <c r="BG58" s="166" t="s">
        <v>261</v>
      </c>
      <c r="BH58" s="166" t="s">
        <v>261</v>
      </c>
      <c r="BI58" s="149">
        <v>137</v>
      </c>
      <c r="BJ58" s="166">
        <v>110</v>
      </c>
      <c r="BK58" s="166">
        <v>120</v>
      </c>
      <c r="BL58" s="166">
        <v>123</v>
      </c>
      <c r="BM58" s="166">
        <v>135</v>
      </c>
      <c r="BN58" s="166">
        <v>138</v>
      </c>
      <c r="BO58" s="166">
        <v>135</v>
      </c>
      <c r="BP58" s="166">
        <v>138</v>
      </c>
      <c r="BQ58" s="166">
        <v>127</v>
      </c>
      <c r="BR58" s="166">
        <v>140</v>
      </c>
      <c r="BS58" s="166">
        <v>177</v>
      </c>
      <c r="BT58" s="166"/>
      <c r="BU58" s="166">
        <v>0</v>
      </c>
      <c r="BV58" s="7">
        <v>153</v>
      </c>
      <c r="BW58" s="7">
        <v>68</v>
      </c>
      <c r="BX58" s="162">
        <f t="shared" si="124"/>
        <v>4.8171589310829814E-2</v>
      </c>
      <c r="BY58" s="163">
        <f t="shared" si="125"/>
        <v>3.7697052775873888E-2</v>
      </c>
      <c r="BZ58" s="163">
        <f t="shared" si="126"/>
        <v>3.8083148206918438E-2</v>
      </c>
      <c r="CA58" s="163">
        <f t="shared" si="127"/>
        <v>3.6520190023752966E-2</v>
      </c>
      <c r="CB58" s="163">
        <f t="shared" si="128"/>
        <v>4.0504050405040501E-2</v>
      </c>
      <c r="CC58" s="163">
        <f t="shared" si="129"/>
        <v>3.9988409156766158E-2</v>
      </c>
      <c r="CD58" s="163">
        <f t="shared" si="130"/>
        <v>3.8904899135446688E-2</v>
      </c>
      <c r="CE58" s="163">
        <f t="shared" si="131"/>
        <v>3.8796738824852406E-2</v>
      </c>
      <c r="CF58" s="163">
        <f t="shared" si="132"/>
        <v>3.4510869565217393E-2</v>
      </c>
      <c r="CG58" s="163">
        <f t="shared" si="133"/>
        <v>3.4687809712586719E-2</v>
      </c>
      <c r="CH58" s="163">
        <f t="shared" si="134"/>
        <v>4.4073705179282871E-2</v>
      </c>
      <c r="CI58" s="163" t="e">
        <f t="shared" si="135"/>
        <v>#DIV/0!</v>
      </c>
      <c r="CJ58" s="163">
        <f t="shared" si="136"/>
        <v>0</v>
      </c>
      <c r="CK58" s="163">
        <f t="shared" si="137"/>
        <v>3.4552845528455285E-2</v>
      </c>
      <c r="CL58" s="163">
        <f t="shared" si="138"/>
        <v>1.4683653638522998E-2</v>
      </c>
    </row>
    <row r="59" spans="1:90">
      <c r="A59" s="54" t="s">
        <v>191</v>
      </c>
      <c r="B59" s="124"/>
      <c r="C59" s="7"/>
      <c r="D59" s="7"/>
      <c r="E59" s="7"/>
      <c r="F59" s="7"/>
      <c r="G59" s="7">
        <v>3961</v>
      </c>
      <c r="H59" s="7"/>
      <c r="I59" s="7"/>
      <c r="J59" s="7">
        <v>7416</v>
      </c>
      <c r="K59" s="7">
        <v>7841</v>
      </c>
      <c r="L59" s="7">
        <v>8371</v>
      </c>
      <c r="M59" s="7">
        <v>8749</v>
      </c>
      <c r="N59" s="7">
        <v>9024</v>
      </c>
      <c r="O59" s="7">
        <v>9319</v>
      </c>
      <c r="P59" s="7">
        <v>9489</v>
      </c>
      <c r="Q59" s="7"/>
      <c r="R59" s="7">
        <v>9757</v>
      </c>
      <c r="S59" s="7"/>
      <c r="T59" s="7"/>
      <c r="U59" s="7">
        <v>10946</v>
      </c>
      <c r="V59" s="7">
        <v>10885</v>
      </c>
      <c r="W59" s="7">
        <v>11478</v>
      </c>
      <c r="X59" s="7">
        <v>11800</v>
      </c>
      <c r="Y59" s="7">
        <v>11814</v>
      </c>
      <c r="Z59" s="7">
        <v>12326</v>
      </c>
      <c r="AA59" s="7">
        <v>11977</v>
      </c>
      <c r="AB59" s="7">
        <v>12057</v>
      </c>
      <c r="AC59" s="7">
        <v>11929</v>
      </c>
      <c r="AD59" s="7">
        <v>12213</v>
      </c>
      <c r="AE59" s="7">
        <v>12974</v>
      </c>
      <c r="AF59" s="7"/>
      <c r="AG59" s="7">
        <v>13905</v>
      </c>
      <c r="AH59" s="7">
        <v>14333</v>
      </c>
      <c r="AI59" s="7">
        <v>14468</v>
      </c>
      <c r="AJ59" s="149" t="s">
        <v>261</v>
      </c>
      <c r="AK59" s="166">
        <v>35</v>
      </c>
      <c r="AL59" s="166" t="s">
        <v>261</v>
      </c>
      <c r="AM59" s="166" t="s">
        <v>261</v>
      </c>
      <c r="AN59" s="166">
        <v>530</v>
      </c>
      <c r="AO59" s="166">
        <v>601</v>
      </c>
      <c r="AP59" s="166">
        <v>1009</v>
      </c>
      <c r="AQ59" s="166">
        <v>1201</v>
      </c>
      <c r="AR59" s="166">
        <v>1248</v>
      </c>
      <c r="AS59" s="166">
        <v>851</v>
      </c>
      <c r="AT59" s="166">
        <v>941</v>
      </c>
      <c r="AU59" s="166"/>
      <c r="AV59" s="166">
        <v>1459</v>
      </c>
      <c r="AW59" s="149" t="s">
        <v>261</v>
      </c>
      <c r="AX59" s="166" t="s">
        <v>261</v>
      </c>
      <c r="AY59" s="166" t="s">
        <v>261</v>
      </c>
      <c r="AZ59" s="166" t="s">
        <v>261</v>
      </c>
      <c r="BA59" s="166" t="s">
        <v>261</v>
      </c>
      <c r="BB59" s="166" t="s">
        <v>261</v>
      </c>
      <c r="BC59" s="166" t="s">
        <v>261</v>
      </c>
      <c r="BD59" s="166" t="s">
        <v>261</v>
      </c>
      <c r="BE59" s="166" t="s">
        <v>261</v>
      </c>
      <c r="BF59" s="166" t="s">
        <v>261</v>
      </c>
      <c r="BG59" s="166" t="s">
        <v>261</v>
      </c>
      <c r="BH59" s="166" t="s">
        <v>261</v>
      </c>
      <c r="BI59" s="149">
        <v>1274</v>
      </c>
      <c r="BJ59" s="166">
        <v>786</v>
      </c>
      <c r="BK59" s="166">
        <v>1337</v>
      </c>
      <c r="BL59" s="166">
        <v>1077</v>
      </c>
      <c r="BM59" s="166">
        <v>1574</v>
      </c>
      <c r="BN59" s="166">
        <v>1600</v>
      </c>
      <c r="BO59" s="166">
        <v>1578</v>
      </c>
      <c r="BP59" s="166">
        <v>1437</v>
      </c>
      <c r="BQ59" s="166">
        <v>1079</v>
      </c>
      <c r="BR59" s="166">
        <v>905</v>
      </c>
      <c r="BS59" s="166">
        <v>852</v>
      </c>
      <c r="BT59" s="166"/>
      <c r="BU59" s="166">
        <v>403</v>
      </c>
      <c r="BV59" s="7">
        <v>1419</v>
      </c>
      <c r="BW59" s="7">
        <v>944</v>
      </c>
      <c r="BX59" s="162">
        <f t="shared" si="124"/>
        <v>0.1163895486935867</v>
      </c>
      <c r="BY59" s="163">
        <f t="shared" si="125"/>
        <v>7.2209462563160312E-2</v>
      </c>
      <c r="BZ59" s="163">
        <f t="shared" si="126"/>
        <v>0.11648370796305976</v>
      </c>
      <c r="CA59" s="163">
        <f t="shared" si="127"/>
        <v>9.127118644067797E-2</v>
      </c>
      <c r="CB59" s="163">
        <f t="shared" si="128"/>
        <v>0.13323175893008296</v>
      </c>
      <c r="CC59" s="163">
        <f t="shared" si="129"/>
        <v>0.12980691221807561</v>
      </c>
      <c r="CD59" s="163">
        <f t="shared" si="130"/>
        <v>0.13175252567420889</v>
      </c>
      <c r="CE59" s="163">
        <f t="shared" si="131"/>
        <v>0.11918387658621547</v>
      </c>
      <c r="CF59" s="163">
        <f t="shared" si="132"/>
        <v>9.045184005365077E-2</v>
      </c>
      <c r="CG59" s="163">
        <f t="shared" si="133"/>
        <v>7.410136739539834E-2</v>
      </c>
      <c r="CH59" s="163">
        <f t="shared" si="134"/>
        <v>6.5669801140743028E-2</v>
      </c>
      <c r="CI59" s="163" t="e">
        <f t="shared" si="135"/>
        <v>#DIV/0!</v>
      </c>
      <c r="CJ59" s="163">
        <f t="shared" si="136"/>
        <v>2.8982380438691117E-2</v>
      </c>
      <c r="CK59" s="163">
        <f t="shared" si="137"/>
        <v>9.9002302379125093E-2</v>
      </c>
      <c r="CL59" s="163">
        <f t="shared" si="138"/>
        <v>6.5247442632015484E-2</v>
      </c>
    </row>
    <row r="60" spans="1:90">
      <c r="A60" s="54" t="s">
        <v>194</v>
      </c>
      <c r="B60" s="124"/>
      <c r="C60" s="7"/>
      <c r="D60" s="7"/>
      <c r="E60" s="7"/>
      <c r="F60" s="7"/>
      <c r="G60" s="7">
        <v>2292</v>
      </c>
      <c r="H60" s="7"/>
      <c r="I60" s="7"/>
      <c r="J60" s="7">
        <v>2624</v>
      </c>
      <c r="K60" s="7">
        <v>2742</v>
      </c>
      <c r="L60" s="7">
        <v>2817</v>
      </c>
      <c r="M60" s="7">
        <v>2841</v>
      </c>
      <c r="N60" s="7">
        <v>2817</v>
      </c>
      <c r="O60" s="7">
        <v>3022</v>
      </c>
      <c r="P60" s="7">
        <v>3258</v>
      </c>
      <c r="Q60" s="7"/>
      <c r="R60" s="7">
        <v>3773</v>
      </c>
      <c r="S60" s="7"/>
      <c r="T60" s="7"/>
      <c r="U60" s="7">
        <v>4314</v>
      </c>
      <c r="V60" s="7">
        <v>4717</v>
      </c>
      <c r="W60" s="7">
        <v>4918</v>
      </c>
      <c r="X60" s="7">
        <v>5386</v>
      </c>
      <c r="Y60" s="7">
        <v>5248</v>
      </c>
      <c r="Z60" s="7">
        <v>5470</v>
      </c>
      <c r="AA60" s="7">
        <v>5835</v>
      </c>
      <c r="AB60" s="7">
        <v>6147</v>
      </c>
      <c r="AC60" s="7">
        <v>6112</v>
      </c>
      <c r="AD60" s="7">
        <v>6279</v>
      </c>
      <c r="AE60" s="7">
        <v>6520</v>
      </c>
      <c r="AF60" s="7"/>
      <c r="AG60" s="7">
        <v>6654</v>
      </c>
      <c r="AH60" s="7">
        <v>6712</v>
      </c>
      <c r="AI60" s="7">
        <v>6719</v>
      </c>
      <c r="AJ60" s="149" t="s">
        <v>261</v>
      </c>
      <c r="AK60" s="166">
        <v>385</v>
      </c>
      <c r="AL60" s="166" t="s">
        <v>261</v>
      </c>
      <c r="AM60" s="166" t="s">
        <v>261</v>
      </c>
      <c r="AN60" s="166">
        <v>345</v>
      </c>
      <c r="AO60" s="166">
        <v>321</v>
      </c>
      <c r="AP60" s="166">
        <v>367</v>
      </c>
      <c r="AQ60" s="166">
        <v>414</v>
      </c>
      <c r="AR60" s="166">
        <v>352</v>
      </c>
      <c r="AS60" s="166">
        <v>343</v>
      </c>
      <c r="AT60" s="166">
        <v>354</v>
      </c>
      <c r="AU60" s="166"/>
      <c r="AV60" s="166">
        <v>456</v>
      </c>
      <c r="AW60" s="149">
        <v>281</v>
      </c>
      <c r="AX60" s="166">
        <v>0</v>
      </c>
      <c r="AY60" s="166">
        <v>0</v>
      </c>
      <c r="AZ60" s="166">
        <v>345</v>
      </c>
      <c r="BA60" s="166">
        <v>321</v>
      </c>
      <c r="BB60" s="166">
        <v>367</v>
      </c>
      <c r="BC60" s="166">
        <v>414</v>
      </c>
      <c r="BD60" s="166">
        <v>352</v>
      </c>
      <c r="BE60" s="166">
        <v>343</v>
      </c>
      <c r="BF60" s="166">
        <v>354</v>
      </c>
      <c r="BG60" s="166"/>
      <c r="BH60" s="166">
        <v>412</v>
      </c>
      <c r="BI60" s="149">
        <v>494</v>
      </c>
      <c r="BJ60" s="166">
        <v>451</v>
      </c>
      <c r="BK60" s="166">
        <v>453</v>
      </c>
      <c r="BL60" s="166">
        <v>501</v>
      </c>
      <c r="BM60" s="166">
        <v>471</v>
      </c>
      <c r="BN60" s="166">
        <v>537</v>
      </c>
      <c r="BO60" s="166">
        <v>631</v>
      </c>
      <c r="BP60" s="166">
        <v>606</v>
      </c>
      <c r="BQ60" s="166">
        <v>670</v>
      </c>
      <c r="BR60" s="166">
        <v>626</v>
      </c>
      <c r="BS60" s="166">
        <v>535</v>
      </c>
      <c r="BT60" s="166"/>
      <c r="BU60" s="166">
        <v>438</v>
      </c>
      <c r="BV60" s="7">
        <v>548</v>
      </c>
      <c r="BW60" s="7">
        <v>584</v>
      </c>
      <c r="BX60" s="162">
        <f t="shared" si="124"/>
        <v>0.11451089476124246</v>
      </c>
      <c r="BY60" s="163">
        <f t="shared" si="125"/>
        <v>9.5611617553529787E-2</v>
      </c>
      <c r="BZ60" s="163">
        <f t="shared" si="126"/>
        <v>9.2110614070760474E-2</v>
      </c>
      <c r="CA60" s="163">
        <f t="shared" si="127"/>
        <v>9.3018937987374678E-2</v>
      </c>
      <c r="CB60" s="163">
        <f t="shared" si="128"/>
        <v>8.9748475609756101E-2</v>
      </c>
      <c r="CC60" s="163">
        <f t="shared" si="129"/>
        <v>9.8171846435100546E-2</v>
      </c>
      <c r="CD60" s="163">
        <f t="shared" si="130"/>
        <v>0.10814053127677806</v>
      </c>
      <c r="CE60" s="163">
        <f t="shared" si="131"/>
        <v>9.8584675451439729E-2</v>
      </c>
      <c r="CF60" s="163">
        <f t="shared" si="132"/>
        <v>0.10962041884816753</v>
      </c>
      <c r="CG60" s="163">
        <f t="shared" si="133"/>
        <v>9.9697404045230129E-2</v>
      </c>
      <c r="CH60" s="163">
        <f t="shared" si="134"/>
        <v>8.2055214723926378E-2</v>
      </c>
      <c r="CI60" s="163" t="e">
        <f t="shared" si="135"/>
        <v>#DIV/0!</v>
      </c>
      <c r="CJ60" s="163">
        <f t="shared" si="136"/>
        <v>6.5825067628494133E-2</v>
      </c>
      <c r="CK60" s="163">
        <f t="shared" si="137"/>
        <v>8.1644815256257455E-2</v>
      </c>
      <c r="CL60" s="163">
        <f t="shared" si="138"/>
        <v>8.6917696085727039E-2</v>
      </c>
    </row>
    <row r="61" spans="1:90">
      <c r="A61" s="54" t="s">
        <v>195</v>
      </c>
      <c r="B61" s="124"/>
      <c r="C61" s="7"/>
      <c r="D61" s="7"/>
      <c r="E61" s="7"/>
      <c r="F61" s="7"/>
      <c r="G61" s="7">
        <v>178</v>
      </c>
      <c r="H61" s="7"/>
      <c r="I61" s="7"/>
      <c r="J61" s="7">
        <v>247</v>
      </c>
      <c r="K61" s="7">
        <v>256</v>
      </c>
      <c r="L61" s="7">
        <v>241</v>
      </c>
      <c r="M61" s="7">
        <v>250</v>
      </c>
      <c r="N61" s="7">
        <v>325</v>
      </c>
      <c r="O61" s="7">
        <v>285</v>
      </c>
      <c r="P61" s="7">
        <v>275</v>
      </c>
      <c r="Q61" s="7"/>
      <c r="R61" s="7">
        <v>323</v>
      </c>
      <c r="S61" s="7"/>
      <c r="T61" s="7"/>
      <c r="U61" s="7">
        <v>403</v>
      </c>
      <c r="V61" s="7">
        <v>388</v>
      </c>
      <c r="W61" s="7">
        <v>424</v>
      </c>
      <c r="X61" s="7">
        <v>432</v>
      </c>
      <c r="Y61" s="7">
        <v>430</v>
      </c>
      <c r="Z61" s="7">
        <v>422</v>
      </c>
      <c r="AA61" s="7">
        <v>400</v>
      </c>
      <c r="AB61" s="7">
        <v>440</v>
      </c>
      <c r="AC61" s="7">
        <v>448</v>
      </c>
      <c r="AD61" s="7">
        <v>451</v>
      </c>
      <c r="AE61" s="7">
        <v>491</v>
      </c>
      <c r="AF61" s="7"/>
      <c r="AG61" s="7">
        <v>562</v>
      </c>
      <c r="AH61" s="7">
        <v>609</v>
      </c>
      <c r="AI61" s="7">
        <v>640</v>
      </c>
      <c r="AJ61" s="149" t="s">
        <v>261</v>
      </c>
      <c r="AK61" s="166" t="s">
        <v>261</v>
      </c>
      <c r="AL61" s="166" t="s">
        <v>261</v>
      </c>
      <c r="AM61" s="166" t="s">
        <v>261</v>
      </c>
      <c r="AN61" s="166" t="s">
        <v>261</v>
      </c>
      <c r="AO61" s="166" t="s">
        <v>261</v>
      </c>
      <c r="AP61" s="166" t="s">
        <v>261</v>
      </c>
      <c r="AQ61" s="166" t="s">
        <v>261</v>
      </c>
      <c r="AR61" s="166" t="s">
        <v>261</v>
      </c>
      <c r="AS61" s="166" t="s">
        <v>261</v>
      </c>
      <c r="AT61" s="166" t="s">
        <v>261</v>
      </c>
      <c r="AU61" s="166"/>
      <c r="AV61" s="166" t="s">
        <v>261</v>
      </c>
      <c r="AW61" s="149" t="s">
        <v>261</v>
      </c>
      <c r="AX61" s="166" t="s">
        <v>261</v>
      </c>
      <c r="AY61" s="166" t="s">
        <v>261</v>
      </c>
      <c r="AZ61" s="166" t="s">
        <v>261</v>
      </c>
      <c r="BA61" s="166" t="s">
        <v>261</v>
      </c>
      <c r="BB61" s="166" t="s">
        <v>261</v>
      </c>
      <c r="BC61" s="166" t="s">
        <v>261</v>
      </c>
      <c r="BD61" s="166" t="s">
        <v>261</v>
      </c>
      <c r="BE61" s="166" t="s">
        <v>261</v>
      </c>
      <c r="BF61" s="166" t="s">
        <v>261</v>
      </c>
      <c r="BG61" s="166" t="s">
        <v>261</v>
      </c>
      <c r="BH61" s="166" t="s">
        <v>261</v>
      </c>
      <c r="BI61" s="149"/>
      <c r="BJ61" s="166"/>
      <c r="BK61" s="166"/>
      <c r="BL61" s="166"/>
      <c r="BM61" s="166"/>
      <c r="BN61" s="166"/>
      <c r="BO61" s="166"/>
      <c r="BP61" s="166"/>
      <c r="BQ61" s="166">
        <v>0</v>
      </c>
      <c r="BR61" s="166">
        <v>0</v>
      </c>
      <c r="BS61" s="166">
        <v>0</v>
      </c>
      <c r="BT61" s="166"/>
      <c r="BU61" s="166">
        <v>0</v>
      </c>
      <c r="BV61" s="166">
        <v>0</v>
      </c>
      <c r="BW61" s="166">
        <v>0</v>
      </c>
      <c r="BX61" s="162">
        <f t="shared" si="124"/>
        <v>0</v>
      </c>
      <c r="BY61" s="163">
        <f t="shared" si="125"/>
        <v>0</v>
      </c>
      <c r="BZ61" s="163">
        <f t="shared" si="126"/>
        <v>0</v>
      </c>
      <c r="CA61" s="163">
        <f t="shared" si="127"/>
        <v>0</v>
      </c>
      <c r="CB61" s="163">
        <f t="shared" si="128"/>
        <v>0</v>
      </c>
      <c r="CC61" s="163">
        <f t="shared" si="129"/>
        <v>0</v>
      </c>
      <c r="CD61" s="163">
        <f t="shared" si="130"/>
        <v>0</v>
      </c>
      <c r="CE61" s="163">
        <f t="shared" si="131"/>
        <v>0</v>
      </c>
      <c r="CF61" s="163">
        <f t="shared" si="132"/>
        <v>0</v>
      </c>
      <c r="CG61" s="163">
        <f t="shared" si="133"/>
        <v>0</v>
      </c>
      <c r="CH61" s="163">
        <f t="shared" si="134"/>
        <v>0</v>
      </c>
      <c r="CI61" s="163" t="e">
        <f t="shared" si="135"/>
        <v>#DIV/0!</v>
      </c>
      <c r="CJ61" s="163">
        <f t="shared" si="136"/>
        <v>0</v>
      </c>
      <c r="CK61" s="163">
        <f t="shared" si="137"/>
        <v>0</v>
      </c>
      <c r="CL61" s="163">
        <f t="shared" si="138"/>
        <v>0</v>
      </c>
    </row>
    <row r="62" spans="1:90">
      <c r="A62" s="58" t="s">
        <v>198</v>
      </c>
      <c r="B62" s="124"/>
      <c r="C62" s="7"/>
      <c r="D62" s="7"/>
      <c r="E62" s="7"/>
      <c r="F62" s="7"/>
      <c r="G62" s="7">
        <v>33</v>
      </c>
      <c r="H62" s="7"/>
      <c r="I62" s="7"/>
      <c r="J62" s="7">
        <v>43</v>
      </c>
      <c r="K62" s="7">
        <v>50</v>
      </c>
      <c r="L62" s="7">
        <v>54</v>
      </c>
      <c r="M62" s="7">
        <v>52</v>
      </c>
      <c r="N62" s="7">
        <v>48</v>
      </c>
      <c r="O62" s="7">
        <v>45</v>
      </c>
      <c r="P62" s="7">
        <v>37</v>
      </c>
      <c r="Q62" s="7"/>
      <c r="R62" s="7">
        <v>46</v>
      </c>
      <c r="S62" s="7"/>
      <c r="T62" s="7"/>
      <c r="U62" s="7">
        <v>53</v>
      </c>
      <c r="V62" s="7">
        <v>37</v>
      </c>
      <c r="W62" s="7">
        <v>53</v>
      </c>
      <c r="X62" s="7">
        <v>57</v>
      </c>
      <c r="Y62" s="7">
        <v>75</v>
      </c>
      <c r="Z62" s="7">
        <v>70</v>
      </c>
      <c r="AA62" s="7">
        <v>76</v>
      </c>
      <c r="AB62" s="7">
        <v>84</v>
      </c>
      <c r="AC62" s="7">
        <v>92</v>
      </c>
      <c r="AD62" s="7">
        <v>88</v>
      </c>
      <c r="AE62" s="7">
        <v>103</v>
      </c>
      <c r="AF62" s="7"/>
      <c r="AG62" s="7">
        <v>99</v>
      </c>
      <c r="AH62" s="7">
        <v>135</v>
      </c>
      <c r="AI62" s="7">
        <v>145</v>
      </c>
      <c r="AJ62" s="149" t="s">
        <v>261</v>
      </c>
      <c r="AK62" s="166" t="s">
        <v>261</v>
      </c>
      <c r="AL62" s="166" t="s">
        <v>261</v>
      </c>
      <c r="AM62" s="166" t="s">
        <v>261</v>
      </c>
      <c r="AN62" s="166" t="s">
        <v>261</v>
      </c>
      <c r="AO62" s="166" t="s">
        <v>261</v>
      </c>
      <c r="AP62" s="166" t="s">
        <v>261</v>
      </c>
      <c r="AQ62" s="166" t="s">
        <v>261</v>
      </c>
      <c r="AR62" s="166" t="s">
        <v>261</v>
      </c>
      <c r="AS62" s="166" t="s">
        <v>261</v>
      </c>
      <c r="AT62" s="166" t="s">
        <v>261</v>
      </c>
      <c r="AU62" s="166"/>
      <c r="AV62" s="166" t="s">
        <v>261</v>
      </c>
      <c r="AW62" s="149" t="s">
        <v>261</v>
      </c>
      <c r="AX62" s="166" t="s">
        <v>261</v>
      </c>
      <c r="AY62" s="166" t="s">
        <v>261</v>
      </c>
      <c r="AZ62" s="166" t="s">
        <v>261</v>
      </c>
      <c r="BA62" s="166" t="s">
        <v>261</v>
      </c>
      <c r="BB62" s="166" t="s">
        <v>261</v>
      </c>
      <c r="BC62" s="166" t="s">
        <v>261</v>
      </c>
      <c r="BD62" s="166" t="s">
        <v>261</v>
      </c>
      <c r="BE62" s="166" t="s">
        <v>261</v>
      </c>
      <c r="BF62" s="166" t="s">
        <v>261</v>
      </c>
      <c r="BG62" s="166" t="s">
        <v>261</v>
      </c>
      <c r="BH62" s="166" t="s">
        <v>261</v>
      </c>
      <c r="BI62" s="149"/>
      <c r="BJ62" s="166"/>
      <c r="BK62" s="166"/>
      <c r="BL62" s="166"/>
      <c r="BM62" s="166"/>
      <c r="BN62" s="166"/>
      <c r="BO62" s="166"/>
      <c r="BP62" s="166"/>
      <c r="BQ62" s="166">
        <v>0</v>
      </c>
      <c r="BR62" s="166">
        <v>0</v>
      </c>
      <c r="BS62" s="166">
        <v>0</v>
      </c>
      <c r="BT62" s="166"/>
      <c r="BU62" s="166">
        <v>0</v>
      </c>
      <c r="BV62" s="166">
        <v>0</v>
      </c>
      <c r="BW62" s="166">
        <v>0</v>
      </c>
      <c r="BX62" s="162">
        <f t="shared" si="124"/>
        <v>0</v>
      </c>
      <c r="BY62" s="163">
        <f t="shared" si="125"/>
        <v>0</v>
      </c>
      <c r="BZ62" s="163">
        <f t="shared" si="126"/>
        <v>0</v>
      </c>
      <c r="CA62" s="163">
        <f t="shared" si="127"/>
        <v>0</v>
      </c>
      <c r="CB62" s="163">
        <f t="shared" si="128"/>
        <v>0</v>
      </c>
      <c r="CC62" s="163">
        <f t="shared" si="129"/>
        <v>0</v>
      </c>
      <c r="CD62" s="163">
        <f t="shared" si="130"/>
        <v>0</v>
      </c>
      <c r="CE62" s="163">
        <f t="shared" si="131"/>
        <v>0</v>
      </c>
      <c r="CF62" s="163">
        <f t="shared" si="132"/>
        <v>0</v>
      </c>
      <c r="CG62" s="163">
        <f t="shared" si="133"/>
        <v>0</v>
      </c>
      <c r="CH62" s="163">
        <f t="shared" si="134"/>
        <v>0</v>
      </c>
      <c r="CI62" s="163" t="e">
        <f t="shared" si="135"/>
        <v>#DIV/0!</v>
      </c>
      <c r="CJ62" s="163">
        <f t="shared" si="136"/>
        <v>0</v>
      </c>
      <c r="CK62" s="163">
        <f t="shared" si="137"/>
        <v>0</v>
      </c>
      <c r="CL62" s="163">
        <f t="shared" si="138"/>
        <v>0</v>
      </c>
    </row>
    <row r="63" spans="1:90">
      <c r="A63" s="59" t="s">
        <v>172</v>
      </c>
      <c r="B63" s="131"/>
      <c r="C63" s="60"/>
      <c r="D63" s="60"/>
      <c r="E63" s="60"/>
      <c r="F63" s="60"/>
      <c r="G63" s="60">
        <v>1756</v>
      </c>
      <c r="H63" s="60"/>
      <c r="I63" s="60"/>
      <c r="J63" s="60">
        <v>1980</v>
      </c>
      <c r="K63" s="60">
        <v>2250</v>
      </c>
      <c r="L63" s="60">
        <v>2078</v>
      </c>
      <c r="M63" s="60">
        <v>1986</v>
      </c>
      <c r="N63" s="60">
        <v>2007</v>
      </c>
      <c r="O63" s="60">
        <v>2020</v>
      </c>
      <c r="P63" s="60">
        <v>2018</v>
      </c>
      <c r="Q63" s="60"/>
      <c r="R63" s="60">
        <v>1773</v>
      </c>
      <c r="S63" s="60"/>
      <c r="T63" s="60"/>
      <c r="U63" s="60">
        <v>2134</v>
      </c>
      <c r="V63" s="60">
        <v>2561</v>
      </c>
      <c r="W63" s="60">
        <v>2248</v>
      </c>
      <c r="X63" s="60">
        <v>2652</v>
      </c>
      <c r="Y63" s="60">
        <v>2783</v>
      </c>
      <c r="Z63" s="60">
        <v>2988</v>
      </c>
      <c r="AA63" s="60">
        <v>3053</v>
      </c>
      <c r="AB63" s="60">
        <v>1967</v>
      </c>
      <c r="AC63" s="60">
        <v>1833</v>
      </c>
      <c r="AD63" s="60">
        <v>2242</v>
      </c>
      <c r="AE63" s="60">
        <v>2058</v>
      </c>
      <c r="AF63" s="60"/>
      <c r="AG63" s="60">
        <v>2212</v>
      </c>
      <c r="AH63" s="91">
        <v>2106</v>
      </c>
      <c r="AI63" s="91">
        <v>2154</v>
      </c>
      <c r="AJ63" s="175" t="s">
        <v>261</v>
      </c>
      <c r="AK63" s="176">
        <v>1477</v>
      </c>
      <c r="AL63" s="176" t="s">
        <v>261</v>
      </c>
      <c r="AM63" s="176" t="s">
        <v>261</v>
      </c>
      <c r="AN63" s="176">
        <v>1629</v>
      </c>
      <c r="AO63" s="176">
        <v>1757</v>
      </c>
      <c r="AP63" s="176">
        <v>1148</v>
      </c>
      <c r="AQ63" s="176">
        <v>1693</v>
      </c>
      <c r="AR63" s="176">
        <v>1748</v>
      </c>
      <c r="AS63" s="176">
        <v>1664</v>
      </c>
      <c r="AT63" s="176">
        <v>1625</v>
      </c>
      <c r="AU63" s="176"/>
      <c r="AV63" s="176">
        <v>1503</v>
      </c>
      <c r="AW63" s="175">
        <v>955</v>
      </c>
      <c r="AX63" s="176"/>
      <c r="AY63" s="176"/>
      <c r="AZ63" s="176">
        <v>1088</v>
      </c>
      <c r="BA63" s="176">
        <v>1757</v>
      </c>
      <c r="BB63" s="176">
        <v>1622</v>
      </c>
      <c r="BC63" s="176">
        <v>1563</v>
      </c>
      <c r="BD63" s="176">
        <v>1552</v>
      </c>
      <c r="BE63" s="176">
        <v>1515</v>
      </c>
      <c r="BF63" s="176">
        <v>1505</v>
      </c>
      <c r="BG63" s="176"/>
      <c r="BH63" s="176">
        <v>1215</v>
      </c>
      <c r="BI63" s="175">
        <v>1845</v>
      </c>
      <c r="BJ63" s="176">
        <v>1595</v>
      </c>
      <c r="BK63" s="176">
        <v>1911</v>
      </c>
      <c r="BL63" s="176">
        <v>2264</v>
      </c>
      <c r="BM63" s="176">
        <v>2415</v>
      </c>
      <c r="BN63" s="176">
        <v>2604</v>
      </c>
      <c r="BO63" s="176">
        <v>2684</v>
      </c>
      <c r="BP63" s="176">
        <v>1609</v>
      </c>
      <c r="BQ63" s="176">
        <v>1481</v>
      </c>
      <c r="BR63" s="176">
        <v>1848</v>
      </c>
      <c r="BS63" s="176">
        <v>1608</v>
      </c>
      <c r="BT63" s="176"/>
      <c r="BU63" s="176">
        <v>1429</v>
      </c>
      <c r="BV63" s="91">
        <v>1613</v>
      </c>
      <c r="BW63" s="91">
        <v>1608</v>
      </c>
      <c r="BX63" s="177">
        <f t="shared" si="124"/>
        <v>0.86457357075913777</v>
      </c>
      <c r="BY63" s="178">
        <f t="shared" si="125"/>
        <v>0.62280359234673954</v>
      </c>
      <c r="BZ63" s="178">
        <f t="shared" si="126"/>
        <v>0.85008896797153022</v>
      </c>
      <c r="CA63" s="178">
        <f t="shared" si="127"/>
        <v>0.85369532428355954</v>
      </c>
      <c r="CB63" s="178">
        <f t="shared" si="128"/>
        <v>0.86776859504132231</v>
      </c>
      <c r="CC63" s="178">
        <f t="shared" si="129"/>
        <v>0.87148594377510036</v>
      </c>
      <c r="CD63" s="178">
        <f t="shared" si="130"/>
        <v>0.8791352767769407</v>
      </c>
      <c r="CE63" s="178">
        <f t="shared" si="131"/>
        <v>0.8179969496695475</v>
      </c>
      <c r="CF63" s="178">
        <f t="shared" si="132"/>
        <v>0.80796508456082927</v>
      </c>
      <c r="CG63" s="178">
        <f t="shared" si="133"/>
        <v>0.82426404995539693</v>
      </c>
      <c r="CH63" s="178">
        <f t="shared" si="134"/>
        <v>0.78134110787172006</v>
      </c>
      <c r="CI63" s="178" t="e">
        <f t="shared" si="135"/>
        <v>#DIV/0!</v>
      </c>
      <c r="CJ63" s="178">
        <f t="shared" si="136"/>
        <v>0.64602169981916813</v>
      </c>
      <c r="CK63" s="178">
        <f t="shared" si="137"/>
        <v>0.76590693257359921</v>
      </c>
      <c r="CL63" s="178">
        <f t="shared" si="138"/>
        <v>0.74651810584958223</v>
      </c>
    </row>
    <row r="64" spans="1:90">
      <c r="AH64" s="7"/>
      <c r="AI64" s="7"/>
      <c r="BV64" s="7"/>
      <c r="BW64" s="7"/>
    </row>
    <row r="65" spans="5:73">
      <c r="E65" s="1" t="s">
        <v>151</v>
      </c>
      <c r="G65" s="1" t="s">
        <v>108</v>
      </c>
      <c r="J65" s="1" t="s">
        <v>108</v>
      </c>
      <c r="K65" s="1" t="s">
        <v>108</v>
      </c>
      <c r="L65" s="1" t="s">
        <v>108</v>
      </c>
      <c r="M65" s="1" t="s">
        <v>108</v>
      </c>
      <c r="N65" s="1" t="s">
        <v>108</v>
      </c>
      <c r="O65" s="1" t="s">
        <v>108</v>
      </c>
      <c r="P65" s="1" t="s">
        <v>108</v>
      </c>
      <c r="Q65" s="3"/>
      <c r="R65" s="1" t="s">
        <v>108</v>
      </c>
      <c r="S65" s="3"/>
      <c r="T65" s="3"/>
      <c r="U65" s="3" t="s">
        <v>81</v>
      </c>
      <c r="V65" s="3"/>
      <c r="W65" s="3"/>
      <c r="X65" s="3"/>
      <c r="Y65" s="3"/>
      <c r="Z65" s="3"/>
      <c r="AA65" s="3" t="s">
        <v>81</v>
      </c>
      <c r="AB65" s="3"/>
      <c r="AC65" s="3"/>
      <c r="AD65" s="3"/>
      <c r="AE65" s="3"/>
      <c r="AF65" s="3"/>
      <c r="AG65" s="3"/>
      <c r="AK65" s="15" t="s">
        <v>108</v>
      </c>
      <c r="AN65" s="15" t="s">
        <v>108</v>
      </c>
      <c r="AO65" s="15" t="s">
        <v>108</v>
      </c>
      <c r="AP65" s="15" t="s">
        <v>108</v>
      </c>
      <c r="AQ65" s="15" t="s">
        <v>108</v>
      </c>
      <c r="AR65" s="15" t="s">
        <v>108</v>
      </c>
      <c r="AS65" s="15" t="s">
        <v>108</v>
      </c>
      <c r="AT65" s="15" t="s">
        <v>108</v>
      </c>
      <c r="AV65" s="15" t="s">
        <v>108</v>
      </c>
      <c r="AW65" s="15" t="s">
        <v>108</v>
      </c>
      <c r="AZ65" s="15" t="s">
        <v>108</v>
      </c>
      <c r="BA65" s="15" t="s">
        <v>108</v>
      </c>
      <c r="BB65" s="15" t="s">
        <v>108</v>
      </c>
      <c r="BC65" s="15" t="s">
        <v>108</v>
      </c>
      <c r="BD65" s="15" t="s">
        <v>108</v>
      </c>
      <c r="BE65" s="15" t="s">
        <v>108</v>
      </c>
      <c r="BF65" s="15" t="s">
        <v>108</v>
      </c>
      <c r="BH65" s="15" t="s">
        <v>108</v>
      </c>
      <c r="BO65" s="15" t="s">
        <v>81</v>
      </c>
      <c r="BR65" s="15" t="s">
        <v>81</v>
      </c>
      <c r="BU65" s="15" t="s">
        <v>267</v>
      </c>
    </row>
    <row r="66" spans="5:73">
      <c r="E66" s="1" t="s">
        <v>148</v>
      </c>
      <c r="G66" s="1" t="s">
        <v>29</v>
      </c>
      <c r="J66" s="1" t="s">
        <v>29</v>
      </c>
      <c r="K66" s="1" t="s">
        <v>29</v>
      </c>
      <c r="L66" s="1" t="s">
        <v>29</v>
      </c>
      <c r="M66" s="1" t="s">
        <v>29</v>
      </c>
      <c r="N66" s="1" t="s">
        <v>29</v>
      </c>
      <c r="O66" s="1" t="s">
        <v>29</v>
      </c>
      <c r="P66" s="1" t="s">
        <v>29</v>
      </c>
      <c r="R66" s="1" t="s">
        <v>29</v>
      </c>
      <c r="U66" s="1" t="s">
        <v>211</v>
      </c>
      <c r="AA66" s="1" t="s">
        <v>211</v>
      </c>
      <c r="AK66" s="15" t="s">
        <v>29</v>
      </c>
      <c r="AN66" s="15" t="s">
        <v>29</v>
      </c>
      <c r="AO66" s="15" t="s">
        <v>29</v>
      </c>
      <c r="AP66" s="15" t="s">
        <v>29</v>
      </c>
      <c r="AQ66" s="15" t="s">
        <v>29</v>
      </c>
      <c r="AR66" s="15" t="s">
        <v>29</v>
      </c>
      <c r="AS66" s="15" t="s">
        <v>29</v>
      </c>
      <c r="AT66" s="15" t="s">
        <v>29</v>
      </c>
      <c r="AV66" s="15" t="s">
        <v>29</v>
      </c>
      <c r="AW66" s="15" t="s">
        <v>29</v>
      </c>
      <c r="AZ66" s="15" t="s">
        <v>29</v>
      </c>
      <c r="BA66" s="15" t="s">
        <v>29</v>
      </c>
      <c r="BB66" s="15" t="s">
        <v>29</v>
      </c>
      <c r="BC66" s="15" t="s">
        <v>29</v>
      </c>
      <c r="BD66" s="15" t="s">
        <v>29</v>
      </c>
      <c r="BE66" s="15" t="s">
        <v>29</v>
      </c>
      <c r="BF66" s="15" t="s">
        <v>29</v>
      </c>
      <c r="BH66" s="15" t="s">
        <v>29</v>
      </c>
      <c r="BO66" s="15" t="s">
        <v>211</v>
      </c>
      <c r="BR66" s="15" t="s">
        <v>211</v>
      </c>
    </row>
    <row r="67" spans="5:73">
      <c r="E67" s="1" t="s">
        <v>145</v>
      </c>
      <c r="G67" s="1" t="s">
        <v>32</v>
      </c>
      <c r="J67" s="1" t="s">
        <v>32</v>
      </c>
      <c r="K67" s="1" t="s">
        <v>32</v>
      </c>
      <c r="L67" s="1" t="s">
        <v>32</v>
      </c>
      <c r="M67" s="1" t="s">
        <v>32</v>
      </c>
      <c r="N67" s="1" t="s">
        <v>32</v>
      </c>
      <c r="O67" s="1" t="s">
        <v>32</v>
      </c>
      <c r="P67" s="1" t="s">
        <v>32</v>
      </c>
      <c r="R67" s="1" t="s">
        <v>32</v>
      </c>
      <c r="U67" s="1" t="s">
        <v>212</v>
      </c>
      <c r="AA67" s="1" t="s">
        <v>212</v>
      </c>
      <c r="AK67" s="15" t="s">
        <v>32</v>
      </c>
      <c r="AN67" s="15" t="s">
        <v>32</v>
      </c>
      <c r="AO67" s="15" t="s">
        <v>32</v>
      </c>
      <c r="AP67" s="15" t="s">
        <v>32</v>
      </c>
      <c r="AQ67" s="15" t="s">
        <v>32</v>
      </c>
      <c r="AR67" s="15" t="s">
        <v>32</v>
      </c>
      <c r="AS67" s="15" t="s">
        <v>32</v>
      </c>
      <c r="AT67" s="15" t="s">
        <v>32</v>
      </c>
      <c r="AV67" s="15" t="s">
        <v>32</v>
      </c>
      <c r="AW67" s="15" t="s">
        <v>32</v>
      </c>
      <c r="AZ67" s="15" t="s">
        <v>32</v>
      </c>
      <c r="BA67" s="15" t="s">
        <v>32</v>
      </c>
      <c r="BB67" s="15" t="s">
        <v>32</v>
      </c>
      <c r="BC67" s="15" t="s">
        <v>32</v>
      </c>
      <c r="BD67" s="15" t="s">
        <v>32</v>
      </c>
      <c r="BE67" s="15" t="s">
        <v>32</v>
      </c>
      <c r="BF67" s="15" t="s">
        <v>32</v>
      </c>
      <c r="BH67" s="15" t="s">
        <v>32</v>
      </c>
      <c r="BO67" s="15" t="s">
        <v>212</v>
      </c>
      <c r="BR67" s="15" t="s">
        <v>212</v>
      </c>
    </row>
    <row r="68" spans="5:73">
      <c r="E68" s="1" t="s">
        <v>142</v>
      </c>
      <c r="G68" s="1" t="s">
        <v>109</v>
      </c>
      <c r="J68" s="1" t="s">
        <v>109</v>
      </c>
      <c r="K68" s="1" t="s">
        <v>109</v>
      </c>
      <c r="L68" s="1" t="s">
        <v>109</v>
      </c>
      <c r="M68" s="1" t="s">
        <v>109</v>
      </c>
      <c r="N68" s="1" t="s">
        <v>109</v>
      </c>
      <c r="O68" s="1" t="s">
        <v>109</v>
      </c>
      <c r="P68" s="1" t="s">
        <v>109</v>
      </c>
      <c r="R68" s="1" t="s">
        <v>109</v>
      </c>
      <c r="U68" s="1" t="s">
        <v>213</v>
      </c>
      <c r="AA68" s="1" t="s">
        <v>213</v>
      </c>
      <c r="AK68" s="15" t="s">
        <v>109</v>
      </c>
      <c r="AN68" s="15" t="s">
        <v>109</v>
      </c>
      <c r="AO68" s="15" t="s">
        <v>109</v>
      </c>
      <c r="AP68" s="15" t="s">
        <v>109</v>
      </c>
      <c r="AQ68" s="15" t="s">
        <v>109</v>
      </c>
      <c r="AR68" s="15" t="s">
        <v>109</v>
      </c>
      <c r="AS68" s="15" t="s">
        <v>109</v>
      </c>
      <c r="AT68" s="15" t="s">
        <v>109</v>
      </c>
      <c r="AV68" s="15" t="s">
        <v>109</v>
      </c>
      <c r="AW68" s="15" t="s">
        <v>109</v>
      </c>
      <c r="AZ68" s="15" t="s">
        <v>109</v>
      </c>
      <c r="BA68" s="15" t="s">
        <v>109</v>
      </c>
      <c r="BB68" s="15" t="s">
        <v>109</v>
      </c>
      <c r="BC68" s="15" t="s">
        <v>109</v>
      </c>
      <c r="BD68" s="15" t="s">
        <v>109</v>
      </c>
      <c r="BE68" s="15" t="s">
        <v>109</v>
      </c>
      <c r="BF68" s="15" t="s">
        <v>109</v>
      </c>
      <c r="BH68" s="15" t="s">
        <v>109</v>
      </c>
      <c r="BO68" s="15" t="s">
        <v>213</v>
      </c>
      <c r="BR68" s="15" t="s">
        <v>213</v>
      </c>
    </row>
    <row r="69" spans="5:73">
      <c r="E69" s="1" t="s">
        <v>139</v>
      </c>
      <c r="G69" s="1" t="s">
        <v>110</v>
      </c>
      <c r="J69" s="1" t="s">
        <v>110</v>
      </c>
      <c r="K69" s="1" t="s">
        <v>110</v>
      </c>
      <c r="L69" s="1" t="s">
        <v>110</v>
      </c>
      <c r="M69" s="1" t="s">
        <v>110</v>
      </c>
      <c r="N69" s="1" t="s">
        <v>110</v>
      </c>
      <c r="O69" s="1" t="s">
        <v>110</v>
      </c>
      <c r="P69" s="1" t="s">
        <v>110</v>
      </c>
      <c r="R69" s="1" t="s">
        <v>110</v>
      </c>
      <c r="U69" s="1" t="s">
        <v>41</v>
      </c>
      <c r="AA69" s="1" t="s">
        <v>41</v>
      </c>
      <c r="AK69" s="15" t="s">
        <v>110</v>
      </c>
      <c r="AN69" s="15" t="s">
        <v>110</v>
      </c>
      <c r="AO69" s="15" t="s">
        <v>110</v>
      </c>
      <c r="AP69" s="15" t="s">
        <v>110</v>
      </c>
      <c r="AQ69" s="15" t="s">
        <v>110</v>
      </c>
      <c r="AR69" s="15" t="s">
        <v>110</v>
      </c>
      <c r="AS69" s="15" t="s">
        <v>110</v>
      </c>
      <c r="AT69" s="15" t="s">
        <v>110</v>
      </c>
      <c r="AV69" s="15" t="s">
        <v>110</v>
      </c>
      <c r="AW69" s="15" t="s">
        <v>110</v>
      </c>
      <c r="AZ69" s="15" t="s">
        <v>110</v>
      </c>
      <c r="BA69" s="15" t="s">
        <v>110</v>
      </c>
      <c r="BB69" s="15" t="s">
        <v>110</v>
      </c>
      <c r="BC69" s="15" t="s">
        <v>110</v>
      </c>
      <c r="BD69" s="15" t="s">
        <v>110</v>
      </c>
      <c r="BE69" s="15" t="s">
        <v>110</v>
      </c>
      <c r="BF69" s="15" t="s">
        <v>110</v>
      </c>
      <c r="BH69" s="15" t="s">
        <v>110</v>
      </c>
      <c r="BO69" s="15" t="s">
        <v>41</v>
      </c>
      <c r="BR69" s="15" t="s">
        <v>41</v>
      </c>
    </row>
    <row r="70" spans="5:73">
      <c r="G70" s="1" t="s">
        <v>111</v>
      </c>
      <c r="J70" s="1" t="s">
        <v>111</v>
      </c>
      <c r="K70" s="1" t="s">
        <v>111</v>
      </c>
      <c r="L70" s="1" t="s">
        <v>111</v>
      </c>
      <c r="M70" s="1" t="s">
        <v>111</v>
      </c>
      <c r="N70" s="1" t="s">
        <v>111</v>
      </c>
      <c r="O70" s="1" t="s">
        <v>111</v>
      </c>
      <c r="P70" s="1" t="s">
        <v>111</v>
      </c>
      <c r="R70" s="1" t="s">
        <v>111</v>
      </c>
      <c r="U70" s="1" t="s">
        <v>214</v>
      </c>
      <c r="AA70" s="1" t="s">
        <v>214</v>
      </c>
      <c r="AK70" s="15" t="s">
        <v>111</v>
      </c>
      <c r="AN70" s="15" t="s">
        <v>111</v>
      </c>
      <c r="AO70" s="15" t="s">
        <v>111</v>
      </c>
      <c r="AP70" s="15" t="s">
        <v>111</v>
      </c>
      <c r="AQ70" s="15" t="s">
        <v>111</v>
      </c>
      <c r="AR70" s="15" t="s">
        <v>111</v>
      </c>
      <c r="AS70" s="15" t="s">
        <v>111</v>
      </c>
      <c r="AT70" s="15" t="s">
        <v>111</v>
      </c>
      <c r="AV70" s="15" t="s">
        <v>111</v>
      </c>
      <c r="AW70" s="15" t="s">
        <v>111</v>
      </c>
      <c r="AZ70" s="15" t="s">
        <v>111</v>
      </c>
      <c r="BA70" s="15" t="s">
        <v>111</v>
      </c>
      <c r="BB70" s="15" t="s">
        <v>111</v>
      </c>
      <c r="BC70" s="15" t="s">
        <v>111</v>
      </c>
      <c r="BD70" s="15" t="s">
        <v>111</v>
      </c>
      <c r="BE70" s="15" t="s">
        <v>111</v>
      </c>
      <c r="BF70" s="15" t="s">
        <v>111</v>
      </c>
      <c r="BH70" s="15" t="s">
        <v>111</v>
      </c>
      <c r="BO70" s="15" t="s">
        <v>214</v>
      </c>
      <c r="BR70" s="15" t="s">
        <v>214</v>
      </c>
    </row>
    <row r="71" spans="5:73">
      <c r="G71" s="1" t="s">
        <v>112</v>
      </c>
      <c r="J71" s="1" t="s">
        <v>112</v>
      </c>
      <c r="K71" s="1" t="s">
        <v>112</v>
      </c>
      <c r="L71" s="1" t="s">
        <v>112</v>
      </c>
      <c r="M71" s="1" t="s">
        <v>112</v>
      </c>
      <c r="N71" s="1" t="s">
        <v>112</v>
      </c>
      <c r="O71" s="1" t="s">
        <v>112</v>
      </c>
      <c r="P71" s="1" t="s">
        <v>112</v>
      </c>
      <c r="R71" s="1" t="s">
        <v>112</v>
      </c>
      <c r="U71" s="1" t="s">
        <v>215</v>
      </c>
      <c r="AA71" s="1" t="s">
        <v>215</v>
      </c>
      <c r="AK71" s="15" t="s">
        <v>112</v>
      </c>
      <c r="AN71" s="15" t="s">
        <v>112</v>
      </c>
      <c r="AO71" s="15" t="s">
        <v>112</v>
      </c>
      <c r="AP71" s="15" t="s">
        <v>112</v>
      </c>
      <c r="AQ71" s="15" t="s">
        <v>112</v>
      </c>
      <c r="AR71" s="15" t="s">
        <v>112</v>
      </c>
      <c r="AS71" s="15" t="s">
        <v>112</v>
      </c>
      <c r="AT71" s="15" t="s">
        <v>112</v>
      </c>
      <c r="AV71" s="15" t="s">
        <v>112</v>
      </c>
      <c r="AW71" s="15" t="s">
        <v>112</v>
      </c>
      <c r="AZ71" s="15" t="s">
        <v>112</v>
      </c>
      <c r="BA71" s="15" t="s">
        <v>112</v>
      </c>
      <c r="BB71" s="15" t="s">
        <v>112</v>
      </c>
      <c r="BC71" s="15" t="s">
        <v>112</v>
      </c>
      <c r="BD71" s="15" t="s">
        <v>112</v>
      </c>
      <c r="BE71" s="15" t="s">
        <v>112</v>
      </c>
      <c r="BF71" s="15" t="s">
        <v>112</v>
      </c>
      <c r="BH71" s="15" t="s">
        <v>112</v>
      </c>
      <c r="BO71" s="15" t="s">
        <v>215</v>
      </c>
      <c r="BR71" s="15" t="s">
        <v>215</v>
      </c>
    </row>
    <row r="72" spans="5:73">
      <c r="G72" s="1" t="s">
        <v>69</v>
      </c>
      <c r="J72" s="1" t="s">
        <v>9</v>
      </c>
      <c r="K72" s="1" t="s">
        <v>74</v>
      </c>
      <c r="L72" s="1" t="s">
        <v>10</v>
      </c>
      <c r="M72" s="1" t="s">
        <v>75</v>
      </c>
      <c r="N72" s="1" t="s">
        <v>56</v>
      </c>
      <c r="O72" s="1" t="s">
        <v>58</v>
      </c>
      <c r="P72" s="1" t="s">
        <v>164</v>
      </c>
      <c r="R72" s="1" t="s">
        <v>202</v>
      </c>
      <c r="U72" s="1" t="s">
        <v>46</v>
      </c>
      <c r="AA72" s="1" t="s">
        <v>46</v>
      </c>
      <c r="AK72" s="15" t="s">
        <v>69</v>
      </c>
      <c r="AN72" s="15" t="s">
        <v>9</v>
      </c>
      <c r="AO72" s="15" t="s">
        <v>74</v>
      </c>
      <c r="AP72" s="15" t="s">
        <v>10</v>
      </c>
      <c r="AQ72" s="15" t="s">
        <v>75</v>
      </c>
      <c r="AR72" s="15" t="s">
        <v>56</v>
      </c>
      <c r="AS72" s="15" t="s">
        <v>58</v>
      </c>
      <c r="AT72" s="15" t="s">
        <v>164</v>
      </c>
      <c r="AV72" s="15" t="s">
        <v>202</v>
      </c>
      <c r="AW72" s="15" t="s">
        <v>69</v>
      </c>
      <c r="AZ72" s="15" t="s">
        <v>9</v>
      </c>
      <c r="BA72" s="15" t="s">
        <v>74</v>
      </c>
      <c r="BB72" s="15" t="s">
        <v>10</v>
      </c>
      <c r="BC72" s="15" t="s">
        <v>75</v>
      </c>
      <c r="BD72" s="15" t="s">
        <v>56</v>
      </c>
      <c r="BE72" s="15" t="s">
        <v>58</v>
      </c>
      <c r="BF72" s="15" t="s">
        <v>164</v>
      </c>
      <c r="BH72" s="15" t="s">
        <v>202</v>
      </c>
      <c r="BO72" s="15" t="s">
        <v>46</v>
      </c>
      <c r="BR72" s="15" t="s">
        <v>46</v>
      </c>
    </row>
    <row r="73" spans="5:73">
      <c r="U73" s="1" t="s">
        <v>216</v>
      </c>
      <c r="AA73" s="1" t="s">
        <v>216</v>
      </c>
      <c r="BO73" s="15" t="s">
        <v>216</v>
      </c>
      <c r="BR73" s="15" t="s">
        <v>216</v>
      </c>
    </row>
    <row r="74" spans="5:73">
      <c r="U74" s="1" t="s">
        <v>217</v>
      </c>
      <c r="AA74" s="1" t="s">
        <v>217</v>
      </c>
      <c r="BO74" s="15" t="s">
        <v>217</v>
      </c>
      <c r="BR74" s="15" t="s">
        <v>217</v>
      </c>
    </row>
    <row r="75" spans="5:73">
      <c r="U75" s="1" t="s">
        <v>218</v>
      </c>
      <c r="AA75" s="1" t="s">
        <v>218</v>
      </c>
      <c r="BO75" s="15" t="s">
        <v>218</v>
      </c>
      <c r="BR75" s="15" t="s">
        <v>218</v>
      </c>
    </row>
  </sheetData>
  <phoneticPr fontId="0" type="noConversion"/>
  <hyperlinks>
    <hyperlink ref="U75" r:id="rId1" display="www.nces.ed.gov" xr:uid="{00000000-0004-0000-0400-000000000000}"/>
    <hyperlink ref="AA75" r:id="rId2" display="www.nces.ed.gov" xr:uid="{00000000-0004-0000-0400-000001000000}"/>
    <hyperlink ref="BO75" r:id="rId3" display="www.nces.ed.gov" xr:uid="{00000000-0004-0000-0400-000002000000}"/>
    <hyperlink ref="BR75" r:id="rId4" display="www.nces.ed.gov" xr:uid="{00000000-0004-0000-0400-000003000000}"/>
  </hyperlinks>
  <pageMargins left="0.75" right="0.75" top="1" bottom="1" header="0.5" footer="0.5"/>
  <pageSetup orientation="landscape" r:id="rId5"/>
  <headerFooter alignWithMargins="0"/>
  <legacyDrawing r:id="rId6"/>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62"/>
  </sheetPr>
  <dimension ref="A1:AF86"/>
  <sheetViews>
    <sheetView zoomScale="80" zoomScaleNormal="80" workbookViewId="0">
      <pane xSplit="1" ySplit="3" topLeftCell="C4" activePane="bottomRight" state="frozen"/>
      <selection sqref="A1:IV65536"/>
      <selection pane="topRight" sqref="A1:IV65536"/>
      <selection pane="bottomLeft" sqref="A1:IV65536"/>
      <selection pane="bottomRight" activeCell="C2" sqref="C2"/>
    </sheetView>
  </sheetViews>
  <sheetFormatPr defaultRowHeight="12.75"/>
  <cols>
    <col min="1" max="1" width="21.5703125" style="1" customWidth="1"/>
    <col min="2" max="20" width="10.140625" style="1" customWidth="1"/>
    <col min="21" max="21" width="10.140625" style="39" customWidth="1"/>
    <col min="22" max="25" width="10.140625" style="1" customWidth="1"/>
    <col min="26" max="26" width="9.85546875" style="1" bestFit="1" customWidth="1"/>
    <col min="27" max="30" width="10" style="1" customWidth="1"/>
    <col min="31" max="32" width="9.85546875" style="1" customWidth="1"/>
    <col min="33" max="16384" width="9.140625" style="1"/>
  </cols>
  <sheetData>
    <row r="1" spans="1:32">
      <c r="A1" s="6" t="s">
        <v>157</v>
      </c>
    </row>
    <row r="2" spans="1:32">
      <c r="A2" s="5"/>
      <c r="B2" s="6" t="s">
        <v>156</v>
      </c>
      <c r="D2" s="4"/>
      <c r="E2" s="4"/>
      <c r="F2" s="4"/>
      <c r="G2" s="4"/>
      <c r="H2" s="4"/>
      <c r="I2" s="4"/>
      <c r="J2" s="4"/>
      <c r="K2" s="4"/>
      <c r="L2" s="4"/>
      <c r="M2" s="4"/>
      <c r="N2" s="18"/>
      <c r="O2" s="4"/>
      <c r="P2" s="4"/>
    </row>
    <row r="3" spans="1:32" s="6" customFormat="1">
      <c r="B3" s="71" t="s">
        <v>5</v>
      </c>
      <c r="C3" s="71" t="s">
        <v>6</v>
      </c>
      <c r="D3" s="71" t="s">
        <v>7</v>
      </c>
      <c r="E3" s="71" t="s">
        <v>65</v>
      </c>
      <c r="F3" s="71" t="s">
        <v>67</v>
      </c>
      <c r="G3" s="71" t="s">
        <v>69</v>
      </c>
      <c r="H3" s="71" t="s">
        <v>71</v>
      </c>
      <c r="I3" s="71" t="s">
        <v>72</v>
      </c>
      <c r="J3" s="71" t="s">
        <v>9</v>
      </c>
      <c r="K3" s="71" t="s">
        <v>74</v>
      </c>
      <c r="L3" s="71" t="s">
        <v>10</v>
      </c>
      <c r="M3" s="71" t="s">
        <v>75</v>
      </c>
      <c r="N3" s="71" t="s">
        <v>56</v>
      </c>
      <c r="O3" s="71" t="s">
        <v>58</v>
      </c>
      <c r="P3" s="71" t="s">
        <v>164</v>
      </c>
      <c r="Q3" s="71" t="s">
        <v>202</v>
      </c>
      <c r="R3" s="71" t="s">
        <v>210</v>
      </c>
      <c r="S3" s="71" t="s">
        <v>221</v>
      </c>
      <c r="T3" s="71" t="s">
        <v>222</v>
      </c>
      <c r="U3" s="63" t="s">
        <v>227</v>
      </c>
      <c r="V3" s="71" t="s">
        <v>236</v>
      </c>
      <c r="W3" s="71" t="s">
        <v>240</v>
      </c>
      <c r="X3" s="84" t="s">
        <v>242</v>
      </c>
      <c r="Y3" s="84" t="s">
        <v>258</v>
      </c>
      <c r="Z3" s="63" t="s">
        <v>259</v>
      </c>
      <c r="AA3" s="63" t="s">
        <v>262</v>
      </c>
      <c r="AB3" s="63" t="s">
        <v>263</v>
      </c>
      <c r="AC3" s="63" t="s">
        <v>265</v>
      </c>
      <c r="AD3" s="63" t="s">
        <v>266</v>
      </c>
      <c r="AE3" s="198" t="s">
        <v>269</v>
      </c>
      <c r="AF3" s="198" t="s">
        <v>270</v>
      </c>
    </row>
    <row r="4" spans="1:32">
      <c r="A4" s="52" t="s">
        <v>243</v>
      </c>
      <c r="B4" s="53">
        <v>928228</v>
      </c>
      <c r="C4" s="53">
        <v>931340</v>
      </c>
      <c r="D4" s="53">
        <v>946877</v>
      </c>
      <c r="E4" s="53">
        <v>969510</v>
      </c>
      <c r="F4" s="53">
        <v>990740</v>
      </c>
      <c r="G4" s="53">
        <f>G5+G23+G38+G52+G63</f>
        <v>932962</v>
      </c>
      <c r="H4" s="53">
        <f>665939+340582</f>
        <v>1006521</v>
      </c>
      <c r="I4" s="53">
        <f>681374+347269</f>
        <v>1028643</v>
      </c>
      <c r="J4" s="53">
        <f t="shared" ref="J4:X4" si="0">J5+J23+J38+J52+J63</f>
        <v>1081229</v>
      </c>
      <c r="K4" s="53">
        <f t="shared" si="0"/>
        <v>1105201</v>
      </c>
      <c r="L4" s="53">
        <f t="shared" si="0"/>
        <v>1106651</v>
      </c>
      <c r="M4" s="53">
        <f t="shared" si="0"/>
        <v>1093042</v>
      </c>
      <c r="N4" s="53">
        <f t="shared" si="0"/>
        <v>1096539</v>
      </c>
      <c r="O4" s="53">
        <f t="shared" si="0"/>
        <v>1102648</v>
      </c>
      <c r="P4" s="53">
        <f t="shared" si="0"/>
        <v>1111257</v>
      </c>
      <c r="Q4" s="53">
        <f t="shared" si="0"/>
        <v>1153388</v>
      </c>
      <c r="R4" s="53">
        <f t="shared" si="0"/>
        <v>1234237</v>
      </c>
      <c r="S4" s="53">
        <f t="shared" si="0"/>
        <v>1272831</v>
      </c>
      <c r="T4" s="53">
        <f t="shared" si="0"/>
        <v>1303545</v>
      </c>
      <c r="U4" s="53">
        <f t="shared" si="0"/>
        <v>1335055</v>
      </c>
      <c r="V4" s="53">
        <f t="shared" si="0"/>
        <v>1383996</v>
      </c>
      <c r="W4" s="53">
        <f t="shared" si="0"/>
        <v>1418215</v>
      </c>
      <c r="X4" s="53">
        <f t="shared" si="0"/>
        <v>1450188</v>
      </c>
      <c r="Y4" s="53">
        <f t="shared" ref="Y4:Z4" si="1">Y5+Y23+Y38+Y52+Y63</f>
        <v>1485239</v>
      </c>
      <c r="Z4" s="53">
        <f t="shared" si="1"/>
        <v>1514154</v>
      </c>
      <c r="AA4" s="53">
        <f t="shared" ref="AA4:AB4" si="2">AA5+AA23+AA38+AA52+AA63</f>
        <v>1596038</v>
      </c>
      <c r="AB4" s="53">
        <f t="shared" si="2"/>
        <v>1643785</v>
      </c>
      <c r="AC4" s="53">
        <f t="shared" ref="AC4:AF4" si="3">AC5+AC23+AC38+AC52+AC63</f>
        <v>0</v>
      </c>
      <c r="AD4" s="53">
        <f t="shared" si="3"/>
        <v>1692346</v>
      </c>
      <c r="AE4" s="53">
        <f t="shared" si="3"/>
        <v>1719746</v>
      </c>
      <c r="AF4" s="53">
        <f t="shared" si="3"/>
        <v>1749168</v>
      </c>
    </row>
    <row r="5" spans="1:32">
      <c r="A5" s="54" t="s">
        <v>11</v>
      </c>
      <c r="B5" s="55">
        <f t="shared" ref="B5:I5" si="4">SUM(B7:B22)</f>
        <v>250328</v>
      </c>
      <c r="C5" s="55">
        <f t="shared" si="4"/>
        <v>253794</v>
      </c>
      <c r="D5" s="55">
        <f t="shared" si="4"/>
        <v>258493</v>
      </c>
      <c r="E5" s="55">
        <f t="shared" si="4"/>
        <v>276437</v>
      </c>
      <c r="F5" s="55">
        <f t="shared" si="4"/>
        <v>284396</v>
      </c>
      <c r="G5" s="55">
        <f t="shared" si="4"/>
        <v>279086</v>
      </c>
      <c r="H5" s="55">
        <f t="shared" si="4"/>
        <v>295716</v>
      </c>
      <c r="I5" s="55">
        <f t="shared" si="4"/>
        <v>305160</v>
      </c>
      <c r="J5" s="55">
        <f t="shared" ref="J5:X5" si="5">SUM(J7:J22)</f>
        <v>330999</v>
      </c>
      <c r="K5" s="55">
        <f t="shared" si="5"/>
        <v>345726</v>
      </c>
      <c r="L5" s="55">
        <f t="shared" si="5"/>
        <v>351474</v>
      </c>
      <c r="M5" s="55">
        <f t="shared" si="5"/>
        <v>349465</v>
      </c>
      <c r="N5" s="55">
        <f t="shared" si="5"/>
        <v>352605</v>
      </c>
      <c r="O5" s="55">
        <f t="shared" si="5"/>
        <v>356148</v>
      </c>
      <c r="P5" s="55">
        <f t="shared" si="5"/>
        <v>361843</v>
      </c>
      <c r="Q5" s="55">
        <f t="shared" si="5"/>
        <v>377168</v>
      </c>
      <c r="R5" s="55">
        <f t="shared" si="5"/>
        <v>403306</v>
      </c>
      <c r="S5" s="55">
        <f t="shared" si="5"/>
        <v>417825</v>
      </c>
      <c r="T5" s="55">
        <f t="shared" si="5"/>
        <v>429497</v>
      </c>
      <c r="U5" s="55">
        <f t="shared" si="5"/>
        <v>441170</v>
      </c>
      <c r="V5" s="55">
        <f t="shared" si="5"/>
        <v>454769</v>
      </c>
      <c r="W5" s="55">
        <f t="shared" si="5"/>
        <v>467718</v>
      </c>
      <c r="X5" s="55">
        <f t="shared" si="5"/>
        <v>482838</v>
      </c>
      <c r="Y5" s="55">
        <f t="shared" ref="Y5:Z5" si="6">SUM(Y7:Y22)</f>
        <v>496658</v>
      </c>
      <c r="Z5" s="55">
        <f t="shared" si="6"/>
        <v>515158</v>
      </c>
      <c r="AA5" s="55">
        <f t="shared" ref="AA5:AB5" si="7">SUM(AA7:AA22)</f>
        <v>535530</v>
      </c>
      <c r="AB5" s="55">
        <f t="shared" si="7"/>
        <v>553213</v>
      </c>
      <c r="AC5" s="55">
        <f t="shared" ref="AC5:AF5" si="8">SUM(AC7:AC22)</f>
        <v>0</v>
      </c>
      <c r="AD5" s="55">
        <f t="shared" si="8"/>
        <v>572746</v>
      </c>
      <c r="AE5" s="55">
        <f t="shared" si="8"/>
        <v>589253</v>
      </c>
      <c r="AF5" s="55">
        <f t="shared" si="8"/>
        <v>601588</v>
      </c>
    </row>
    <row r="6" spans="1:32">
      <c r="A6" s="56" t="s">
        <v>244</v>
      </c>
      <c r="B6" s="57">
        <f t="shared" ref="B6:I6" si="9">(B5/B4)*100</f>
        <v>26.968374149454661</v>
      </c>
      <c r="C6" s="57">
        <f t="shared" si="9"/>
        <v>27.250413382867695</v>
      </c>
      <c r="D6" s="57">
        <f t="shared" si="9"/>
        <v>27.299533096695772</v>
      </c>
      <c r="E6" s="57">
        <f t="shared" si="9"/>
        <v>28.513063300017532</v>
      </c>
      <c r="F6" s="57">
        <f t="shared" si="9"/>
        <v>28.705412116195976</v>
      </c>
      <c r="G6" s="57">
        <f t="shared" si="9"/>
        <v>29.913972916367442</v>
      </c>
      <c r="H6" s="57">
        <f t="shared" si="9"/>
        <v>29.380012935646647</v>
      </c>
      <c r="I6" s="57">
        <f t="shared" si="9"/>
        <v>29.666269055444893</v>
      </c>
      <c r="J6" s="57">
        <f t="shared" ref="J6:X6" si="10">(J5/J4)*100</f>
        <v>30.613218846331353</v>
      </c>
      <c r="K6" s="57">
        <f t="shared" si="10"/>
        <v>31.281730653519134</v>
      </c>
      <c r="L6" s="57">
        <f t="shared" si="10"/>
        <v>31.760148411739564</v>
      </c>
      <c r="M6" s="57">
        <f t="shared" si="10"/>
        <v>31.971781505193764</v>
      </c>
      <c r="N6" s="57">
        <f t="shared" si="10"/>
        <v>32.156175019766735</v>
      </c>
      <c r="O6" s="57">
        <f t="shared" si="10"/>
        <v>32.299337594590476</v>
      </c>
      <c r="P6" s="57">
        <f t="shared" si="10"/>
        <v>32.561594662620799</v>
      </c>
      <c r="Q6" s="57">
        <f t="shared" si="10"/>
        <v>32.70087776186331</v>
      </c>
      <c r="R6" s="57">
        <f t="shared" si="10"/>
        <v>32.676544294167165</v>
      </c>
      <c r="S6" s="57">
        <f t="shared" si="10"/>
        <v>32.826431788666369</v>
      </c>
      <c r="T6" s="57">
        <f t="shared" si="10"/>
        <v>32.948383063108679</v>
      </c>
      <c r="U6" s="57">
        <f t="shared" si="10"/>
        <v>33.045080539753044</v>
      </c>
      <c r="V6" s="57">
        <f t="shared" si="10"/>
        <v>32.859126760481963</v>
      </c>
      <c r="W6" s="57">
        <f t="shared" si="10"/>
        <v>32.979343752533993</v>
      </c>
      <c r="X6" s="57">
        <f t="shared" si="10"/>
        <v>33.29485556355452</v>
      </c>
      <c r="Y6" s="57">
        <f t="shared" ref="Y6:Z6" si="11">(Y5/Y4)*100</f>
        <v>33.439601303224599</v>
      </c>
      <c r="Z6" s="57">
        <f t="shared" si="11"/>
        <v>34.022827268560526</v>
      </c>
      <c r="AA6" s="57">
        <f t="shared" ref="AA6:AB6" si="12">(AA5/AA4)*100</f>
        <v>33.553712380281674</v>
      </c>
      <c r="AB6" s="57">
        <f t="shared" si="12"/>
        <v>33.654827121551783</v>
      </c>
      <c r="AC6" s="57" t="e">
        <f t="shared" ref="AC6:AF6" si="13">(AC5/AC4)*100</f>
        <v>#DIV/0!</v>
      </c>
      <c r="AD6" s="57">
        <f t="shared" si="13"/>
        <v>33.843315728580322</v>
      </c>
      <c r="AE6" s="57">
        <f t="shared" si="13"/>
        <v>34.263955258509107</v>
      </c>
      <c r="AF6" s="57">
        <f t="shared" si="13"/>
        <v>34.392808466653861</v>
      </c>
    </row>
    <row r="7" spans="1:32">
      <c r="A7" s="54" t="s">
        <v>12</v>
      </c>
      <c r="B7" s="82">
        <v>15280</v>
      </c>
      <c r="C7" s="82">
        <v>16345</v>
      </c>
      <c r="D7" s="82">
        <v>16534</v>
      </c>
      <c r="E7" s="82">
        <v>16217</v>
      </c>
      <c r="F7" s="82">
        <v>16334</v>
      </c>
      <c r="G7" s="82">
        <v>15646</v>
      </c>
      <c r="H7" s="82">
        <f>14240+2268</f>
        <v>16508</v>
      </c>
      <c r="I7" s="82">
        <f>14747+2239</f>
        <v>16986</v>
      </c>
      <c r="J7" s="82">
        <v>19204</v>
      </c>
      <c r="K7" s="82">
        <v>20128</v>
      </c>
      <c r="L7" s="82">
        <v>20734</v>
      </c>
      <c r="M7" s="82">
        <v>19447</v>
      </c>
      <c r="N7" s="82">
        <v>19544</v>
      </c>
      <c r="O7" s="82">
        <v>20082</v>
      </c>
      <c r="P7" s="82">
        <v>19769</v>
      </c>
      <c r="Q7" s="82">
        <v>20765</v>
      </c>
      <c r="R7" s="82">
        <v>19801</v>
      </c>
      <c r="S7" s="82">
        <v>20621</v>
      </c>
      <c r="T7" s="82">
        <v>20805</v>
      </c>
      <c r="U7" s="82">
        <v>21105</v>
      </c>
      <c r="V7" s="82">
        <v>21023</v>
      </c>
      <c r="W7" s="82">
        <v>22181</v>
      </c>
      <c r="X7" s="82">
        <v>22794</v>
      </c>
      <c r="Y7" s="82">
        <v>24262</v>
      </c>
      <c r="Z7" s="1">
        <v>24387</v>
      </c>
      <c r="AA7" s="1">
        <v>25951</v>
      </c>
      <c r="AB7" s="1">
        <v>27863</v>
      </c>
      <c r="AD7" s="1">
        <v>25008</v>
      </c>
      <c r="AE7" s="7">
        <v>25770</v>
      </c>
      <c r="AF7" s="7">
        <v>26912</v>
      </c>
    </row>
    <row r="8" spans="1:32">
      <c r="A8" s="54" t="s">
        <v>13</v>
      </c>
      <c r="B8" s="82">
        <v>6581</v>
      </c>
      <c r="C8" s="82">
        <v>6708</v>
      </c>
      <c r="D8" s="82">
        <v>6955</v>
      </c>
      <c r="E8" s="82">
        <v>7282</v>
      </c>
      <c r="F8" s="82">
        <v>7153</v>
      </c>
      <c r="G8" s="82">
        <v>6789</v>
      </c>
      <c r="H8" s="82">
        <f>5808+1493</f>
        <v>7301</v>
      </c>
      <c r="I8" s="82">
        <f>5999+1466</f>
        <v>7465</v>
      </c>
      <c r="J8" s="82">
        <v>7916</v>
      </c>
      <c r="K8" s="82">
        <v>8138</v>
      </c>
      <c r="L8" s="82">
        <v>8280</v>
      </c>
      <c r="M8" s="82">
        <v>8199</v>
      </c>
      <c r="N8" s="82">
        <v>8677</v>
      </c>
      <c r="O8" s="82">
        <v>8804</v>
      </c>
      <c r="P8" s="82">
        <v>8850</v>
      </c>
      <c r="Q8" s="82">
        <v>9034</v>
      </c>
      <c r="R8" s="82">
        <v>10117</v>
      </c>
      <c r="S8" s="82">
        <v>10326</v>
      </c>
      <c r="T8" s="82">
        <v>10736</v>
      </c>
      <c r="U8" s="82">
        <v>10827</v>
      </c>
      <c r="V8" s="82">
        <v>11065</v>
      </c>
      <c r="W8" s="82">
        <v>11081</v>
      </c>
      <c r="X8" s="82">
        <v>11549</v>
      </c>
      <c r="Y8" s="82">
        <v>11853</v>
      </c>
      <c r="Z8" s="1">
        <v>12581</v>
      </c>
      <c r="AA8" s="1">
        <v>13394</v>
      </c>
      <c r="AB8" s="1">
        <v>13561</v>
      </c>
      <c r="AD8" s="1">
        <v>15157</v>
      </c>
      <c r="AE8" s="7">
        <v>15264</v>
      </c>
      <c r="AF8" s="7">
        <v>15395</v>
      </c>
    </row>
    <row r="9" spans="1:32">
      <c r="A9" s="54" t="s">
        <v>55</v>
      </c>
      <c r="B9" s="82"/>
      <c r="C9" s="82"/>
      <c r="D9" s="82"/>
      <c r="E9" s="82"/>
      <c r="F9" s="82">
        <v>3137</v>
      </c>
      <c r="G9" s="82">
        <v>3221</v>
      </c>
      <c r="H9" s="82">
        <v>3341</v>
      </c>
      <c r="I9" s="82">
        <v>3462</v>
      </c>
      <c r="J9" s="82">
        <v>4084</v>
      </c>
      <c r="K9" s="82">
        <v>4083</v>
      </c>
      <c r="L9" s="82">
        <v>4124</v>
      </c>
      <c r="M9" s="82">
        <v>4388</v>
      </c>
      <c r="N9" s="82">
        <v>4287</v>
      </c>
      <c r="O9" s="82">
        <v>4218</v>
      </c>
      <c r="P9" s="82">
        <v>4292</v>
      </c>
      <c r="Q9" s="82">
        <v>4507</v>
      </c>
      <c r="R9" s="82">
        <v>4928</v>
      </c>
      <c r="S9" s="82">
        <v>4776</v>
      </c>
      <c r="T9" s="82">
        <v>4875</v>
      </c>
      <c r="U9" s="82">
        <v>4996</v>
      </c>
      <c r="V9" s="82">
        <v>4713</v>
      </c>
      <c r="W9" s="82">
        <v>4966</v>
      </c>
      <c r="X9" s="82">
        <v>5112</v>
      </c>
      <c r="Y9" s="82">
        <v>4941</v>
      </c>
      <c r="Z9" s="1">
        <v>5107</v>
      </c>
      <c r="AA9" s="1">
        <v>5316</v>
      </c>
      <c r="AB9" s="1">
        <v>5478</v>
      </c>
      <c r="AD9" s="1">
        <v>6210</v>
      </c>
      <c r="AE9" s="7">
        <v>6376</v>
      </c>
      <c r="AF9" s="7">
        <v>6300</v>
      </c>
    </row>
    <row r="10" spans="1:32">
      <c r="A10" s="54" t="s">
        <v>14</v>
      </c>
      <c r="B10" s="82">
        <v>28300</v>
      </c>
      <c r="C10" s="82">
        <v>28523</v>
      </c>
      <c r="D10" s="82">
        <v>29988</v>
      </c>
      <c r="E10" s="82">
        <v>31184</v>
      </c>
      <c r="F10" s="82">
        <v>31289</v>
      </c>
      <c r="G10" s="82">
        <v>29874</v>
      </c>
      <c r="H10" s="82">
        <f>23268+10747</f>
        <v>34015</v>
      </c>
      <c r="I10" s="82">
        <f>24148+11054</f>
        <v>35202</v>
      </c>
      <c r="J10" s="82">
        <v>39490</v>
      </c>
      <c r="K10" s="82">
        <v>41478</v>
      </c>
      <c r="L10" s="82">
        <v>42284</v>
      </c>
      <c r="M10" s="82">
        <v>43028</v>
      </c>
      <c r="N10" s="82">
        <v>44170</v>
      </c>
      <c r="O10" s="82">
        <v>45342</v>
      </c>
      <c r="P10" s="82">
        <v>46086</v>
      </c>
      <c r="Q10" s="82">
        <v>48268</v>
      </c>
      <c r="R10" s="82">
        <v>54727</v>
      </c>
      <c r="S10" s="82">
        <v>58666</v>
      </c>
      <c r="T10" s="82">
        <v>60342</v>
      </c>
      <c r="U10" s="82">
        <v>64524</v>
      </c>
      <c r="V10" s="82">
        <v>68355</v>
      </c>
      <c r="W10" s="82">
        <v>71546</v>
      </c>
      <c r="X10" s="82">
        <v>74083</v>
      </c>
      <c r="Y10" s="82">
        <v>76820</v>
      </c>
      <c r="Z10" s="1">
        <v>79602</v>
      </c>
      <c r="AA10" s="1">
        <v>83871</v>
      </c>
      <c r="AB10" s="1">
        <v>86926</v>
      </c>
      <c r="AD10" s="1">
        <v>88837</v>
      </c>
      <c r="AE10" s="7">
        <v>94266</v>
      </c>
      <c r="AF10" s="7">
        <v>96046</v>
      </c>
    </row>
    <row r="11" spans="1:32">
      <c r="A11" s="54" t="s">
        <v>15</v>
      </c>
      <c r="B11" s="82">
        <v>16377</v>
      </c>
      <c r="C11" s="82">
        <v>16135</v>
      </c>
      <c r="D11" s="82">
        <v>17014</v>
      </c>
      <c r="E11" s="82">
        <v>17920</v>
      </c>
      <c r="F11" s="82">
        <v>18401</v>
      </c>
      <c r="G11" s="82">
        <v>18670</v>
      </c>
      <c r="H11" s="82">
        <f>14744+5129</f>
        <v>19873</v>
      </c>
      <c r="I11" s="82">
        <f>15490+5898</f>
        <v>21388</v>
      </c>
      <c r="J11" s="82">
        <v>23155</v>
      </c>
      <c r="K11" s="82">
        <v>24748</v>
      </c>
      <c r="L11" s="82">
        <v>25679</v>
      </c>
      <c r="M11" s="82">
        <v>25611</v>
      </c>
      <c r="N11" s="82">
        <v>26639</v>
      </c>
      <c r="O11" s="82">
        <v>26668</v>
      </c>
      <c r="P11" s="82">
        <v>28491</v>
      </c>
      <c r="Q11" s="82">
        <v>28192</v>
      </c>
      <c r="R11" s="82">
        <v>30345</v>
      </c>
      <c r="S11" s="82">
        <v>33183</v>
      </c>
      <c r="T11" s="82">
        <v>33467</v>
      </c>
      <c r="U11" s="82">
        <v>34280</v>
      </c>
      <c r="V11" s="82">
        <v>34955</v>
      </c>
      <c r="W11" s="82">
        <v>36235</v>
      </c>
      <c r="X11" s="82">
        <v>37399</v>
      </c>
      <c r="Y11" s="82">
        <v>39222</v>
      </c>
      <c r="Z11" s="1">
        <v>41019</v>
      </c>
      <c r="AA11" s="1">
        <v>41868</v>
      </c>
      <c r="AB11" s="1">
        <v>43424</v>
      </c>
      <c r="AD11" s="1">
        <v>45844</v>
      </c>
      <c r="AE11" s="7">
        <v>46614</v>
      </c>
      <c r="AF11" s="7">
        <v>47999</v>
      </c>
    </row>
    <row r="12" spans="1:32">
      <c r="A12" s="54" t="s">
        <v>16</v>
      </c>
      <c r="B12" s="82">
        <v>11337</v>
      </c>
      <c r="C12" s="82">
        <v>11220</v>
      </c>
      <c r="D12" s="82">
        <v>11509</v>
      </c>
      <c r="E12" s="82">
        <v>11591</v>
      </c>
      <c r="F12" s="82">
        <v>11572</v>
      </c>
      <c r="G12" s="82">
        <v>11584</v>
      </c>
      <c r="H12" s="82">
        <f>9758+2579</f>
        <v>12337</v>
      </c>
      <c r="I12" s="82">
        <f>9510+2560</f>
        <v>12070</v>
      </c>
      <c r="J12" s="82">
        <v>13665</v>
      </c>
      <c r="K12" s="82">
        <v>14161</v>
      </c>
      <c r="L12" s="82">
        <v>14327</v>
      </c>
      <c r="M12" s="82">
        <v>14217</v>
      </c>
      <c r="N12" s="82">
        <v>14301</v>
      </c>
      <c r="O12" s="82">
        <v>14283</v>
      </c>
      <c r="P12" s="82">
        <v>14573</v>
      </c>
      <c r="Q12" s="82">
        <v>15241</v>
      </c>
      <c r="R12" s="82">
        <v>15818</v>
      </c>
      <c r="S12" s="82">
        <v>16780</v>
      </c>
      <c r="T12" s="82">
        <v>17359</v>
      </c>
      <c r="U12" s="82">
        <v>18055</v>
      </c>
      <c r="V12" s="82">
        <v>18358</v>
      </c>
      <c r="W12" s="82">
        <v>18888</v>
      </c>
      <c r="X12" s="82">
        <v>19215</v>
      </c>
      <c r="Y12" s="82">
        <v>19449</v>
      </c>
      <c r="Z12" s="1">
        <v>20253</v>
      </c>
      <c r="AA12" s="1">
        <v>20563</v>
      </c>
      <c r="AB12" s="1">
        <v>20835</v>
      </c>
      <c r="AD12" s="1">
        <v>21396</v>
      </c>
      <c r="AE12" s="7">
        <v>21961</v>
      </c>
      <c r="AF12" s="7">
        <v>22413</v>
      </c>
    </row>
    <row r="13" spans="1:32">
      <c r="A13" s="54" t="s">
        <v>17</v>
      </c>
      <c r="B13" s="82">
        <v>15370</v>
      </c>
      <c r="C13" s="82">
        <v>14765</v>
      </c>
      <c r="D13" s="82">
        <v>14821</v>
      </c>
      <c r="E13" s="82">
        <v>15533</v>
      </c>
      <c r="F13" s="82">
        <v>16070</v>
      </c>
      <c r="G13" s="82">
        <v>15184</v>
      </c>
      <c r="H13" s="82">
        <f>13462+2718</f>
        <v>16180</v>
      </c>
      <c r="I13" s="82">
        <f>13075+2746</f>
        <v>15821</v>
      </c>
      <c r="J13" s="82">
        <v>16342</v>
      </c>
      <c r="K13" s="82">
        <v>17235</v>
      </c>
      <c r="L13" s="82">
        <v>17225</v>
      </c>
      <c r="M13" s="82">
        <v>17265</v>
      </c>
      <c r="N13" s="82">
        <v>17361</v>
      </c>
      <c r="O13" s="82">
        <v>16888</v>
      </c>
      <c r="P13" s="82">
        <v>17997</v>
      </c>
      <c r="Q13" s="82">
        <v>19016</v>
      </c>
      <c r="R13" s="82">
        <v>20146</v>
      </c>
      <c r="S13" s="82">
        <v>20350</v>
      </c>
      <c r="T13" s="82">
        <v>20434</v>
      </c>
      <c r="U13" s="82">
        <v>18736</v>
      </c>
      <c r="V13" s="82">
        <v>20515</v>
      </c>
      <c r="W13" s="82">
        <v>20074</v>
      </c>
      <c r="X13" s="82">
        <v>20281</v>
      </c>
      <c r="Y13" s="82">
        <v>19718</v>
      </c>
      <c r="Z13" s="1">
        <v>20237</v>
      </c>
      <c r="AA13" s="1">
        <v>20487</v>
      </c>
      <c r="AB13" s="1">
        <v>20733</v>
      </c>
      <c r="AD13" s="1">
        <v>21073</v>
      </c>
      <c r="AE13" s="7">
        <v>21114</v>
      </c>
      <c r="AF13" s="7">
        <v>21299</v>
      </c>
    </row>
    <row r="14" spans="1:32">
      <c r="A14" s="54" t="s">
        <v>18</v>
      </c>
      <c r="B14" s="82">
        <v>16386</v>
      </c>
      <c r="C14" s="82">
        <v>16482</v>
      </c>
      <c r="D14" s="82">
        <v>16824</v>
      </c>
      <c r="E14" s="82">
        <v>16097</v>
      </c>
      <c r="F14" s="82">
        <v>15690</v>
      </c>
      <c r="G14" s="82">
        <v>16351</v>
      </c>
      <c r="H14" s="82">
        <f>14394+3534</f>
        <v>17928</v>
      </c>
      <c r="I14" s="82">
        <f>14834+3596</f>
        <v>18430</v>
      </c>
      <c r="J14" s="82">
        <v>19793</v>
      </c>
      <c r="K14" s="82">
        <v>19829</v>
      </c>
      <c r="L14" s="82">
        <v>20021</v>
      </c>
      <c r="M14" s="82">
        <v>19243</v>
      </c>
      <c r="N14" s="82">
        <v>19127</v>
      </c>
      <c r="O14" s="82">
        <v>19585</v>
      </c>
      <c r="P14" s="82">
        <v>19910</v>
      </c>
      <c r="Q14" s="82">
        <v>19937</v>
      </c>
      <c r="R14" s="82">
        <v>21672</v>
      </c>
      <c r="S14" s="82">
        <v>22208</v>
      </c>
      <c r="T14" s="82">
        <v>23028</v>
      </c>
      <c r="U14" s="82">
        <v>23578</v>
      </c>
      <c r="V14" s="82">
        <v>23447</v>
      </c>
      <c r="W14" s="82">
        <v>23325</v>
      </c>
      <c r="X14" s="82">
        <v>24117</v>
      </c>
      <c r="Y14" s="82">
        <v>24900</v>
      </c>
      <c r="Z14" s="1">
        <v>26905</v>
      </c>
      <c r="AA14" s="1">
        <v>28555</v>
      </c>
      <c r="AB14" s="1">
        <v>29508</v>
      </c>
      <c r="AD14" s="1">
        <v>30993</v>
      </c>
      <c r="AE14" s="7">
        <v>31629</v>
      </c>
      <c r="AF14" s="7">
        <v>31855</v>
      </c>
    </row>
    <row r="15" spans="1:32">
      <c r="A15" s="54" t="s">
        <v>19</v>
      </c>
      <c r="B15" s="82">
        <v>9055</v>
      </c>
      <c r="C15" s="82">
        <v>8682</v>
      </c>
      <c r="D15" s="82">
        <v>8982</v>
      </c>
      <c r="E15" s="82">
        <v>9020</v>
      </c>
      <c r="F15" s="82">
        <v>8644</v>
      </c>
      <c r="G15" s="82">
        <v>9065</v>
      </c>
      <c r="H15" s="82">
        <f>7034+1198</f>
        <v>8232</v>
      </c>
      <c r="I15" s="82">
        <f>7365+1350</f>
        <v>8715</v>
      </c>
      <c r="J15" s="82">
        <v>9960</v>
      </c>
      <c r="K15" s="82">
        <v>10466</v>
      </c>
      <c r="L15" s="82">
        <v>10219</v>
      </c>
      <c r="M15" s="82">
        <v>10140</v>
      </c>
      <c r="N15" s="82">
        <v>9843</v>
      </c>
      <c r="O15" s="82">
        <v>10058</v>
      </c>
      <c r="P15" s="82">
        <v>10106</v>
      </c>
      <c r="Q15" s="82">
        <v>10809</v>
      </c>
      <c r="R15" s="82">
        <v>11637</v>
      </c>
      <c r="S15" s="82">
        <v>11507</v>
      </c>
      <c r="T15" s="82">
        <v>11466</v>
      </c>
      <c r="U15" s="82">
        <v>11619</v>
      </c>
      <c r="V15" s="82">
        <v>11832</v>
      </c>
      <c r="W15" s="82">
        <v>11963</v>
      </c>
      <c r="X15" s="82">
        <v>12185</v>
      </c>
      <c r="Y15" s="82">
        <v>12639</v>
      </c>
      <c r="Z15" s="1">
        <v>12841</v>
      </c>
      <c r="AA15" s="1">
        <v>13169</v>
      </c>
      <c r="AB15" s="1">
        <v>13758</v>
      </c>
      <c r="AD15" s="1">
        <v>13968</v>
      </c>
      <c r="AE15" s="7">
        <v>14344</v>
      </c>
      <c r="AF15" s="7">
        <v>14865</v>
      </c>
    </row>
    <row r="16" spans="1:32">
      <c r="A16" s="54" t="s">
        <v>20</v>
      </c>
      <c r="B16" s="82">
        <v>23244</v>
      </c>
      <c r="C16" s="82">
        <v>23640</v>
      </c>
      <c r="D16" s="82">
        <v>23712</v>
      </c>
      <c r="E16" s="82">
        <v>24448</v>
      </c>
      <c r="F16" s="82">
        <v>25008</v>
      </c>
      <c r="G16" s="82">
        <v>24524</v>
      </c>
      <c r="H16" s="82">
        <f>18287+8689</f>
        <v>26976</v>
      </c>
      <c r="I16" s="82">
        <f>18595+8691</f>
        <v>27286</v>
      </c>
      <c r="J16" s="82">
        <v>30543</v>
      </c>
      <c r="K16" s="82">
        <v>31495</v>
      </c>
      <c r="L16" s="82">
        <v>32317</v>
      </c>
      <c r="M16" s="82">
        <v>31850</v>
      </c>
      <c r="N16" s="82">
        <v>32309</v>
      </c>
      <c r="O16" s="82">
        <v>33622</v>
      </c>
      <c r="P16" s="82">
        <v>33562</v>
      </c>
      <c r="Q16" s="82">
        <v>34473</v>
      </c>
      <c r="R16" s="82">
        <v>36226</v>
      </c>
      <c r="S16" s="82">
        <v>37453</v>
      </c>
      <c r="T16" s="82">
        <v>37951</v>
      </c>
      <c r="U16" s="82">
        <v>38462</v>
      </c>
      <c r="V16" s="82">
        <v>39812</v>
      </c>
      <c r="W16" s="82">
        <v>41509</v>
      </c>
      <c r="X16" s="82">
        <v>42740</v>
      </c>
      <c r="Y16" s="82">
        <v>43829</v>
      </c>
      <c r="Z16" s="1">
        <v>45821</v>
      </c>
      <c r="AA16" s="1">
        <v>47692</v>
      </c>
      <c r="AB16" s="1">
        <v>48386</v>
      </c>
      <c r="AD16" s="1">
        <v>49820</v>
      </c>
      <c r="AE16" s="7">
        <v>50256</v>
      </c>
      <c r="AF16" s="7">
        <v>51694</v>
      </c>
    </row>
    <row r="17" spans="1:32">
      <c r="A17" s="54" t="s">
        <v>21</v>
      </c>
      <c r="B17" s="82"/>
      <c r="C17" s="82"/>
      <c r="D17" s="82"/>
      <c r="E17" s="82">
        <v>12404</v>
      </c>
      <c r="F17" s="82">
        <v>13287</v>
      </c>
      <c r="G17" s="82">
        <v>12761</v>
      </c>
      <c r="H17" s="82">
        <f>11376+2239</f>
        <v>13615</v>
      </c>
      <c r="I17" s="82">
        <f>11366+2235</f>
        <v>13601</v>
      </c>
      <c r="J17" s="82">
        <v>13959</v>
      </c>
      <c r="K17" s="82">
        <v>14361</v>
      </c>
      <c r="L17" s="82">
        <v>14913</v>
      </c>
      <c r="M17" s="82">
        <v>14312</v>
      </c>
      <c r="N17" s="82">
        <v>13371</v>
      </c>
      <c r="O17" s="82">
        <v>13897</v>
      </c>
      <c r="P17" s="82">
        <v>14489</v>
      </c>
      <c r="Q17" s="82">
        <v>14429</v>
      </c>
      <c r="R17" s="82">
        <v>15405</v>
      </c>
      <c r="S17" s="82">
        <v>16466</v>
      </c>
      <c r="T17" s="82">
        <v>17181</v>
      </c>
      <c r="U17" s="82">
        <v>17749</v>
      </c>
      <c r="V17" s="82">
        <v>17671</v>
      </c>
      <c r="W17" s="82">
        <v>18055</v>
      </c>
      <c r="X17" s="82">
        <v>18430</v>
      </c>
      <c r="Y17" s="82">
        <v>18257</v>
      </c>
      <c r="Z17" s="1">
        <v>17866</v>
      </c>
      <c r="AA17" s="1">
        <v>18079</v>
      </c>
      <c r="AB17" s="1">
        <v>18215</v>
      </c>
      <c r="AD17" s="1">
        <v>19139</v>
      </c>
      <c r="AE17" s="7">
        <v>19455</v>
      </c>
      <c r="AF17" s="7">
        <v>19483</v>
      </c>
    </row>
    <row r="18" spans="1:32">
      <c r="A18" s="54" t="s">
        <v>22</v>
      </c>
      <c r="B18" s="82">
        <v>11168</v>
      </c>
      <c r="C18" s="82">
        <v>11406</v>
      </c>
      <c r="D18" s="82">
        <v>11358</v>
      </c>
      <c r="E18" s="82">
        <v>12289</v>
      </c>
      <c r="F18" s="82">
        <v>12422</v>
      </c>
      <c r="G18" s="82">
        <v>12367</v>
      </c>
      <c r="H18" s="82">
        <f>9038+3486</f>
        <v>12524</v>
      </c>
      <c r="I18" s="82">
        <f>9481+3721</f>
        <v>13202</v>
      </c>
      <c r="J18" s="82">
        <v>14043</v>
      </c>
      <c r="K18" s="82">
        <v>15043</v>
      </c>
      <c r="L18" s="82">
        <v>14995</v>
      </c>
      <c r="M18" s="82">
        <v>14896</v>
      </c>
      <c r="N18" s="82">
        <v>14811</v>
      </c>
      <c r="O18" s="82">
        <v>14915</v>
      </c>
      <c r="P18" s="82">
        <v>14811</v>
      </c>
      <c r="Q18" s="82">
        <v>15589</v>
      </c>
      <c r="R18" s="82">
        <v>17147</v>
      </c>
      <c r="S18" s="82">
        <v>17122</v>
      </c>
      <c r="T18" s="82">
        <v>17882</v>
      </c>
      <c r="U18" s="82">
        <v>18318</v>
      </c>
      <c r="V18" s="82">
        <v>18231</v>
      </c>
      <c r="W18" s="82">
        <v>18906</v>
      </c>
      <c r="X18" s="82">
        <v>19731</v>
      </c>
      <c r="Y18" s="82">
        <v>20758</v>
      </c>
      <c r="Z18" s="1">
        <v>22085</v>
      </c>
      <c r="AA18" s="1">
        <v>22044</v>
      </c>
      <c r="AB18" s="1">
        <v>23113</v>
      </c>
      <c r="AD18" s="1">
        <v>23824</v>
      </c>
      <c r="AE18" s="7">
        <v>24251</v>
      </c>
      <c r="AF18" s="7">
        <v>24996</v>
      </c>
    </row>
    <row r="19" spans="1:32">
      <c r="A19" s="54" t="s">
        <v>23</v>
      </c>
      <c r="B19" s="82">
        <v>17806</v>
      </c>
      <c r="C19" s="82">
        <v>17599</v>
      </c>
      <c r="D19" s="82">
        <v>17409</v>
      </c>
      <c r="E19" s="82">
        <v>16977</v>
      </c>
      <c r="F19" s="82">
        <v>17029</v>
      </c>
      <c r="G19" s="82">
        <v>16944</v>
      </c>
      <c r="H19" s="82">
        <f>11436+5865</f>
        <v>17301</v>
      </c>
      <c r="I19" s="82">
        <f>11235+5989</f>
        <v>17224</v>
      </c>
      <c r="J19" s="82">
        <v>18690</v>
      </c>
      <c r="K19" s="82">
        <v>19897</v>
      </c>
      <c r="L19" s="82">
        <v>19289</v>
      </c>
      <c r="M19" s="82">
        <v>19979</v>
      </c>
      <c r="N19" s="82">
        <v>20138</v>
      </c>
      <c r="O19" s="82">
        <v>20599</v>
      </c>
      <c r="P19" s="82">
        <v>20935</v>
      </c>
      <c r="Q19" s="82">
        <v>22314</v>
      </c>
      <c r="R19" s="82">
        <v>23631</v>
      </c>
      <c r="S19" s="82">
        <v>24139</v>
      </c>
      <c r="T19" s="82">
        <v>25191</v>
      </c>
      <c r="U19" s="82">
        <v>25387</v>
      </c>
      <c r="V19" s="82">
        <v>26222</v>
      </c>
      <c r="W19" s="82">
        <v>26531</v>
      </c>
      <c r="X19" s="82">
        <v>28033</v>
      </c>
      <c r="Y19" s="82">
        <v>28582</v>
      </c>
      <c r="Z19" s="1">
        <v>29970</v>
      </c>
      <c r="AA19" s="1">
        <v>30819</v>
      </c>
      <c r="AB19" s="1">
        <v>32400</v>
      </c>
      <c r="AD19" s="1">
        <v>32642</v>
      </c>
      <c r="AE19" s="7">
        <v>33687</v>
      </c>
      <c r="AF19" s="7">
        <v>34072</v>
      </c>
    </row>
    <row r="20" spans="1:32">
      <c r="A20" s="54" t="s">
        <v>24</v>
      </c>
      <c r="B20" s="82">
        <v>51699</v>
      </c>
      <c r="C20" s="82">
        <v>53656</v>
      </c>
      <c r="D20" s="82">
        <v>53589</v>
      </c>
      <c r="E20" s="82">
        <v>54895</v>
      </c>
      <c r="F20" s="82">
        <v>56505</v>
      </c>
      <c r="G20" s="82">
        <v>55078</v>
      </c>
      <c r="H20" s="82">
        <f>43976+12594</f>
        <v>56570</v>
      </c>
      <c r="I20" s="82">
        <f>47106+12667</f>
        <v>59773</v>
      </c>
      <c r="J20" s="82">
        <v>62222</v>
      </c>
      <c r="K20" s="82">
        <v>65841</v>
      </c>
      <c r="L20" s="82">
        <v>67536</v>
      </c>
      <c r="M20" s="82">
        <v>67900</v>
      </c>
      <c r="N20" s="82">
        <v>68626</v>
      </c>
      <c r="O20" s="82">
        <v>68895</v>
      </c>
      <c r="P20" s="82">
        <v>69409</v>
      </c>
      <c r="Q20" s="82">
        <v>73374</v>
      </c>
      <c r="R20" s="82">
        <v>79380</v>
      </c>
      <c r="S20" s="82">
        <v>81506</v>
      </c>
      <c r="T20" s="82">
        <v>84611</v>
      </c>
      <c r="U20" s="82">
        <v>87634</v>
      </c>
      <c r="V20" s="82">
        <v>91205</v>
      </c>
      <c r="W20" s="82">
        <v>93964</v>
      </c>
      <c r="X20" s="82">
        <v>97705</v>
      </c>
      <c r="Y20" s="82">
        <v>100002</v>
      </c>
      <c r="Z20" s="1">
        <v>102579</v>
      </c>
      <c r="AA20" s="1">
        <v>106113</v>
      </c>
      <c r="AB20" s="1">
        <v>109519</v>
      </c>
      <c r="AD20" s="1">
        <v>116261</v>
      </c>
      <c r="AE20" s="7">
        <v>120140</v>
      </c>
      <c r="AF20" s="7">
        <v>124787</v>
      </c>
    </row>
    <row r="21" spans="1:32">
      <c r="A21" s="54" t="s">
        <v>25</v>
      </c>
      <c r="B21" s="82">
        <v>20017</v>
      </c>
      <c r="C21" s="82">
        <v>21251</v>
      </c>
      <c r="D21" s="82">
        <v>22078</v>
      </c>
      <c r="E21" s="82">
        <v>23090</v>
      </c>
      <c r="F21" s="82">
        <v>23958</v>
      </c>
      <c r="G21" s="82">
        <v>23671</v>
      </c>
      <c r="H21" s="82">
        <f>19904+6091</f>
        <v>25995</v>
      </c>
      <c r="I21" s="82">
        <f>20801+6318</f>
        <v>27119</v>
      </c>
      <c r="J21" s="82">
        <v>29877</v>
      </c>
      <c r="K21" s="82">
        <v>30366</v>
      </c>
      <c r="L21" s="82">
        <v>30726</v>
      </c>
      <c r="M21" s="82">
        <v>30553</v>
      </c>
      <c r="N21" s="82">
        <v>31015</v>
      </c>
      <c r="O21" s="82">
        <v>30307</v>
      </c>
      <c r="P21" s="82">
        <v>30495</v>
      </c>
      <c r="Q21" s="82">
        <v>32898</v>
      </c>
      <c r="R21" s="82">
        <v>33247</v>
      </c>
      <c r="S21" s="82">
        <v>33977</v>
      </c>
      <c r="T21" s="82">
        <v>35024</v>
      </c>
      <c r="U21" s="82">
        <v>36345</v>
      </c>
      <c r="V21" s="82">
        <v>36981</v>
      </c>
      <c r="W21" s="82">
        <v>37741</v>
      </c>
      <c r="X21" s="82">
        <v>38667</v>
      </c>
      <c r="Y21" s="82">
        <v>39905</v>
      </c>
      <c r="Z21" s="1">
        <v>43913</v>
      </c>
      <c r="AA21" s="1">
        <v>47893</v>
      </c>
      <c r="AB21" s="1">
        <v>49781</v>
      </c>
      <c r="AD21" s="1">
        <v>52391</v>
      </c>
      <c r="AE21" s="7">
        <v>53719</v>
      </c>
      <c r="AF21" s="7">
        <v>53365</v>
      </c>
    </row>
    <row r="22" spans="1:32" s="5" customFormat="1">
      <c r="A22" s="58" t="s">
        <v>26</v>
      </c>
      <c r="B22" s="83">
        <v>7708</v>
      </c>
      <c r="C22" s="83">
        <v>7382</v>
      </c>
      <c r="D22" s="83">
        <v>7720</v>
      </c>
      <c r="E22" s="83">
        <v>7490</v>
      </c>
      <c r="F22" s="83">
        <v>7897</v>
      </c>
      <c r="G22" s="83">
        <v>7357</v>
      </c>
      <c r="H22" s="83">
        <f>5918+1102</f>
        <v>7020</v>
      </c>
      <c r="I22" s="83">
        <f>6317+1099</f>
        <v>7416</v>
      </c>
      <c r="J22" s="83">
        <v>8056</v>
      </c>
      <c r="K22" s="83">
        <v>8457</v>
      </c>
      <c r="L22" s="83">
        <v>8805</v>
      </c>
      <c r="M22" s="83">
        <v>8437</v>
      </c>
      <c r="N22" s="83">
        <v>8386</v>
      </c>
      <c r="O22" s="83">
        <v>7985</v>
      </c>
      <c r="P22" s="83">
        <v>8068</v>
      </c>
      <c r="Q22" s="83">
        <v>8322</v>
      </c>
      <c r="R22" s="83">
        <v>9079</v>
      </c>
      <c r="S22" s="83">
        <v>8745</v>
      </c>
      <c r="T22" s="83">
        <v>9145</v>
      </c>
      <c r="U22" s="83">
        <v>9555</v>
      </c>
      <c r="V22" s="83">
        <v>10384</v>
      </c>
      <c r="W22" s="83">
        <v>10753</v>
      </c>
      <c r="X22" s="83">
        <v>10797</v>
      </c>
      <c r="Y22" s="83">
        <v>11521</v>
      </c>
      <c r="Z22" s="1">
        <v>9992</v>
      </c>
      <c r="AA22" s="5">
        <v>9716</v>
      </c>
      <c r="AB22" s="5">
        <v>9713</v>
      </c>
      <c r="AD22" s="5">
        <v>10183</v>
      </c>
      <c r="AE22" s="7">
        <v>10407</v>
      </c>
      <c r="AF22" s="7">
        <v>10107</v>
      </c>
    </row>
    <row r="23" spans="1:32">
      <c r="A23" s="54" t="s">
        <v>245</v>
      </c>
      <c r="B23" s="55">
        <f t="shared" ref="B23:J23" si="14">SUM(B25:B37)</f>
        <v>0</v>
      </c>
      <c r="C23" s="55">
        <f t="shared" si="14"/>
        <v>0</v>
      </c>
      <c r="D23" s="55">
        <f t="shared" si="14"/>
        <v>0</v>
      </c>
      <c r="E23" s="55">
        <f t="shared" si="14"/>
        <v>0</v>
      </c>
      <c r="F23" s="55">
        <f t="shared" si="14"/>
        <v>0</v>
      </c>
      <c r="G23" s="55">
        <f t="shared" si="14"/>
        <v>162599</v>
      </c>
      <c r="H23" s="55">
        <f t="shared" si="14"/>
        <v>0</v>
      </c>
      <c r="I23" s="55">
        <f t="shared" si="14"/>
        <v>0</v>
      </c>
      <c r="J23" s="55">
        <f t="shared" si="14"/>
        <v>190319</v>
      </c>
      <c r="K23" s="55">
        <f t="shared" ref="K23:X23" si="15">SUM(K25:K37)</f>
        <v>197425</v>
      </c>
      <c r="L23" s="55">
        <f t="shared" si="15"/>
        <v>201512</v>
      </c>
      <c r="M23" s="55">
        <f t="shared" si="15"/>
        <v>200805</v>
      </c>
      <c r="N23" s="55">
        <f t="shared" si="15"/>
        <v>204244</v>
      </c>
      <c r="O23" s="55">
        <f t="shared" si="15"/>
        <v>205604</v>
      </c>
      <c r="P23" s="55">
        <f t="shared" si="15"/>
        <v>209480</v>
      </c>
      <c r="Q23" s="55">
        <f t="shared" si="15"/>
        <v>222878</v>
      </c>
      <c r="R23" s="55">
        <f t="shared" si="15"/>
        <v>238324</v>
      </c>
      <c r="S23" s="55">
        <f t="shared" si="15"/>
        <v>247817</v>
      </c>
      <c r="T23" s="55">
        <f t="shared" si="15"/>
        <v>258343</v>
      </c>
      <c r="U23" s="55">
        <f t="shared" si="15"/>
        <v>262857</v>
      </c>
      <c r="V23" s="55">
        <f t="shared" si="15"/>
        <v>279631</v>
      </c>
      <c r="W23" s="55">
        <f t="shared" si="15"/>
        <v>289146</v>
      </c>
      <c r="X23" s="55">
        <f t="shared" si="15"/>
        <v>293337</v>
      </c>
      <c r="Y23" s="55">
        <f t="shared" ref="Y23:Z23" si="16">SUM(Y25:Y37)</f>
        <v>297698</v>
      </c>
      <c r="Z23" s="55">
        <f t="shared" si="16"/>
        <v>294433</v>
      </c>
      <c r="AA23" s="55">
        <f t="shared" ref="AA23:AB23" si="17">SUM(AA25:AA37)</f>
        <v>330177</v>
      </c>
      <c r="AB23" s="55">
        <f t="shared" si="17"/>
        <v>346051</v>
      </c>
      <c r="AC23" s="55">
        <f t="shared" ref="AC23:AF23" si="18">SUM(AC25:AC37)</f>
        <v>0</v>
      </c>
      <c r="AD23" s="55">
        <f t="shared" si="18"/>
        <v>368432</v>
      </c>
      <c r="AE23" s="55">
        <f t="shared" si="18"/>
        <v>373983</v>
      </c>
      <c r="AF23" s="55">
        <f t="shared" si="18"/>
        <v>383560</v>
      </c>
    </row>
    <row r="24" spans="1:32">
      <c r="A24" s="56" t="s">
        <v>244</v>
      </c>
      <c r="B24" s="57">
        <f t="shared" ref="B24:J24" si="19">(B23/B4)*100</f>
        <v>0</v>
      </c>
      <c r="C24" s="57">
        <f t="shared" si="19"/>
        <v>0</v>
      </c>
      <c r="D24" s="57">
        <f t="shared" si="19"/>
        <v>0</v>
      </c>
      <c r="E24" s="57">
        <f t="shared" si="19"/>
        <v>0</v>
      </c>
      <c r="F24" s="57">
        <f t="shared" si="19"/>
        <v>0</v>
      </c>
      <c r="G24" s="57">
        <f t="shared" si="19"/>
        <v>17.428255384463675</v>
      </c>
      <c r="H24" s="57">
        <f t="shared" si="19"/>
        <v>0</v>
      </c>
      <c r="I24" s="57">
        <f t="shared" si="19"/>
        <v>0</v>
      </c>
      <c r="J24" s="57">
        <f t="shared" si="19"/>
        <v>17.602099092791629</v>
      </c>
      <c r="K24" s="57">
        <f t="shared" ref="K24:X24" si="20">(K23/K4)*100</f>
        <v>17.863266500844645</v>
      </c>
      <c r="L24" s="57">
        <f t="shared" si="20"/>
        <v>18.209173443118022</v>
      </c>
      <c r="M24" s="57">
        <f t="shared" si="20"/>
        <v>18.371206229952737</v>
      </c>
      <c r="N24" s="57">
        <f t="shared" si="20"/>
        <v>18.626241291919392</v>
      </c>
      <c r="O24" s="57">
        <f t="shared" si="20"/>
        <v>18.646385791295135</v>
      </c>
      <c r="P24" s="57">
        <f t="shared" si="20"/>
        <v>18.850724899820655</v>
      </c>
      <c r="Q24" s="57">
        <f t="shared" si="20"/>
        <v>19.32376615674864</v>
      </c>
      <c r="R24" s="57">
        <f t="shared" si="20"/>
        <v>19.309419503709581</v>
      </c>
      <c r="S24" s="57">
        <f t="shared" si="20"/>
        <v>19.46974892974794</v>
      </c>
      <c r="T24" s="57">
        <f t="shared" si="20"/>
        <v>19.818494950308583</v>
      </c>
      <c r="U24" s="57">
        <f t="shared" si="20"/>
        <v>19.688851770151793</v>
      </c>
      <c r="V24" s="57">
        <f t="shared" si="20"/>
        <v>20.204610417949183</v>
      </c>
      <c r="W24" s="57">
        <f t="shared" si="20"/>
        <v>20.388022972539424</v>
      </c>
      <c r="X24" s="57">
        <f t="shared" si="20"/>
        <v>20.227515329046994</v>
      </c>
      <c r="Y24" s="57">
        <f t="shared" ref="Y24:Z24" si="21">(Y23/Y4)*100</f>
        <v>20.043777466118247</v>
      </c>
      <c r="Z24" s="57">
        <f t="shared" si="21"/>
        <v>19.445380060416575</v>
      </c>
      <c r="AA24" s="57">
        <f t="shared" ref="AA24:AB24" si="22">(AA23/AA4)*100</f>
        <v>20.687289400377683</v>
      </c>
      <c r="AB24" s="57">
        <f t="shared" si="22"/>
        <v>21.052084062088412</v>
      </c>
      <c r="AC24" s="57" t="e">
        <f t="shared" ref="AC24:AF24" si="23">(AC23/AC4)*100</f>
        <v>#DIV/0!</v>
      </c>
      <c r="AD24" s="57">
        <f t="shared" si="23"/>
        <v>21.77048901347597</v>
      </c>
      <c r="AE24" s="57">
        <f t="shared" si="23"/>
        <v>21.746409062733683</v>
      </c>
      <c r="AF24" s="57">
        <f t="shared" si="23"/>
        <v>21.928139549774521</v>
      </c>
    </row>
    <row r="25" spans="1:32">
      <c r="A25" s="54" t="s">
        <v>167</v>
      </c>
      <c r="B25" s="82"/>
      <c r="C25" s="82"/>
      <c r="D25" s="82"/>
      <c r="E25" s="82"/>
      <c r="F25" s="82"/>
      <c r="G25" s="82">
        <v>870</v>
      </c>
      <c r="H25" s="82"/>
      <c r="I25" s="82"/>
      <c r="J25" s="82">
        <v>1075</v>
      </c>
      <c r="K25" s="82">
        <v>1195</v>
      </c>
      <c r="L25" s="82">
        <v>1313</v>
      </c>
      <c r="M25" s="82">
        <v>1459</v>
      </c>
      <c r="N25" s="82">
        <v>1349</v>
      </c>
      <c r="O25" s="82">
        <v>1338</v>
      </c>
      <c r="P25" s="82">
        <v>1399</v>
      </c>
      <c r="Q25" s="82">
        <v>1280</v>
      </c>
      <c r="R25" s="82">
        <v>1282</v>
      </c>
      <c r="S25" s="82">
        <v>1326</v>
      </c>
      <c r="T25" s="82">
        <v>1335</v>
      </c>
      <c r="U25" s="82">
        <v>1485</v>
      </c>
      <c r="V25" s="82">
        <v>1423</v>
      </c>
      <c r="W25" s="82">
        <v>1410</v>
      </c>
      <c r="X25" s="82">
        <v>1517</v>
      </c>
      <c r="Y25" s="82">
        <v>1532</v>
      </c>
      <c r="Z25" s="1">
        <v>1662</v>
      </c>
      <c r="AA25" s="1">
        <v>1623</v>
      </c>
      <c r="AB25" s="1">
        <v>1741</v>
      </c>
      <c r="AD25" s="1">
        <v>1742</v>
      </c>
      <c r="AE25" s="7">
        <v>1725</v>
      </c>
      <c r="AF25" s="7">
        <v>1766</v>
      </c>
    </row>
    <row r="26" spans="1:32">
      <c r="A26" s="54" t="s">
        <v>168</v>
      </c>
      <c r="B26" s="82"/>
      <c r="C26" s="82"/>
      <c r="D26" s="82"/>
      <c r="E26" s="82"/>
      <c r="F26" s="82"/>
      <c r="G26" s="82">
        <v>11568</v>
      </c>
      <c r="H26" s="82"/>
      <c r="I26" s="82"/>
      <c r="J26" s="82">
        <v>13984</v>
      </c>
      <c r="K26" s="82">
        <v>15106</v>
      </c>
      <c r="L26" s="82">
        <v>15213</v>
      </c>
      <c r="M26" s="82">
        <v>15225</v>
      </c>
      <c r="N26" s="82">
        <v>16115</v>
      </c>
      <c r="O26" s="82">
        <v>16454</v>
      </c>
      <c r="P26" s="82">
        <v>17019</v>
      </c>
      <c r="Q26" s="82">
        <v>19497</v>
      </c>
      <c r="R26" s="82">
        <v>20549</v>
      </c>
      <c r="S26" s="82">
        <v>21675</v>
      </c>
      <c r="T26" s="82">
        <v>23886</v>
      </c>
      <c r="U26" s="82">
        <v>20280</v>
      </c>
      <c r="V26" s="82">
        <v>30167</v>
      </c>
      <c r="W26" s="82">
        <v>32545</v>
      </c>
      <c r="X26" s="82">
        <v>32970</v>
      </c>
      <c r="Y26" s="82">
        <v>36296</v>
      </c>
      <c r="Z26" s="1">
        <v>25188</v>
      </c>
      <c r="AA26" s="1">
        <v>51407</v>
      </c>
      <c r="AB26" s="1">
        <v>53154</v>
      </c>
      <c r="AD26" s="1">
        <v>49830</v>
      </c>
      <c r="AE26" s="7">
        <v>48888</v>
      </c>
      <c r="AF26" s="7">
        <v>50137</v>
      </c>
    </row>
    <row r="27" spans="1:32">
      <c r="A27" s="54" t="s">
        <v>169</v>
      </c>
      <c r="B27" s="82"/>
      <c r="C27" s="82"/>
      <c r="D27" s="82"/>
      <c r="E27" s="82"/>
      <c r="F27" s="82"/>
      <c r="G27" s="82">
        <v>81313</v>
      </c>
      <c r="H27" s="82"/>
      <c r="I27" s="82"/>
      <c r="J27" s="82">
        <v>97250</v>
      </c>
      <c r="K27" s="82">
        <v>98893</v>
      </c>
      <c r="L27" s="82">
        <v>99959</v>
      </c>
      <c r="M27" s="82">
        <v>98016</v>
      </c>
      <c r="N27" s="82">
        <v>98258</v>
      </c>
      <c r="O27" s="82">
        <v>98164</v>
      </c>
      <c r="P27" s="82">
        <v>98964</v>
      </c>
      <c r="Q27" s="82">
        <v>106452</v>
      </c>
      <c r="R27" s="82">
        <v>114901</v>
      </c>
      <c r="S27" s="82">
        <v>118884</v>
      </c>
      <c r="T27" s="82">
        <v>123037</v>
      </c>
      <c r="U27" s="82">
        <v>127128</v>
      </c>
      <c r="V27" s="82">
        <v>129733</v>
      </c>
      <c r="W27" s="82">
        <v>135624</v>
      </c>
      <c r="X27" s="82">
        <v>136924</v>
      </c>
      <c r="Y27" s="82">
        <v>135931</v>
      </c>
      <c r="Z27" s="1">
        <v>142216</v>
      </c>
      <c r="AA27" s="1">
        <v>147074</v>
      </c>
      <c r="AB27" s="1">
        <v>156646</v>
      </c>
      <c r="AD27" s="1">
        <v>177315</v>
      </c>
      <c r="AE27" s="7">
        <v>180893</v>
      </c>
      <c r="AF27" s="7">
        <v>186551</v>
      </c>
    </row>
    <row r="28" spans="1:32">
      <c r="A28" s="54" t="s">
        <v>170</v>
      </c>
      <c r="B28" s="82"/>
      <c r="C28" s="82"/>
      <c r="D28" s="82"/>
      <c r="E28" s="82"/>
      <c r="F28" s="82"/>
      <c r="G28" s="82">
        <v>14715</v>
      </c>
      <c r="H28" s="82"/>
      <c r="I28" s="82"/>
      <c r="J28" s="82">
        <v>16817</v>
      </c>
      <c r="K28" s="82">
        <v>18002</v>
      </c>
      <c r="L28" s="82">
        <v>18028</v>
      </c>
      <c r="M28" s="82">
        <v>19034</v>
      </c>
      <c r="N28" s="82">
        <v>18396</v>
      </c>
      <c r="O28" s="82">
        <v>18709</v>
      </c>
      <c r="P28" s="82">
        <v>19095</v>
      </c>
      <c r="Q28" s="82">
        <v>20270</v>
      </c>
      <c r="R28" s="82">
        <v>21308</v>
      </c>
      <c r="S28" s="82">
        <v>22083</v>
      </c>
      <c r="T28" s="82">
        <v>23111</v>
      </c>
      <c r="U28" s="82">
        <v>24004</v>
      </c>
      <c r="V28" s="82">
        <v>26777</v>
      </c>
      <c r="W28" s="82">
        <v>27045</v>
      </c>
      <c r="X28" s="82">
        <v>26503</v>
      </c>
      <c r="Y28" s="82">
        <v>26272</v>
      </c>
      <c r="Z28" s="1">
        <v>24835</v>
      </c>
      <c r="AA28" s="1">
        <v>25216</v>
      </c>
      <c r="AB28" s="1">
        <v>25835</v>
      </c>
      <c r="AD28" s="1">
        <v>26724</v>
      </c>
      <c r="AE28" s="7">
        <v>28865</v>
      </c>
      <c r="AF28" s="7">
        <v>29770</v>
      </c>
    </row>
    <row r="29" spans="1:32">
      <c r="A29" s="54" t="s">
        <v>173</v>
      </c>
      <c r="B29" s="82"/>
      <c r="C29" s="82"/>
      <c r="D29" s="82"/>
      <c r="E29" s="82"/>
      <c r="F29" s="82"/>
      <c r="G29" s="82">
        <v>3351</v>
      </c>
      <c r="H29" s="82"/>
      <c r="I29" s="82"/>
      <c r="J29" s="82">
        <v>3343</v>
      </c>
      <c r="K29" s="82">
        <v>3786</v>
      </c>
      <c r="L29" s="82">
        <v>3732</v>
      </c>
      <c r="M29" s="82">
        <v>3766</v>
      </c>
      <c r="N29" s="82">
        <v>4201</v>
      </c>
      <c r="O29" s="82">
        <v>4239</v>
      </c>
      <c r="P29" s="82">
        <v>4085</v>
      </c>
      <c r="Q29" s="82">
        <v>4291</v>
      </c>
      <c r="R29" s="82">
        <v>4561</v>
      </c>
      <c r="S29" s="82">
        <v>4956</v>
      </c>
      <c r="T29" s="82">
        <v>4750</v>
      </c>
      <c r="U29" s="82">
        <v>5214</v>
      </c>
      <c r="V29" s="82">
        <v>4911</v>
      </c>
      <c r="W29" s="82">
        <v>5112</v>
      </c>
      <c r="X29" s="82">
        <v>5011</v>
      </c>
      <c r="Y29" s="82">
        <v>4713</v>
      </c>
      <c r="Z29" s="1">
        <v>5122</v>
      </c>
      <c r="AA29" s="1">
        <v>5498</v>
      </c>
      <c r="AB29" s="1">
        <v>5895</v>
      </c>
      <c r="AD29" s="1">
        <v>6329</v>
      </c>
      <c r="AE29" s="7">
        <v>6358</v>
      </c>
      <c r="AF29" s="7">
        <v>6245</v>
      </c>
    </row>
    <row r="30" spans="1:32">
      <c r="A30" s="54" t="s">
        <v>175</v>
      </c>
      <c r="B30" s="82"/>
      <c r="C30" s="82"/>
      <c r="D30" s="82"/>
      <c r="E30" s="82"/>
      <c r="F30" s="82"/>
      <c r="G30" s="82">
        <v>2986</v>
      </c>
      <c r="H30" s="82"/>
      <c r="I30" s="82"/>
      <c r="J30" s="82">
        <v>3175</v>
      </c>
      <c r="K30" s="82">
        <v>3759</v>
      </c>
      <c r="L30" s="82">
        <v>3979</v>
      </c>
      <c r="M30" s="82">
        <v>3946</v>
      </c>
      <c r="N30" s="82">
        <v>4194</v>
      </c>
      <c r="O30" s="82">
        <v>4250</v>
      </c>
      <c r="P30" s="82">
        <v>4361</v>
      </c>
      <c r="Q30" s="82">
        <v>4480</v>
      </c>
      <c r="R30" s="82">
        <v>5622</v>
      </c>
      <c r="S30" s="82">
        <v>5661</v>
      </c>
      <c r="T30" s="82">
        <v>6836</v>
      </c>
      <c r="U30" s="82">
        <v>7227</v>
      </c>
      <c r="V30" s="82">
        <v>7286</v>
      </c>
      <c r="W30" s="82">
        <v>7338</v>
      </c>
      <c r="X30" s="82">
        <v>8523</v>
      </c>
      <c r="Y30" s="82">
        <v>8779</v>
      </c>
      <c r="Z30" s="1">
        <v>8700</v>
      </c>
      <c r="AA30" s="1">
        <v>9212</v>
      </c>
      <c r="AB30" s="1">
        <v>9732</v>
      </c>
      <c r="AD30" s="1">
        <v>10169</v>
      </c>
      <c r="AE30" s="7">
        <v>10534</v>
      </c>
      <c r="AF30" s="7">
        <v>10724</v>
      </c>
    </row>
    <row r="31" spans="1:32">
      <c r="A31" s="54" t="s">
        <v>184</v>
      </c>
      <c r="B31" s="82"/>
      <c r="C31" s="82"/>
      <c r="D31" s="82"/>
      <c r="E31" s="82"/>
      <c r="F31" s="82"/>
      <c r="G31" s="82">
        <v>4002</v>
      </c>
      <c r="H31" s="82"/>
      <c r="I31" s="82"/>
      <c r="J31" s="82">
        <v>3641</v>
      </c>
      <c r="K31" s="82">
        <v>3617</v>
      </c>
      <c r="L31" s="82">
        <v>3731</v>
      </c>
      <c r="M31" s="82">
        <v>3696</v>
      </c>
      <c r="N31" s="82">
        <v>4193</v>
      </c>
      <c r="O31" s="82">
        <v>4249</v>
      </c>
      <c r="P31" s="82">
        <v>4332</v>
      </c>
      <c r="Q31" s="82">
        <v>4691</v>
      </c>
      <c r="R31" s="82">
        <v>4851</v>
      </c>
      <c r="S31" s="82">
        <v>4973</v>
      </c>
      <c r="T31" s="82">
        <v>4824</v>
      </c>
      <c r="U31" s="82">
        <v>4773</v>
      </c>
      <c r="V31" s="82">
        <v>4819</v>
      </c>
      <c r="W31" s="82">
        <v>4735</v>
      </c>
      <c r="X31" s="82">
        <v>4873</v>
      </c>
      <c r="Y31" s="82">
        <v>4774</v>
      </c>
      <c r="Z31" s="1">
        <v>5237</v>
      </c>
      <c r="AA31" s="1">
        <v>5128</v>
      </c>
      <c r="AB31" s="1">
        <v>5361</v>
      </c>
      <c r="AD31" s="1">
        <v>5763</v>
      </c>
      <c r="AE31" s="7">
        <v>5555</v>
      </c>
      <c r="AF31" s="7">
        <v>5569</v>
      </c>
    </row>
    <row r="32" spans="1:32">
      <c r="A32" s="54" t="s">
        <v>190</v>
      </c>
      <c r="B32" s="82"/>
      <c r="C32" s="82"/>
      <c r="D32" s="82"/>
      <c r="E32" s="82"/>
      <c r="F32" s="82"/>
      <c r="G32" s="82">
        <v>1866</v>
      </c>
      <c r="H32" s="82"/>
      <c r="I32" s="82"/>
      <c r="J32" s="82">
        <v>2541</v>
      </c>
      <c r="K32" s="82">
        <v>2828</v>
      </c>
      <c r="L32" s="82">
        <v>2951</v>
      </c>
      <c r="M32" s="82">
        <v>3052</v>
      </c>
      <c r="N32" s="82">
        <v>3045</v>
      </c>
      <c r="O32" s="82">
        <v>3236</v>
      </c>
      <c r="P32" s="82">
        <v>3416</v>
      </c>
      <c r="Q32" s="82">
        <v>3721</v>
      </c>
      <c r="R32" s="82">
        <v>4231</v>
      </c>
      <c r="S32" s="82">
        <v>4437</v>
      </c>
      <c r="T32" s="82">
        <v>4882</v>
      </c>
      <c r="U32" s="82">
        <v>5688</v>
      </c>
      <c r="V32" s="82">
        <v>5400</v>
      </c>
      <c r="W32" s="82">
        <v>5717</v>
      </c>
      <c r="X32" s="82">
        <v>6177</v>
      </c>
      <c r="Y32" s="82">
        <v>6650</v>
      </c>
      <c r="Z32" s="1">
        <v>6911</v>
      </c>
      <c r="AA32" s="1">
        <v>7003</v>
      </c>
      <c r="AB32" s="1">
        <v>7168</v>
      </c>
      <c r="AD32" s="1">
        <v>7872</v>
      </c>
      <c r="AE32" s="7">
        <v>8004</v>
      </c>
      <c r="AF32" s="7">
        <v>8500</v>
      </c>
    </row>
    <row r="33" spans="1:32">
      <c r="A33" s="54" t="s">
        <v>189</v>
      </c>
      <c r="B33" s="82"/>
      <c r="C33" s="82"/>
      <c r="D33" s="82"/>
      <c r="E33" s="82"/>
      <c r="F33" s="82"/>
      <c r="G33" s="82">
        <v>4319</v>
      </c>
      <c r="H33" s="82"/>
      <c r="I33" s="82"/>
      <c r="J33" s="82">
        <v>5417</v>
      </c>
      <c r="K33" s="82">
        <v>5586</v>
      </c>
      <c r="L33" s="82">
        <v>6060</v>
      </c>
      <c r="M33" s="82">
        <v>6244</v>
      </c>
      <c r="N33" s="82">
        <v>6065</v>
      </c>
      <c r="O33" s="82">
        <v>6163</v>
      </c>
      <c r="P33" s="82">
        <v>6427</v>
      </c>
      <c r="Q33" s="82">
        <v>6529</v>
      </c>
      <c r="R33" s="82">
        <v>6024</v>
      </c>
      <c r="S33" s="82">
        <v>6267</v>
      </c>
      <c r="T33" s="82">
        <v>6331</v>
      </c>
      <c r="U33" s="82">
        <v>6623</v>
      </c>
      <c r="V33" s="82">
        <v>7002</v>
      </c>
      <c r="W33" s="82">
        <v>7212</v>
      </c>
      <c r="X33" s="82">
        <v>7269</v>
      </c>
      <c r="Y33" s="82">
        <v>6934</v>
      </c>
      <c r="Z33" s="1">
        <v>7409</v>
      </c>
      <c r="AA33" s="1">
        <v>7497</v>
      </c>
      <c r="AB33" s="1">
        <v>7790</v>
      </c>
      <c r="AD33" s="1">
        <v>8105</v>
      </c>
      <c r="AE33" s="7">
        <v>8609</v>
      </c>
      <c r="AF33" s="7">
        <v>8693</v>
      </c>
    </row>
    <row r="34" spans="1:32">
      <c r="A34" s="54" t="s">
        <v>193</v>
      </c>
      <c r="B34" s="82"/>
      <c r="C34" s="82"/>
      <c r="D34" s="82"/>
      <c r="E34" s="82"/>
      <c r="F34" s="82"/>
      <c r="G34" s="82">
        <v>10349</v>
      </c>
      <c r="H34" s="82"/>
      <c r="I34" s="82"/>
      <c r="J34" s="82">
        <v>11745</v>
      </c>
      <c r="K34" s="82">
        <v>11527</v>
      </c>
      <c r="L34" s="82">
        <v>11762</v>
      </c>
      <c r="M34" s="82">
        <v>11437</v>
      </c>
      <c r="N34" s="82">
        <v>11824</v>
      </c>
      <c r="O34" s="82">
        <v>11773</v>
      </c>
      <c r="P34" s="82">
        <v>12153</v>
      </c>
      <c r="Q34" s="82">
        <v>12645</v>
      </c>
      <c r="R34" s="82">
        <v>13716</v>
      </c>
      <c r="S34" s="82">
        <v>14595</v>
      </c>
      <c r="T34" s="82">
        <v>14807</v>
      </c>
      <c r="U34" s="82">
        <v>15502</v>
      </c>
      <c r="V34" s="82">
        <v>15737</v>
      </c>
      <c r="W34" s="82">
        <v>15664</v>
      </c>
      <c r="X34" s="82">
        <v>15735</v>
      </c>
      <c r="Y34" s="82">
        <v>16606</v>
      </c>
      <c r="Z34" s="1">
        <v>17238</v>
      </c>
      <c r="AA34" s="1">
        <v>18723</v>
      </c>
      <c r="AB34" s="1">
        <v>19791</v>
      </c>
      <c r="AD34" s="1">
        <v>20450</v>
      </c>
      <c r="AE34" s="7">
        <v>20353</v>
      </c>
      <c r="AF34" s="7">
        <v>21050</v>
      </c>
    </row>
    <row r="35" spans="1:32">
      <c r="A35" s="54" t="s">
        <v>197</v>
      </c>
      <c r="B35" s="82"/>
      <c r="C35" s="82"/>
      <c r="D35" s="82"/>
      <c r="E35" s="82"/>
      <c r="F35" s="82"/>
      <c r="G35" s="82">
        <v>10524</v>
      </c>
      <c r="H35" s="82"/>
      <c r="I35" s="82"/>
      <c r="J35" s="82">
        <v>11215</v>
      </c>
      <c r="K35" s="82">
        <v>12023</v>
      </c>
      <c r="L35" s="82">
        <v>13245</v>
      </c>
      <c r="M35" s="82">
        <v>13489</v>
      </c>
      <c r="N35" s="82">
        <v>14608</v>
      </c>
      <c r="O35" s="82">
        <v>14833</v>
      </c>
      <c r="P35" s="82">
        <v>15653</v>
      </c>
      <c r="Q35" s="82">
        <v>16264</v>
      </c>
      <c r="R35" s="82">
        <v>17162</v>
      </c>
      <c r="S35" s="82">
        <v>17693</v>
      </c>
      <c r="T35" s="82">
        <v>18515</v>
      </c>
      <c r="U35" s="82">
        <v>18461</v>
      </c>
      <c r="V35" s="82">
        <v>19263</v>
      </c>
      <c r="W35" s="82">
        <v>19157</v>
      </c>
      <c r="X35" s="82">
        <v>19509</v>
      </c>
      <c r="Y35" s="82">
        <v>20166</v>
      </c>
      <c r="Z35" s="1">
        <v>20176</v>
      </c>
      <c r="AA35" s="1">
        <v>21034</v>
      </c>
      <c r="AB35" s="1">
        <v>21684</v>
      </c>
      <c r="AD35" s="1">
        <v>22258</v>
      </c>
      <c r="AE35" s="7">
        <v>21970</v>
      </c>
      <c r="AF35" s="7">
        <v>21988</v>
      </c>
    </row>
    <row r="36" spans="1:32">
      <c r="A36" s="54" t="s">
        <v>76</v>
      </c>
      <c r="B36" s="82"/>
      <c r="C36" s="82"/>
      <c r="D36" s="82"/>
      <c r="E36" s="82"/>
      <c r="F36" s="82"/>
      <c r="G36" s="82">
        <v>16736</v>
      </c>
      <c r="H36" s="82"/>
      <c r="I36" s="82"/>
      <c r="J36" s="82">
        <v>18457</v>
      </c>
      <c r="K36" s="82">
        <v>19367</v>
      </c>
      <c r="L36" s="82">
        <v>19863</v>
      </c>
      <c r="M36" s="82">
        <v>19790</v>
      </c>
      <c r="N36" s="82">
        <v>20475</v>
      </c>
      <c r="O36" s="82">
        <v>20651</v>
      </c>
      <c r="P36" s="82">
        <v>20972</v>
      </c>
      <c r="Q36" s="82">
        <v>21067</v>
      </c>
      <c r="R36" s="82">
        <v>22515</v>
      </c>
      <c r="S36" s="82">
        <v>23738</v>
      </c>
      <c r="T36" s="82">
        <v>24454</v>
      </c>
      <c r="U36" s="82">
        <v>24789</v>
      </c>
      <c r="V36" s="82">
        <v>25544</v>
      </c>
      <c r="W36" s="82">
        <v>25951</v>
      </c>
      <c r="X36" s="82">
        <v>26728</v>
      </c>
      <c r="Y36" s="82">
        <v>27415</v>
      </c>
      <c r="Z36" s="1">
        <v>28068</v>
      </c>
      <c r="AA36" s="1">
        <v>28907</v>
      </c>
      <c r="AB36" s="1">
        <v>29387</v>
      </c>
      <c r="AD36" s="1">
        <v>29995</v>
      </c>
      <c r="AE36" s="7">
        <v>30259</v>
      </c>
      <c r="AF36" s="7">
        <v>30678</v>
      </c>
    </row>
    <row r="37" spans="1:32">
      <c r="A37" s="58" t="s">
        <v>200</v>
      </c>
      <c r="B37" s="83"/>
      <c r="C37" s="83"/>
      <c r="D37" s="83"/>
      <c r="E37" s="83"/>
      <c r="F37" s="83"/>
      <c r="G37" s="83">
        <v>0</v>
      </c>
      <c r="H37" s="83"/>
      <c r="I37" s="83"/>
      <c r="J37" s="83">
        <v>1659</v>
      </c>
      <c r="K37" s="83">
        <v>1736</v>
      </c>
      <c r="L37" s="83">
        <v>1676</v>
      </c>
      <c r="M37" s="83">
        <v>1651</v>
      </c>
      <c r="N37" s="83">
        <v>1521</v>
      </c>
      <c r="O37" s="83">
        <v>1545</v>
      </c>
      <c r="P37" s="83">
        <v>1604</v>
      </c>
      <c r="Q37" s="83">
        <v>1691</v>
      </c>
      <c r="R37" s="83">
        <v>1602</v>
      </c>
      <c r="S37" s="83">
        <v>1529</v>
      </c>
      <c r="T37" s="83">
        <v>1575</v>
      </c>
      <c r="U37" s="83">
        <v>1683</v>
      </c>
      <c r="V37" s="83">
        <v>1569</v>
      </c>
      <c r="W37" s="83">
        <v>1636</v>
      </c>
      <c r="X37" s="83">
        <v>1598</v>
      </c>
      <c r="Y37" s="83">
        <v>1630</v>
      </c>
      <c r="Z37" s="1">
        <v>1671</v>
      </c>
      <c r="AA37" s="1">
        <v>1855</v>
      </c>
      <c r="AB37" s="1">
        <v>1867</v>
      </c>
      <c r="AD37" s="1">
        <v>1880</v>
      </c>
      <c r="AE37" s="7">
        <v>1970</v>
      </c>
      <c r="AF37" s="7">
        <v>1889</v>
      </c>
    </row>
    <row r="38" spans="1:32">
      <c r="A38" s="54" t="s">
        <v>246</v>
      </c>
      <c r="B38" s="55">
        <f t="shared" ref="B38:K38" si="24">SUM(B40:B51)</f>
        <v>0</v>
      </c>
      <c r="C38" s="55">
        <f t="shared" si="24"/>
        <v>0</v>
      </c>
      <c r="D38" s="55">
        <f t="shared" si="24"/>
        <v>0</v>
      </c>
      <c r="E38" s="55">
        <f t="shared" si="24"/>
        <v>0</v>
      </c>
      <c r="F38" s="55">
        <f t="shared" si="24"/>
        <v>0</v>
      </c>
      <c r="G38" s="55">
        <f t="shared" si="24"/>
        <v>262515</v>
      </c>
      <c r="H38" s="55">
        <f t="shared" si="24"/>
        <v>0</v>
      </c>
      <c r="I38" s="55">
        <f t="shared" si="24"/>
        <v>0</v>
      </c>
      <c r="J38" s="55">
        <f t="shared" si="24"/>
        <v>296219</v>
      </c>
      <c r="K38" s="55">
        <f t="shared" si="24"/>
        <v>298073</v>
      </c>
      <c r="L38" s="55">
        <f t="shared" ref="L38:X38" si="25">SUM(L40:L51)</f>
        <v>296815</v>
      </c>
      <c r="M38" s="55">
        <f t="shared" si="25"/>
        <v>292228</v>
      </c>
      <c r="N38" s="55">
        <f t="shared" si="25"/>
        <v>289864</v>
      </c>
      <c r="O38" s="55">
        <f t="shared" si="25"/>
        <v>290477</v>
      </c>
      <c r="P38" s="55">
        <f t="shared" si="25"/>
        <v>291375</v>
      </c>
      <c r="Q38" s="55">
        <f t="shared" si="25"/>
        <v>299709</v>
      </c>
      <c r="R38" s="55">
        <f t="shared" si="25"/>
        <v>322272</v>
      </c>
      <c r="S38" s="55">
        <f t="shared" si="25"/>
        <v>329567</v>
      </c>
      <c r="T38" s="55">
        <f t="shared" si="25"/>
        <v>332146</v>
      </c>
      <c r="U38" s="55">
        <f t="shared" si="25"/>
        <v>340140</v>
      </c>
      <c r="V38" s="55">
        <f t="shared" si="25"/>
        <v>353102</v>
      </c>
      <c r="W38" s="55">
        <f t="shared" si="25"/>
        <v>357607</v>
      </c>
      <c r="X38" s="55">
        <f t="shared" si="25"/>
        <v>364682</v>
      </c>
      <c r="Y38" s="55">
        <f t="shared" ref="Y38:Z38" si="26">SUM(Y40:Y51)</f>
        <v>374631</v>
      </c>
      <c r="Z38" s="55">
        <f t="shared" si="26"/>
        <v>387005</v>
      </c>
      <c r="AA38" s="55">
        <f t="shared" ref="AA38:AB38" si="27">SUM(AA40:AA51)</f>
        <v>400126</v>
      </c>
      <c r="AB38" s="55">
        <f t="shared" si="27"/>
        <v>406860</v>
      </c>
      <c r="AC38" s="55">
        <f t="shared" ref="AC38:AF38" si="28">SUM(AC40:AC51)</f>
        <v>0</v>
      </c>
      <c r="AD38" s="55">
        <f t="shared" si="28"/>
        <v>401175</v>
      </c>
      <c r="AE38" s="55">
        <f t="shared" si="28"/>
        <v>402506</v>
      </c>
      <c r="AF38" s="55">
        <f t="shared" si="28"/>
        <v>404825</v>
      </c>
    </row>
    <row r="39" spans="1:32">
      <c r="A39" s="56" t="s">
        <v>244</v>
      </c>
      <c r="B39" s="57">
        <f t="shared" ref="B39:K39" si="29">(B38/B4)*100</f>
        <v>0</v>
      </c>
      <c r="C39" s="57">
        <f t="shared" si="29"/>
        <v>0</v>
      </c>
      <c r="D39" s="57">
        <f t="shared" si="29"/>
        <v>0</v>
      </c>
      <c r="E39" s="57">
        <f t="shared" si="29"/>
        <v>0</v>
      </c>
      <c r="F39" s="57">
        <f t="shared" si="29"/>
        <v>0</v>
      </c>
      <c r="G39" s="57">
        <f t="shared" si="29"/>
        <v>28.137801968354552</v>
      </c>
      <c r="H39" s="57">
        <f t="shared" si="29"/>
        <v>0</v>
      </c>
      <c r="I39" s="57">
        <f t="shared" si="29"/>
        <v>0</v>
      </c>
      <c r="J39" s="57">
        <f t="shared" si="29"/>
        <v>27.396508972659817</v>
      </c>
      <c r="K39" s="57">
        <f t="shared" si="29"/>
        <v>26.970026266715287</v>
      </c>
      <c r="L39" s="57">
        <f t="shared" ref="L39" si="30">(L38/L4)*100</f>
        <v>26.821012225173067</v>
      </c>
      <c r="M39" s="57">
        <f t="shared" ref="M39" si="31">(M38/M4)*100</f>
        <v>26.735294709626896</v>
      </c>
      <c r="N39" s="57">
        <f t="shared" ref="N39" si="32">(N38/N4)*100</f>
        <v>26.434445104095705</v>
      </c>
      <c r="O39" s="57">
        <f t="shared" ref="O39" si="33">(O38/O4)*100</f>
        <v>26.34358380915759</v>
      </c>
      <c r="P39" s="57">
        <f t="shared" ref="P39" si="34">(P38/P4)*100</f>
        <v>26.220307273654971</v>
      </c>
      <c r="Q39" s="57">
        <f t="shared" ref="Q39" si="35">(Q38/Q4)*100</f>
        <v>25.985097816172875</v>
      </c>
      <c r="R39" s="57">
        <f t="shared" ref="R39" si="36">(R38/R4)*100</f>
        <v>26.111030539515507</v>
      </c>
      <c r="S39" s="57">
        <f t="shared" ref="S39" si="37">(S38/S4)*100</f>
        <v>25.892439766159058</v>
      </c>
      <c r="T39" s="57">
        <f t="shared" ref="T39" si="38">(T38/T4)*100</f>
        <v>25.480209735759026</v>
      </c>
      <c r="U39" s="57">
        <f t="shared" ref="U39" si="39">(U38/U4)*100</f>
        <v>25.477602046357639</v>
      </c>
      <c r="V39" s="57">
        <f t="shared" ref="V39" si="40">(V38/V4)*100</f>
        <v>25.513224026659039</v>
      </c>
      <c r="W39" s="57">
        <f t="shared" ref="W39" si="41">(W38/W4)*100</f>
        <v>25.215288232038162</v>
      </c>
      <c r="X39" s="57">
        <f t="shared" ref="X39:Y39" si="42">(X38/X4)*100</f>
        <v>25.147222291178799</v>
      </c>
      <c r="Y39" s="57">
        <f t="shared" si="42"/>
        <v>25.223617209082171</v>
      </c>
      <c r="Z39" s="57">
        <f t="shared" ref="Z39:AA39" si="43">(Z38/Z4)*100</f>
        <v>25.559157126685928</v>
      </c>
      <c r="AA39" s="57">
        <f t="shared" si="43"/>
        <v>25.069954474768146</v>
      </c>
      <c r="AB39" s="57">
        <f t="shared" ref="AB39:AF39" si="44">(AB38/AB4)*100</f>
        <v>24.751412137232059</v>
      </c>
      <c r="AC39" s="57" t="e">
        <f t="shared" si="44"/>
        <v>#DIV/0!</v>
      </c>
      <c r="AD39" s="57">
        <f t="shared" si="44"/>
        <v>23.705258853685947</v>
      </c>
      <c r="AE39" s="57">
        <f t="shared" si="44"/>
        <v>23.404967942940409</v>
      </c>
      <c r="AF39" s="57">
        <f t="shared" si="44"/>
        <v>23.143860395342241</v>
      </c>
    </row>
    <row r="40" spans="1:32">
      <c r="A40" s="54" t="s">
        <v>176</v>
      </c>
      <c r="B40" s="82"/>
      <c r="C40" s="82"/>
      <c r="D40" s="82"/>
      <c r="E40" s="82"/>
      <c r="F40" s="82"/>
      <c r="G40" s="82">
        <v>46257</v>
      </c>
      <c r="H40" s="82"/>
      <c r="I40" s="82"/>
      <c r="J40" s="82">
        <v>51795</v>
      </c>
      <c r="K40" s="82">
        <v>49884</v>
      </c>
      <c r="L40" s="82">
        <v>50414</v>
      </c>
      <c r="M40" s="82">
        <v>50328</v>
      </c>
      <c r="N40" s="82">
        <v>49558</v>
      </c>
      <c r="O40" s="82">
        <v>49813</v>
      </c>
      <c r="P40" s="82">
        <v>50032</v>
      </c>
      <c r="Q40" s="82">
        <v>52188</v>
      </c>
      <c r="R40" s="82">
        <v>55552</v>
      </c>
      <c r="S40" s="82">
        <v>54999</v>
      </c>
      <c r="T40" s="82">
        <v>55170</v>
      </c>
      <c r="U40" s="82">
        <v>56898</v>
      </c>
      <c r="V40" s="82">
        <v>64259</v>
      </c>
      <c r="W40" s="82">
        <v>64181</v>
      </c>
      <c r="X40" s="82">
        <v>63759</v>
      </c>
      <c r="Y40" s="82">
        <v>65209</v>
      </c>
      <c r="Z40" s="1">
        <v>63043</v>
      </c>
      <c r="AA40" s="1">
        <v>64653</v>
      </c>
      <c r="AB40" s="1">
        <v>67517</v>
      </c>
      <c r="AD40" s="1">
        <v>65839</v>
      </c>
      <c r="AE40" s="7">
        <v>67554</v>
      </c>
      <c r="AF40" s="7">
        <v>68179</v>
      </c>
    </row>
    <row r="41" spans="1:32">
      <c r="A41" s="54" t="s">
        <v>177</v>
      </c>
      <c r="B41" s="82"/>
      <c r="C41" s="82"/>
      <c r="D41" s="82"/>
      <c r="E41" s="82"/>
      <c r="F41" s="82"/>
      <c r="G41" s="82">
        <v>25875</v>
      </c>
      <c r="H41" s="82"/>
      <c r="I41" s="82"/>
      <c r="J41" s="82">
        <v>29733</v>
      </c>
      <c r="K41" s="82">
        <v>30712</v>
      </c>
      <c r="L41" s="82">
        <v>29947</v>
      </c>
      <c r="M41" s="82">
        <v>29414</v>
      </c>
      <c r="N41" s="82">
        <v>29501</v>
      </c>
      <c r="O41" s="82">
        <v>29387</v>
      </c>
      <c r="P41" s="82">
        <v>29649</v>
      </c>
      <c r="Q41" s="82">
        <v>30412</v>
      </c>
      <c r="R41" s="82">
        <v>33380</v>
      </c>
      <c r="S41" s="82">
        <v>34553</v>
      </c>
      <c r="T41" s="82">
        <v>34611</v>
      </c>
      <c r="U41" s="82">
        <v>35918</v>
      </c>
      <c r="V41" s="82">
        <v>36402</v>
      </c>
      <c r="W41" s="82">
        <v>36921</v>
      </c>
      <c r="X41" s="82">
        <v>37360</v>
      </c>
      <c r="Y41" s="82">
        <v>39318</v>
      </c>
      <c r="Z41" s="1">
        <v>40447</v>
      </c>
      <c r="AA41" s="1">
        <v>42380</v>
      </c>
      <c r="AB41" s="1">
        <v>42896</v>
      </c>
      <c r="AD41" s="1">
        <v>43809</v>
      </c>
      <c r="AE41" s="7">
        <v>43432</v>
      </c>
      <c r="AF41" s="7">
        <v>43821</v>
      </c>
    </row>
    <row r="42" spans="1:32">
      <c r="A42" s="54" t="s">
        <v>174</v>
      </c>
      <c r="B42" s="82"/>
      <c r="C42" s="82"/>
      <c r="D42" s="82"/>
      <c r="E42" s="82"/>
      <c r="F42" s="82"/>
      <c r="G42" s="82">
        <v>15887</v>
      </c>
      <c r="H42" s="82"/>
      <c r="I42" s="82"/>
      <c r="J42" s="82">
        <v>16608</v>
      </c>
      <c r="K42" s="82">
        <v>16841</v>
      </c>
      <c r="L42" s="82">
        <v>17030</v>
      </c>
      <c r="M42" s="82">
        <v>16515</v>
      </c>
      <c r="N42" s="82">
        <v>16829</v>
      </c>
      <c r="O42" s="82">
        <v>17116</v>
      </c>
      <c r="P42" s="82">
        <v>16694</v>
      </c>
      <c r="Q42" s="82">
        <v>17603</v>
      </c>
      <c r="R42" s="82">
        <v>18807</v>
      </c>
      <c r="S42" s="82">
        <v>18704</v>
      </c>
      <c r="T42" s="82">
        <v>19401</v>
      </c>
      <c r="U42" s="82">
        <v>19431</v>
      </c>
      <c r="V42" s="82">
        <v>19608</v>
      </c>
      <c r="W42" s="82">
        <v>20918</v>
      </c>
      <c r="X42" s="82">
        <v>22058</v>
      </c>
      <c r="Y42" s="82">
        <v>25332</v>
      </c>
      <c r="Z42" s="1">
        <v>31804</v>
      </c>
      <c r="AA42" s="1">
        <v>33272</v>
      </c>
      <c r="AB42" s="1">
        <v>36185</v>
      </c>
      <c r="AD42" s="1">
        <v>25254</v>
      </c>
      <c r="AE42" s="7">
        <v>24904</v>
      </c>
      <c r="AF42" s="7">
        <v>25064</v>
      </c>
    </row>
    <row r="43" spans="1:32">
      <c r="A43" s="54" t="s">
        <v>178</v>
      </c>
      <c r="B43" s="82"/>
      <c r="C43" s="82"/>
      <c r="D43" s="82"/>
      <c r="E43" s="82"/>
      <c r="F43" s="82"/>
      <c r="G43" s="82">
        <v>11317</v>
      </c>
      <c r="H43" s="82"/>
      <c r="I43" s="82"/>
      <c r="J43" s="82">
        <v>12855</v>
      </c>
      <c r="K43" s="82">
        <v>13537</v>
      </c>
      <c r="L43" s="82">
        <v>13737</v>
      </c>
      <c r="M43" s="82">
        <v>13707</v>
      </c>
      <c r="N43" s="82">
        <v>13760</v>
      </c>
      <c r="O43" s="82">
        <v>13646</v>
      </c>
      <c r="P43" s="82">
        <v>13384</v>
      </c>
      <c r="Q43" s="82">
        <v>13669</v>
      </c>
      <c r="R43" s="82">
        <v>14880</v>
      </c>
      <c r="S43" s="82">
        <v>15161</v>
      </c>
      <c r="T43" s="82">
        <v>15298</v>
      </c>
      <c r="U43" s="82">
        <v>15652</v>
      </c>
      <c r="V43" s="82">
        <v>15960</v>
      </c>
      <c r="W43" s="82">
        <v>15308</v>
      </c>
      <c r="X43" s="82">
        <v>15475</v>
      </c>
      <c r="Y43" s="82">
        <v>15646</v>
      </c>
      <c r="Z43" s="1">
        <v>16086</v>
      </c>
      <c r="AA43" s="1">
        <v>16449</v>
      </c>
      <c r="AB43" s="1">
        <v>16732</v>
      </c>
      <c r="AD43" s="1">
        <v>16585</v>
      </c>
      <c r="AE43" s="7">
        <v>16977</v>
      </c>
      <c r="AF43" s="7">
        <v>17029</v>
      </c>
    </row>
    <row r="44" spans="1:32">
      <c r="A44" s="54" t="s">
        <v>181</v>
      </c>
      <c r="B44" s="82"/>
      <c r="C44" s="82"/>
      <c r="D44" s="82"/>
      <c r="E44" s="82"/>
      <c r="F44" s="82"/>
      <c r="G44" s="82">
        <v>36865</v>
      </c>
      <c r="H44" s="82"/>
      <c r="I44" s="82"/>
      <c r="J44" s="82">
        <v>43223</v>
      </c>
      <c r="K44" s="82">
        <v>43465</v>
      </c>
      <c r="L44" s="82">
        <v>42481</v>
      </c>
      <c r="M44" s="82">
        <v>41342</v>
      </c>
      <c r="N44" s="82">
        <v>41516</v>
      </c>
      <c r="O44" s="82">
        <v>41607</v>
      </c>
      <c r="P44" s="82">
        <v>41565</v>
      </c>
      <c r="Q44" s="82">
        <v>42786</v>
      </c>
      <c r="R44" s="82">
        <v>46171</v>
      </c>
      <c r="S44" s="82">
        <v>47131</v>
      </c>
      <c r="T44" s="82">
        <v>47161</v>
      </c>
      <c r="U44" s="82">
        <v>47743</v>
      </c>
      <c r="V44" s="82">
        <v>49405</v>
      </c>
      <c r="W44" s="82">
        <v>50053</v>
      </c>
      <c r="X44" s="82">
        <v>50675</v>
      </c>
      <c r="Y44" s="82">
        <v>51715</v>
      </c>
      <c r="Z44" s="1">
        <v>51559</v>
      </c>
      <c r="AA44" s="1">
        <v>52964</v>
      </c>
      <c r="AB44" s="1">
        <v>53954</v>
      </c>
      <c r="AD44" s="1">
        <v>54957</v>
      </c>
      <c r="AE44" s="7">
        <v>54863</v>
      </c>
      <c r="AF44" s="7">
        <v>55758</v>
      </c>
    </row>
    <row r="45" spans="1:32">
      <c r="A45" s="54" t="s">
        <v>182</v>
      </c>
      <c r="B45" s="82"/>
      <c r="C45" s="82"/>
      <c r="D45" s="82"/>
      <c r="E45" s="82"/>
      <c r="F45" s="82"/>
      <c r="G45" s="82">
        <v>20237</v>
      </c>
      <c r="H45" s="82"/>
      <c r="I45" s="82"/>
      <c r="J45" s="82">
        <v>23462</v>
      </c>
      <c r="K45" s="82">
        <v>23621</v>
      </c>
      <c r="L45" s="82">
        <v>23479</v>
      </c>
      <c r="M45" s="82">
        <v>22681</v>
      </c>
      <c r="N45" s="82">
        <v>22069</v>
      </c>
      <c r="O45" s="82">
        <v>21168</v>
      </c>
      <c r="P45" s="82">
        <v>21659</v>
      </c>
      <c r="Q45" s="82">
        <v>21646</v>
      </c>
      <c r="R45" s="82">
        <v>22895</v>
      </c>
      <c r="S45" s="82">
        <v>23865</v>
      </c>
      <c r="T45" s="82">
        <v>24485</v>
      </c>
      <c r="U45" s="82">
        <v>25104</v>
      </c>
      <c r="V45" s="82">
        <v>26421</v>
      </c>
      <c r="W45" s="82">
        <v>27884</v>
      </c>
      <c r="X45" s="82">
        <v>29088</v>
      </c>
      <c r="Y45" s="82">
        <v>29537</v>
      </c>
      <c r="Z45" s="1">
        <v>30260</v>
      </c>
      <c r="AA45" s="1">
        <v>30867</v>
      </c>
      <c r="AB45" s="1">
        <v>31341</v>
      </c>
      <c r="AD45" s="1">
        <v>31345</v>
      </c>
      <c r="AE45" s="7">
        <v>30579</v>
      </c>
      <c r="AF45" s="7">
        <v>30233</v>
      </c>
    </row>
    <row r="46" spans="1:32">
      <c r="A46" s="54" t="s">
        <v>183</v>
      </c>
      <c r="B46" s="82"/>
      <c r="C46" s="82"/>
      <c r="D46" s="82"/>
      <c r="E46" s="82"/>
      <c r="F46" s="82"/>
      <c r="G46" s="82">
        <v>22590</v>
      </c>
      <c r="H46" s="82"/>
      <c r="I46" s="82"/>
      <c r="J46" s="82">
        <v>25704</v>
      </c>
      <c r="K46" s="82">
        <v>26062</v>
      </c>
      <c r="L46" s="82">
        <v>26278</v>
      </c>
      <c r="M46" s="82">
        <v>26571</v>
      </c>
      <c r="N46" s="82">
        <v>25938</v>
      </c>
      <c r="O46" s="82">
        <v>26584</v>
      </c>
      <c r="P46" s="82">
        <v>27159</v>
      </c>
      <c r="Q46" s="82">
        <v>28164</v>
      </c>
      <c r="R46" s="82">
        <v>31005</v>
      </c>
      <c r="S46" s="82">
        <v>31436</v>
      </c>
      <c r="T46" s="82">
        <v>31739</v>
      </c>
      <c r="U46" s="82">
        <v>32629</v>
      </c>
      <c r="V46" s="82">
        <v>32865</v>
      </c>
      <c r="W46" s="82">
        <v>32847</v>
      </c>
      <c r="X46" s="82">
        <v>35391</v>
      </c>
      <c r="Y46" s="82">
        <v>36380</v>
      </c>
      <c r="Z46" s="1">
        <v>37390</v>
      </c>
      <c r="AA46" s="1">
        <v>39198</v>
      </c>
      <c r="AB46" s="1">
        <v>36849</v>
      </c>
      <c r="AD46" s="1">
        <v>37883</v>
      </c>
      <c r="AE46" s="7">
        <v>38267</v>
      </c>
      <c r="AF46" s="7">
        <v>37997</v>
      </c>
    </row>
    <row r="47" spans="1:32">
      <c r="A47" s="54" t="s">
        <v>186</v>
      </c>
      <c r="B47" s="82"/>
      <c r="C47" s="82"/>
      <c r="D47" s="82"/>
      <c r="E47" s="82"/>
      <c r="F47" s="82"/>
      <c r="G47" s="82">
        <v>8322</v>
      </c>
      <c r="H47" s="82"/>
      <c r="I47" s="82"/>
      <c r="J47" s="82">
        <v>9057</v>
      </c>
      <c r="K47" s="82">
        <v>8992</v>
      </c>
      <c r="L47" s="82">
        <v>9492</v>
      </c>
      <c r="M47" s="82">
        <v>9716</v>
      </c>
      <c r="N47" s="82">
        <v>9452</v>
      </c>
      <c r="O47" s="82">
        <v>9420</v>
      </c>
      <c r="P47" s="82">
        <v>9468</v>
      </c>
      <c r="Q47" s="82">
        <v>10295</v>
      </c>
      <c r="R47" s="82">
        <v>10463</v>
      </c>
      <c r="S47" s="82">
        <v>10763</v>
      </c>
      <c r="T47" s="82">
        <v>11292</v>
      </c>
      <c r="U47" s="82">
        <v>11473</v>
      </c>
      <c r="V47" s="82">
        <v>11352</v>
      </c>
      <c r="W47" s="82">
        <v>11573</v>
      </c>
      <c r="X47" s="82">
        <v>11811</v>
      </c>
      <c r="Y47" s="82">
        <v>11778</v>
      </c>
      <c r="Z47" s="1">
        <v>12593</v>
      </c>
      <c r="AA47" s="1">
        <v>13177</v>
      </c>
      <c r="AB47" s="1">
        <v>13055</v>
      </c>
      <c r="AD47" s="1">
        <v>13116</v>
      </c>
      <c r="AE47" s="7">
        <v>13183</v>
      </c>
      <c r="AF47" s="7">
        <v>13355</v>
      </c>
    </row>
    <row r="48" spans="1:32">
      <c r="A48" s="54" t="s">
        <v>185</v>
      </c>
      <c r="B48" s="82"/>
      <c r="C48" s="82"/>
      <c r="D48" s="82"/>
      <c r="E48" s="82"/>
      <c r="F48" s="82"/>
      <c r="G48" s="82">
        <v>4156</v>
      </c>
      <c r="H48" s="82"/>
      <c r="I48" s="82"/>
      <c r="J48" s="82">
        <v>4605</v>
      </c>
      <c r="K48" s="82">
        <v>4434</v>
      </c>
      <c r="L48" s="82">
        <v>4335</v>
      </c>
      <c r="M48" s="82">
        <v>4335</v>
      </c>
      <c r="N48" s="82">
        <v>4264</v>
      </c>
      <c r="O48" s="82">
        <v>4373</v>
      </c>
      <c r="P48" s="82">
        <v>4381</v>
      </c>
      <c r="Q48" s="82">
        <v>4715</v>
      </c>
      <c r="R48" s="82">
        <v>4740</v>
      </c>
      <c r="S48" s="82">
        <v>4891</v>
      </c>
      <c r="T48" s="82">
        <v>5022</v>
      </c>
      <c r="U48" s="82">
        <v>5304</v>
      </c>
      <c r="V48" s="82">
        <v>5364</v>
      </c>
      <c r="W48" s="82">
        <v>5225</v>
      </c>
      <c r="X48" s="82">
        <v>5270</v>
      </c>
      <c r="Y48" s="82">
        <v>5207</v>
      </c>
      <c r="Z48" s="1">
        <v>5146</v>
      </c>
      <c r="AA48" s="1">
        <v>5234</v>
      </c>
      <c r="AB48" s="1">
        <v>5567</v>
      </c>
      <c r="AD48" s="1">
        <v>5846</v>
      </c>
      <c r="AE48" s="7">
        <v>5892</v>
      </c>
      <c r="AF48" s="7">
        <v>6027</v>
      </c>
    </row>
    <row r="49" spans="1:32">
      <c r="A49" s="54" t="s">
        <v>192</v>
      </c>
      <c r="B49" s="82"/>
      <c r="C49" s="82"/>
      <c r="D49" s="82"/>
      <c r="E49" s="82"/>
      <c r="F49" s="82"/>
      <c r="G49" s="82">
        <v>42653</v>
      </c>
      <c r="H49" s="82"/>
      <c r="I49" s="82"/>
      <c r="J49" s="82">
        <v>48679</v>
      </c>
      <c r="K49" s="82">
        <v>49413</v>
      </c>
      <c r="L49" s="82">
        <v>48944</v>
      </c>
      <c r="M49" s="82">
        <v>47549</v>
      </c>
      <c r="N49" s="82">
        <v>46802</v>
      </c>
      <c r="O49" s="82">
        <v>46921</v>
      </c>
      <c r="P49" s="82">
        <v>46940</v>
      </c>
      <c r="Q49" s="82">
        <v>47393</v>
      </c>
      <c r="R49" s="82">
        <v>51729</v>
      </c>
      <c r="S49" s="82">
        <v>53073</v>
      </c>
      <c r="T49" s="82">
        <v>53765</v>
      </c>
      <c r="U49" s="82">
        <v>55200</v>
      </c>
      <c r="V49" s="82">
        <v>55345</v>
      </c>
      <c r="W49" s="82">
        <v>55738</v>
      </c>
      <c r="X49" s="82">
        <v>56361</v>
      </c>
      <c r="Y49" s="82">
        <v>57319</v>
      </c>
      <c r="Z49" s="1">
        <v>59960</v>
      </c>
      <c r="AA49" s="1">
        <v>62508</v>
      </c>
      <c r="AB49" s="1">
        <v>62036</v>
      </c>
      <c r="AD49" s="1">
        <v>65018</v>
      </c>
      <c r="AE49" s="7">
        <v>65157</v>
      </c>
      <c r="AF49" s="7">
        <v>66046</v>
      </c>
    </row>
    <row r="50" spans="1:32">
      <c r="A50" s="54" t="s">
        <v>196</v>
      </c>
      <c r="B50" s="82"/>
      <c r="C50" s="82"/>
      <c r="D50" s="82"/>
      <c r="E50" s="82"/>
      <c r="F50" s="82"/>
      <c r="G50" s="82">
        <v>3608</v>
      </c>
      <c r="H50" s="82"/>
      <c r="I50" s="82"/>
      <c r="J50" s="82">
        <v>4008</v>
      </c>
      <c r="K50" s="82">
        <v>4169</v>
      </c>
      <c r="L50" s="82">
        <v>4094</v>
      </c>
      <c r="M50" s="82">
        <v>4194</v>
      </c>
      <c r="N50" s="82">
        <v>4333</v>
      </c>
      <c r="O50" s="82">
        <v>4155</v>
      </c>
      <c r="P50" s="82">
        <v>4186</v>
      </c>
      <c r="Q50" s="82">
        <v>4422</v>
      </c>
      <c r="R50" s="82">
        <v>4122</v>
      </c>
      <c r="S50" s="82">
        <v>4414</v>
      </c>
      <c r="T50" s="82">
        <v>4319</v>
      </c>
      <c r="U50" s="82">
        <v>4419</v>
      </c>
      <c r="V50" s="82">
        <v>4564</v>
      </c>
      <c r="W50" s="82">
        <v>4749</v>
      </c>
      <c r="X50" s="82">
        <v>4792</v>
      </c>
      <c r="Y50" s="82">
        <v>4764</v>
      </c>
      <c r="Z50" s="1">
        <v>5079</v>
      </c>
      <c r="AA50" s="1">
        <v>5290</v>
      </c>
      <c r="AB50" s="1">
        <v>5504</v>
      </c>
      <c r="AD50" s="1">
        <v>5528</v>
      </c>
      <c r="AE50" s="7">
        <v>5903</v>
      </c>
      <c r="AF50" s="7">
        <v>5888</v>
      </c>
    </row>
    <row r="51" spans="1:32">
      <c r="A51" s="58" t="s">
        <v>199</v>
      </c>
      <c r="B51" s="83"/>
      <c r="C51" s="83"/>
      <c r="D51" s="83"/>
      <c r="E51" s="83"/>
      <c r="F51" s="83"/>
      <c r="G51" s="83">
        <v>24748</v>
      </c>
      <c r="H51" s="83"/>
      <c r="I51" s="83"/>
      <c r="J51" s="83">
        <v>26490</v>
      </c>
      <c r="K51" s="83">
        <v>26943</v>
      </c>
      <c r="L51" s="83">
        <v>26584</v>
      </c>
      <c r="M51" s="83">
        <v>25876</v>
      </c>
      <c r="N51" s="83">
        <v>25842</v>
      </c>
      <c r="O51" s="83">
        <v>26287</v>
      </c>
      <c r="P51" s="83">
        <v>26258</v>
      </c>
      <c r="Q51" s="83">
        <v>26416</v>
      </c>
      <c r="R51" s="83">
        <v>28528</v>
      </c>
      <c r="S51" s="83">
        <v>30577</v>
      </c>
      <c r="T51" s="83">
        <v>29883</v>
      </c>
      <c r="U51" s="83">
        <v>30369</v>
      </c>
      <c r="V51" s="83">
        <v>31557</v>
      </c>
      <c r="W51" s="83">
        <v>32210</v>
      </c>
      <c r="X51" s="83">
        <v>32642</v>
      </c>
      <c r="Y51" s="83">
        <v>32426</v>
      </c>
      <c r="Z51" s="1">
        <v>33638</v>
      </c>
      <c r="AA51" s="1">
        <v>34134</v>
      </c>
      <c r="AB51" s="1">
        <v>35224</v>
      </c>
      <c r="AD51" s="1">
        <v>35995</v>
      </c>
      <c r="AE51" s="7">
        <v>35795</v>
      </c>
      <c r="AF51" s="7">
        <v>35428</v>
      </c>
    </row>
    <row r="52" spans="1:32">
      <c r="A52" s="54" t="s">
        <v>247</v>
      </c>
      <c r="B52" s="55">
        <f t="shared" ref="B52:X52" si="45">SUM(B54:B62)</f>
        <v>0</v>
      </c>
      <c r="C52" s="55">
        <f t="shared" si="45"/>
        <v>0</v>
      </c>
      <c r="D52" s="55">
        <f t="shared" si="45"/>
        <v>0</v>
      </c>
      <c r="E52" s="55">
        <f t="shared" si="45"/>
        <v>0</v>
      </c>
      <c r="F52" s="55">
        <f t="shared" si="45"/>
        <v>0</v>
      </c>
      <c r="G52" s="55">
        <f t="shared" si="45"/>
        <v>222749</v>
      </c>
      <c r="H52" s="55">
        <f t="shared" si="45"/>
        <v>0</v>
      </c>
      <c r="I52" s="55">
        <f t="shared" si="45"/>
        <v>0</v>
      </c>
      <c r="J52" s="55">
        <f t="shared" si="45"/>
        <v>256353</v>
      </c>
      <c r="K52" s="55">
        <f t="shared" si="45"/>
        <v>256756</v>
      </c>
      <c r="L52" s="55">
        <f t="shared" si="45"/>
        <v>250438</v>
      </c>
      <c r="M52" s="55">
        <f t="shared" si="45"/>
        <v>244360</v>
      </c>
      <c r="N52" s="55">
        <f t="shared" si="45"/>
        <v>243616</v>
      </c>
      <c r="O52" s="55">
        <f t="shared" si="45"/>
        <v>244146</v>
      </c>
      <c r="P52" s="55">
        <f t="shared" si="45"/>
        <v>242138</v>
      </c>
      <c r="Q52" s="55">
        <f t="shared" si="45"/>
        <v>247882</v>
      </c>
      <c r="R52" s="55">
        <f t="shared" si="45"/>
        <v>262701</v>
      </c>
      <c r="S52" s="55">
        <f t="shared" si="45"/>
        <v>269453</v>
      </c>
      <c r="T52" s="55">
        <f t="shared" si="45"/>
        <v>275628</v>
      </c>
      <c r="U52" s="55">
        <f t="shared" si="45"/>
        <v>282178</v>
      </c>
      <c r="V52" s="55">
        <f t="shared" si="45"/>
        <v>287695</v>
      </c>
      <c r="W52" s="55">
        <f t="shared" si="45"/>
        <v>294328</v>
      </c>
      <c r="X52" s="55">
        <f t="shared" si="45"/>
        <v>299836</v>
      </c>
      <c r="Y52" s="55">
        <f t="shared" ref="Y52:Z52" si="46">SUM(Y54:Y62)</f>
        <v>308728</v>
      </c>
      <c r="Z52" s="55">
        <f t="shared" si="46"/>
        <v>310511</v>
      </c>
      <c r="AA52" s="55">
        <f t="shared" ref="AA52:AB52" si="47">SUM(AA54:AA62)</f>
        <v>322533</v>
      </c>
      <c r="AB52" s="55">
        <f t="shared" si="47"/>
        <v>329705</v>
      </c>
      <c r="AC52" s="55">
        <f t="shared" ref="AC52:AF52" si="48">SUM(AC54:AC62)</f>
        <v>0</v>
      </c>
      <c r="AD52" s="55">
        <f t="shared" si="48"/>
        <v>341751</v>
      </c>
      <c r="AE52" s="55">
        <f t="shared" si="48"/>
        <v>345773</v>
      </c>
      <c r="AF52" s="55">
        <f t="shared" si="48"/>
        <v>350884</v>
      </c>
    </row>
    <row r="53" spans="1:32">
      <c r="A53" s="56" t="s">
        <v>244</v>
      </c>
      <c r="B53" s="57">
        <f t="shared" ref="B53:X53" si="49">(B52/B4)*100</f>
        <v>0</v>
      </c>
      <c r="C53" s="57">
        <f t="shared" si="49"/>
        <v>0</v>
      </c>
      <c r="D53" s="57">
        <f t="shared" si="49"/>
        <v>0</v>
      </c>
      <c r="E53" s="57">
        <f t="shared" si="49"/>
        <v>0</v>
      </c>
      <c r="F53" s="57">
        <f t="shared" si="49"/>
        <v>0</v>
      </c>
      <c r="G53" s="57">
        <f t="shared" si="49"/>
        <v>23.875463309330929</v>
      </c>
      <c r="H53" s="57">
        <f t="shared" si="49"/>
        <v>0</v>
      </c>
      <c r="I53" s="57">
        <f t="shared" si="49"/>
        <v>0</v>
      </c>
      <c r="J53" s="57">
        <f t="shared" si="49"/>
        <v>23.709408460187433</v>
      </c>
      <c r="K53" s="57">
        <f t="shared" si="49"/>
        <v>23.231611263471532</v>
      </c>
      <c r="L53" s="57">
        <f t="shared" si="49"/>
        <v>22.630260127176498</v>
      </c>
      <c r="M53" s="57">
        <f t="shared" si="49"/>
        <v>22.355957044651532</v>
      </c>
      <c r="N53" s="57">
        <f t="shared" si="49"/>
        <v>22.216811257967112</v>
      </c>
      <c r="O53" s="57">
        <f t="shared" si="49"/>
        <v>22.141789582894994</v>
      </c>
      <c r="P53" s="57">
        <f t="shared" si="49"/>
        <v>21.789559030899245</v>
      </c>
      <c r="Q53" s="57">
        <f t="shared" si="49"/>
        <v>21.491640280634098</v>
      </c>
      <c r="R53" s="57">
        <f t="shared" si="49"/>
        <v>21.284485880750616</v>
      </c>
      <c r="S53" s="57">
        <f t="shared" si="49"/>
        <v>21.169581821938653</v>
      </c>
      <c r="T53" s="57">
        <f t="shared" si="49"/>
        <v>21.144494436325559</v>
      </c>
      <c r="U53" s="57">
        <f t="shared" si="49"/>
        <v>21.136058065023537</v>
      </c>
      <c r="V53" s="57">
        <f t="shared" si="49"/>
        <v>20.787271061477057</v>
      </c>
      <c r="W53" s="57">
        <f t="shared" si="49"/>
        <v>20.753411859273804</v>
      </c>
      <c r="X53" s="57">
        <f t="shared" si="49"/>
        <v>20.675664120789854</v>
      </c>
      <c r="Y53" s="57">
        <f t="shared" ref="Y53:Z53" si="50">(Y52/Y4)*100</f>
        <v>20.786418886118664</v>
      </c>
      <c r="Z53" s="57">
        <f t="shared" si="50"/>
        <v>20.50722713805861</v>
      </c>
      <c r="AA53" s="57">
        <f t="shared" ref="AA53:AB53" si="51">(AA52/AA4)*100</f>
        <v>20.208353435193899</v>
      </c>
      <c r="AB53" s="57">
        <f t="shared" si="51"/>
        <v>20.057671775810096</v>
      </c>
      <c r="AC53" s="57" t="e">
        <f t="shared" ref="AC53:AF53" si="52">(AC52/AC4)*100</f>
        <v>#DIV/0!</v>
      </c>
      <c r="AD53" s="57">
        <f t="shared" si="52"/>
        <v>20.193920155807383</v>
      </c>
      <c r="AE53" s="57">
        <f t="shared" si="52"/>
        <v>20.106050544673458</v>
      </c>
      <c r="AF53" s="57">
        <f t="shared" si="52"/>
        <v>20.060051407297642</v>
      </c>
    </row>
    <row r="54" spans="1:32">
      <c r="A54" s="54" t="s">
        <v>171</v>
      </c>
      <c r="B54" s="82"/>
      <c r="C54" s="82"/>
      <c r="D54" s="82"/>
      <c r="E54" s="82"/>
      <c r="F54" s="82"/>
      <c r="G54" s="82">
        <v>13102</v>
      </c>
      <c r="H54" s="82"/>
      <c r="I54" s="82"/>
      <c r="J54" s="82">
        <v>14067</v>
      </c>
      <c r="K54" s="82">
        <v>13985</v>
      </c>
      <c r="L54" s="82">
        <v>13152</v>
      </c>
      <c r="M54" s="82">
        <v>13186</v>
      </c>
      <c r="N54" s="82">
        <v>12606</v>
      </c>
      <c r="O54" s="82">
        <v>12354</v>
      </c>
      <c r="P54" s="82">
        <v>12568</v>
      </c>
      <c r="Q54" s="82">
        <v>14161</v>
      </c>
      <c r="R54" s="82">
        <v>14374</v>
      </c>
      <c r="S54" s="82">
        <v>15128</v>
      </c>
      <c r="T54" s="82">
        <v>14881</v>
      </c>
      <c r="U54" s="82">
        <v>15297</v>
      </c>
      <c r="V54" s="82">
        <v>16233</v>
      </c>
      <c r="W54" s="82">
        <v>16654</v>
      </c>
      <c r="X54" s="82">
        <v>17016</v>
      </c>
      <c r="Y54" s="82">
        <v>17260</v>
      </c>
      <c r="Z54" s="1">
        <v>16550</v>
      </c>
      <c r="AA54" s="1">
        <v>17806</v>
      </c>
      <c r="AB54" s="1">
        <v>18611</v>
      </c>
      <c r="AD54" s="1">
        <v>19422</v>
      </c>
      <c r="AE54" s="7">
        <v>19409</v>
      </c>
      <c r="AF54" s="7">
        <v>20188</v>
      </c>
    </row>
    <row r="55" spans="1:32">
      <c r="A55" s="54" t="s">
        <v>180</v>
      </c>
      <c r="B55" s="82"/>
      <c r="C55" s="82"/>
      <c r="D55" s="82"/>
      <c r="E55" s="82"/>
      <c r="F55" s="82"/>
      <c r="G55" s="82">
        <v>5039</v>
      </c>
      <c r="H55" s="82"/>
      <c r="I55" s="82"/>
      <c r="J55" s="82">
        <v>5459</v>
      </c>
      <c r="K55" s="82">
        <v>5599</v>
      </c>
      <c r="L55" s="82">
        <v>5411</v>
      </c>
      <c r="M55" s="82">
        <v>4920</v>
      </c>
      <c r="N55" s="82">
        <v>4511</v>
      </c>
      <c r="O55" s="82">
        <v>5154</v>
      </c>
      <c r="P55" s="82">
        <v>4974</v>
      </c>
      <c r="Q55" s="82">
        <v>5151</v>
      </c>
      <c r="R55" s="82">
        <v>5637</v>
      </c>
      <c r="S55" s="82">
        <v>5480</v>
      </c>
      <c r="T55" s="82">
        <v>5773</v>
      </c>
      <c r="U55" s="82">
        <v>5866</v>
      </c>
      <c r="V55" s="82">
        <v>6280</v>
      </c>
      <c r="W55" s="82">
        <v>6467</v>
      </c>
      <c r="X55" s="82">
        <v>6103</v>
      </c>
      <c r="Y55" s="82">
        <v>6115</v>
      </c>
      <c r="Z55" s="1">
        <v>6421</v>
      </c>
      <c r="AA55" s="1">
        <v>6803</v>
      </c>
      <c r="AB55" s="1">
        <v>6484</v>
      </c>
      <c r="AD55" s="1">
        <v>6642</v>
      </c>
      <c r="AE55" s="7">
        <v>6810</v>
      </c>
      <c r="AF55" s="7">
        <v>6800</v>
      </c>
    </row>
    <row r="56" spans="1:32">
      <c r="A56" s="54" t="s">
        <v>179</v>
      </c>
      <c r="B56" s="82"/>
      <c r="C56" s="82"/>
      <c r="D56" s="82"/>
      <c r="E56" s="82"/>
      <c r="F56" s="82"/>
      <c r="G56" s="82">
        <v>36446</v>
      </c>
      <c r="H56" s="82"/>
      <c r="I56" s="82"/>
      <c r="J56" s="82">
        <v>40425</v>
      </c>
      <c r="K56" s="82">
        <v>38285</v>
      </c>
      <c r="L56" s="82">
        <v>37930</v>
      </c>
      <c r="M56" s="82">
        <v>35865</v>
      </c>
      <c r="N56" s="82">
        <v>35910</v>
      </c>
      <c r="O56" s="82">
        <v>35545</v>
      </c>
      <c r="P56" s="82">
        <v>35645</v>
      </c>
      <c r="Q56" s="82">
        <v>36363</v>
      </c>
      <c r="R56" s="82">
        <v>37469</v>
      </c>
      <c r="S56" s="82">
        <v>37778</v>
      </c>
      <c r="T56" s="82">
        <v>38244</v>
      </c>
      <c r="U56" s="82">
        <v>39613</v>
      </c>
      <c r="V56" s="82">
        <v>40217</v>
      </c>
      <c r="W56" s="82">
        <v>41816</v>
      </c>
      <c r="X56" s="82">
        <v>42353</v>
      </c>
      <c r="Y56" s="82">
        <v>44363</v>
      </c>
      <c r="Z56" s="1">
        <v>46333</v>
      </c>
      <c r="AA56" s="1">
        <v>47112</v>
      </c>
      <c r="AB56" s="1">
        <v>48333</v>
      </c>
      <c r="AD56" s="1">
        <v>50777</v>
      </c>
      <c r="AE56" s="7">
        <v>52077</v>
      </c>
      <c r="AF56" s="7">
        <v>52181</v>
      </c>
    </row>
    <row r="57" spans="1:32">
      <c r="A57" s="54" t="s">
        <v>187</v>
      </c>
      <c r="B57" s="82"/>
      <c r="C57" s="82"/>
      <c r="D57" s="82"/>
      <c r="E57" s="82"/>
      <c r="F57" s="82"/>
      <c r="G57" s="82">
        <v>6623</v>
      </c>
      <c r="H57" s="82"/>
      <c r="I57" s="82"/>
      <c r="J57" s="82">
        <v>6657</v>
      </c>
      <c r="K57" s="82">
        <v>6840</v>
      </c>
      <c r="L57" s="82">
        <v>6943</v>
      </c>
      <c r="M57" s="82">
        <v>6589</v>
      </c>
      <c r="N57" s="82">
        <v>6521</v>
      </c>
      <c r="O57" s="82">
        <v>6916</v>
      </c>
      <c r="P57" s="82">
        <v>6749</v>
      </c>
      <c r="Q57" s="82">
        <v>6936</v>
      </c>
      <c r="R57" s="82">
        <v>6640</v>
      </c>
      <c r="S57" s="82">
        <v>6876</v>
      </c>
      <c r="T57" s="82">
        <v>7030</v>
      </c>
      <c r="U57" s="82">
        <v>6906</v>
      </c>
      <c r="V57" s="82">
        <v>7108</v>
      </c>
      <c r="W57" s="82">
        <v>7079</v>
      </c>
      <c r="X57" s="82">
        <v>7517</v>
      </c>
      <c r="Y57" s="82">
        <v>7988</v>
      </c>
      <c r="Z57" s="1">
        <v>7992</v>
      </c>
      <c r="AA57" s="1">
        <v>7917</v>
      </c>
      <c r="AB57" s="1">
        <v>8181</v>
      </c>
      <c r="AD57" s="1">
        <v>8508</v>
      </c>
      <c r="AE57" s="7">
        <v>8568</v>
      </c>
      <c r="AF57" s="7">
        <v>10769</v>
      </c>
    </row>
    <row r="58" spans="1:32">
      <c r="A58" s="54" t="s">
        <v>188</v>
      </c>
      <c r="B58" s="82"/>
      <c r="C58" s="82"/>
      <c r="D58" s="82"/>
      <c r="E58" s="82"/>
      <c r="F58" s="82"/>
      <c r="G58" s="82">
        <v>22487</v>
      </c>
      <c r="H58" s="82"/>
      <c r="I58" s="82"/>
      <c r="J58" s="82">
        <v>22957</v>
      </c>
      <c r="K58" s="82">
        <v>23694</v>
      </c>
      <c r="L58" s="82">
        <v>23666</v>
      </c>
      <c r="M58" s="82">
        <v>22976</v>
      </c>
      <c r="N58" s="82">
        <v>23126</v>
      </c>
      <c r="O58" s="82">
        <v>23240</v>
      </c>
      <c r="P58" s="82">
        <v>23358</v>
      </c>
      <c r="Q58" s="82">
        <v>24662</v>
      </c>
      <c r="R58" s="82">
        <v>26405</v>
      </c>
      <c r="S58" s="82">
        <v>27616</v>
      </c>
      <c r="T58" s="82">
        <v>29084</v>
      </c>
      <c r="U58" s="82">
        <v>29353</v>
      </c>
      <c r="V58" s="82">
        <v>30008</v>
      </c>
      <c r="W58" s="82">
        <v>30599</v>
      </c>
      <c r="X58" s="82">
        <v>31662</v>
      </c>
      <c r="Y58" s="82">
        <v>33022</v>
      </c>
      <c r="Z58" s="1">
        <v>33921</v>
      </c>
      <c r="AA58" s="1">
        <v>36502</v>
      </c>
      <c r="AB58" s="1">
        <v>36864</v>
      </c>
      <c r="AD58" s="1">
        <v>38502</v>
      </c>
      <c r="AE58" s="7">
        <v>39011</v>
      </c>
      <c r="AF58" s="7">
        <v>39840</v>
      </c>
    </row>
    <row r="59" spans="1:32">
      <c r="A59" s="54" t="s">
        <v>191</v>
      </c>
      <c r="B59" s="82"/>
      <c r="C59" s="82"/>
      <c r="D59" s="82"/>
      <c r="E59" s="82"/>
      <c r="F59" s="82"/>
      <c r="G59" s="82">
        <v>71554</v>
      </c>
      <c r="H59" s="82"/>
      <c r="I59" s="82"/>
      <c r="J59" s="82">
        <v>90283</v>
      </c>
      <c r="K59" s="82">
        <v>91185</v>
      </c>
      <c r="L59" s="82">
        <v>87245</v>
      </c>
      <c r="M59" s="82">
        <v>86571</v>
      </c>
      <c r="N59" s="82">
        <v>88249</v>
      </c>
      <c r="O59" s="82">
        <v>88305</v>
      </c>
      <c r="P59" s="82">
        <v>85255</v>
      </c>
      <c r="Q59" s="82">
        <v>84659</v>
      </c>
      <c r="R59" s="82">
        <v>91975</v>
      </c>
      <c r="S59" s="82">
        <v>93765</v>
      </c>
      <c r="T59" s="82">
        <v>95181</v>
      </c>
      <c r="U59" s="82">
        <v>97658</v>
      </c>
      <c r="V59" s="82">
        <v>99141</v>
      </c>
      <c r="W59" s="82">
        <v>102165</v>
      </c>
      <c r="X59" s="82">
        <v>102951</v>
      </c>
      <c r="Y59" s="82">
        <v>105432</v>
      </c>
      <c r="Z59" s="1">
        <v>103743</v>
      </c>
      <c r="AA59" s="1">
        <v>108842</v>
      </c>
      <c r="AB59" s="1">
        <v>113470</v>
      </c>
      <c r="AD59" s="1">
        <v>117286</v>
      </c>
      <c r="AE59" s="7">
        <v>119858</v>
      </c>
      <c r="AF59" s="7">
        <v>120566</v>
      </c>
    </row>
    <row r="60" spans="1:32">
      <c r="A60" s="54" t="s">
        <v>194</v>
      </c>
      <c r="B60" s="82"/>
      <c r="C60" s="82"/>
      <c r="D60" s="82"/>
      <c r="E60" s="82"/>
      <c r="F60" s="82"/>
      <c r="G60" s="82">
        <v>56400</v>
      </c>
      <c r="H60" s="82"/>
      <c r="I60" s="82"/>
      <c r="J60" s="82">
        <v>63359</v>
      </c>
      <c r="K60" s="82">
        <v>63865</v>
      </c>
      <c r="L60" s="82">
        <v>63053</v>
      </c>
      <c r="M60" s="82">
        <v>61588</v>
      </c>
      <c r="N60" s="82">
        <v>60444</v>
      </c>
      <c r="O60" s="82">
        <v>61092</v>
      </c>
      <c r="P60" s="82">
        <v>62137</v>
      </c>
      <c r="Q60" s="82">
        <v>63891</v>
      </c>
      <c r="R60" s="82">
        <v>68241</v>
      </c>
      <c r="S60" s="82">
        <v>70565</v>
      </c>
      <c r="T60" s="82">
        <v>72735</v>
      </c>
      <c r="U60" s="82">
        <v>74429</v>
      </c>
      <c r="V60" s="82">
        <v>75307</v>
      </c>
      <c r="W60" s="82">
        <v>75884</v>
      </c>
      <c r="X60" s="82">
        <v>78317</v>
      </c>
      <c r="Y60" s="82">
        <v>80225</v>
      </c>
      <c r="Z60" s="1">
        <v>81017</v>
      </c>
      <c r="AA60" s="1">
        <v>82859</v>
      </c>
      <c r="AB60" s="1">
        <v>83102</v>
      </c>
      <c r="AD60" s="1">
        <v>85087</v>
      </c>
      <c r="AE60" s="7">
        <v>84093</v>
      </c>
      <c r="AF60" s="7">
        <v>84195</v>
      </c>
    </row>
    <row r="61" spans="1:32">
      <c r="A61" s="54" t="s">
        <v>195</v>
      </c>
      <c r="B61" s="82"/>
      <c r="C61" s="82"/>
      <c r="D61" s="82"/>
      <c r="E61" s="82"/>
      <c r="F61" s="82"/>
      <c r="G61" s="82">
        <v>7176</v>
      </c>
      <c r="H61" s="82"/>
      <c r="I61" s="82"/>
      <c r="J61" s="82">
        <v>8740</v>
      </c>
      <c r="K61" s="82">
        <v>8731</v>
      </c>
      <c r="L61" s="82">
        <v>8584</v>
      </c>
      <c r="M61" s="82">
        <v>8337</v>
      </c>
      <c r="N61" s="82">
        <v>8011</v>
      </c>
      <c r="O61" s="82">
        <v>7665</v>
      </c>
      <c r="P61" s="82">
        <v>7482</v>
      </c>
      <c r="Q61" s="82">
        <v>7592</v>
      </c>
      <c r="R61" s="82">
        <v>7882</v>
      </c>
      <c r="S61" s="82">
        <v>7984</v>
      </c>
      <c r="T61" s="82">
        <v>8190</v>
      </c>
      <c r="U61" s="82">
        <v>8471</v>
      </c>
      <c r="V61" s="82">
        <v>8663</v>
      </c>
      <c r="W61" s="82">
        <v>8744</v>
      </c>
      <c r="X61" s="82">
        <v>8609</v>
      </c>
      <c r="Y61" s="82">
        <v>8882</v>
      </c>
      <c r="Z61" s="1">
        <v>8963</v>
      </c>
      <c r="AA61" s="1">
        <v>8947</v>
      </c>
      <c r="AB61" s="1">
        <v>8962</v>
      </c>
      <c r="AD61" s="1">
        <v>9850</v>
      </c>
      <c r="AE61" s="7">
        <v>10246</v>
      </c>
      <c r="AF61" s="7">
        <v>10452</v>
      </c>
    </row>
    <row r="62" spans="1:32">
      <c r="A62" s="58" t="s">
        <v>198</v>
      </c>
      <c r="B62" s="83"/>
      <c r="C62" s="83"/>
      <c r="D62" s="83"/>
      <c r="E62" s="83"/>
      <c r="F62" s="83"/>
      <c r="G62" s="83">
        <v>3922</v>
      </c>
      <c r="H62" s="83"/>
      <c r="I62" s="83"/>
      <c r="J62" s="83">
        <v>4406</v>
      </c>
      <c r="K62" s="83">
        <v>4572</v>
      </c>
      <c r="L62" s="83">
        <v>4454</v>
      </c>
      <c r="M62" s="83">
        <v>4328</v>
      </c>
      <c r="N62" s="83">
        <v>4238</v>
      </c>
      <c r="O62" s="83">
        <v>3875</v>
      </c>
      <c r="P62" s="83">
        <v>3970</v>
      </c>
      <c r="Q62" s="83">
        <v>4467</v>
      </c>
      <c r="R62" s="83">
        <v>4078</v>
      </c>
      <c r="S62" s="83">
        <v>4261</v>
      </c>
      <c r="T62" s="83">
        <v>4510</v>
      </c>
      <c r="U62" s="83">
        <v>4585</v>
      </c>
      <c r="V62" s="83">
        <v>4738</v>
      </c>
      <c r="W62" s="83">
        <v>4920</v>
      </c>
      <c r="X62" s="83">
        <v>5308</v>
      </c>
      <c r="Y62" s="83">
        <v>5441</v>
      </c>
      <c r="Z62" s="1">
        <v>5571</v>
      </c>
      <c r="AA62" s="5">
        <v>5745</v>
      </c>
      <c r="AB62" s="1">
        <v>5698</v>
      </c>
      <c r="AD62" s="1">
        <v>5677</v>
      </c>
      <c r="AE62" s="7">
        <v>5701</v>
      </c>
      <c r="AF62" s="7">
        <v>5893</v>
      </c>
    </row>
    <row r="63" spans="1:32">
      <c r="A63" s="59" t="s">
        <v>172</v>
      </c>
      <c r="B63" s="60"/>
      <c r="C63" s="60"/>
      <c r="D63" s="60"/>
      <c r="E63" s="60"/>
      <c r="F63" s="60"/>
      <c r="G63" s="60">
        <v>6013</v>
      </c>
      <c r="H63" s="60"/>
      <c r="I63" s="60"/>
      <c r="J63" s="60">
        <v>7339</v>
      </c>
      <c r="K63" s="60">
        <v>7221</v>
      </c>
      <c r="L63" s="60">
        <v>6412</v>
      </c>
      <c r="M63" s="60">
        <v>6184</v>
      </c>
      <c r="N63" s="60">
        <v>6210</v>
      </c>
      <c r="O63" s="60">
        <v>6273</v>
      </c>
      <c r="P63" s="60">
        <v>6421</v>
      </c>
      <c r="Q63" s="60">
        <v>5751</v>
      </c>
      <c r="R63" s="60">
        <v>7634</v>
      </c>
      <c r="S63" s="60">
        <v>8169</v>
      </c>
      <c r="T63" s="60">
        <v>7931</v>
      </c>
      <c r="U63" s="60">
        <v>8710</v>
      </c>
      <c r="V63" s="60">
        <v>8799</v>
      </c>
      <c r="W63" s="60">
        <v>9416</v>
      </c>
      <c r="X63" s="60">
        <v>9495</v>
      </c>
      <c r="Y63" s="60">
        <v>7524</v>
      </c>
      <c r="Z63" s="60">
        <v>7047</v>
      </c>
      <c r="AA63" s="5">
        <v>7672</v>
      </c>
      <c r="AB63" s="66">
        <v>7956</v>
      </c>
      <c r="AC63" s="66"/>
      <c r="AD63" s="66">
        <v>8242</v>
      </c>
      <c r="AE63" s="91">
        <v>8231</v>
      </c>
      <c r="AF63" s="91">
        <v>8311</v>
      </c>
    </row>
    <row r="64" spans="1:32">
      <c r="B64" s="10"/>
      <c r="AE64" s="7"/>
      <c r="AF64" s="7"/>
    </row>
    <row r="65" spans="2:25">
      <c r="B65" s="10" t="s">
        <v>152</v>
      </c>
      <c r="C65" s="1" t="s">
        <v>152</v>
      </c>
      <c r="D65" s="1" t="s">
        <v>152</v>
      </c>
      <c r="E65" s="1" t="s">
        <v>29</v>
      </c>
      <c r="F65" s="1" t="s">
        <v>29</v>
      </c>
      <c r="G65" s="1" t="s">
        <v>108</v>
      </c>
      <c r="H65" s="1" t="s">
        <v>29</v>
      </c>
      <c r="I65" s="1" t="s">
        <v>29</v>
      </c>
      <c r="J65" s="1" t="s">
        <v>108</v>
      </c>
      <c r="K65" s="1" t="s">
        <v>108</v>
      </c>
      <c r="L65" s="1" t="s">
        <v>108</v>
      </c>
      <c r="M65" s="1" t="s">
        <v>108</v>
      </c>
      <c r="N65" s="1" t="s">
        <v>108</v>
      </c>
      <c r="O65" s="1" t="s">
        <v>108</v>
      </c>
      <c r="P65" s="1" t="s">
        <v>108</v>
      </c>
      <c r="Q65" s="1" t="s">
        <v>108</v>
      </c>
      <c r="R65" s="1" t="s">
        <v>81</v>
      </c>
      <c r="X65" s="3"/>
      <c r="Y65" s="3"/>
    </row>
    <row r="66" spans="2:25">
      <c r="B66" s="10" t="s">
        <v>150</v>
      </c>
      <c r="C66" s="1" t="s">
        <v>150</v>
      </c>
      <c r="D66" s="1" t="s">
        <v>150</v>
      </c>
      <c r="E66" s="1" t="s">
        <v>149</v>
      </c>
      <c r="F66" s="1" t="s">
        <v>149</v>
      </c>
      <c r="G66" s="1" t="s">
        <v>29</v>
      </c>
      <c r="H66" s="1" t="s">
        <v>149</v>
      </c>
      <c r="I66" s="1" t="s">
        <v>149</v>
      </c>
      <c r="J66" s="1" t="s">
        <v>29</v>
      </c>
      <c r="K66" s="1" t="s">
        <v>29</v>
      </c>
      <c r="L66" s="1" t="s">
        <v>29</v>
      </c>
      <c r="M66" s="1" t="s">
        <v>29</v>
      </c>
      <c r="N66" s="1" t="s">
        <v>29</v>
      </c>
      <c r="O66" s="1" t="s">
        <v>29</v>
      </c>
      <c r="P66" s="1" t="s">
        <v>29</v>
      </c>
      <c r="Q66" s="1" t="s">
        <v>29</v>
      </c>
      <c r="R66" s="1" t="s">
        <v>211</v>
      </c>
    </row>
    <row r="67" spans="2:25">
      <c r="B67" s="10" t="s">
        <v>147</v>
      </c>
      <c r="C67" s="1" t="s">
        <v>147</v>
      </c>
      <c r="D67" s="1" t="s">
        <v>147</v>
      </c>
      <c r="E67" s="1" t="s">
        <v>146</v>
      </c>
      <c r="F67" s="1" t="s">
        <v>146</v>
      </c>
      <c r="G67" s="1" t="s">
        <v>32</v>
      </c>
      <c r="H67" s="1" t="s">
        <v>146</v>
      </c>
      <c r="I67" s="1" t="s">
        <v>146</v>
      </c>
      <c r="J67" s="1" t="s">
        <v>32</v>
      </c>
      <c r="K67" s="1" t="s">
        <v>32</v>
      </c>
      <c r="L67" s="1" t="s">
        <v>32</v>
      </c>
      <c r="M67" s="1" t="s">
        <v>32</v>
      </c>
      <c r="N67" s="1" t="s">
        <v>32</v>
      </c>
      <c r="O67" s="1" t="s">
        <v>32</v>
      </c>
      <c r="P67" s="1" t="s">
        <v>32</v>
      </c>
      <c r="Q67" s="1" t="s">
        <v>32</v>
      </c>
      <c r="R67" s="1" t="s">
        <v>212</v>
      </c>
    </row>
    <row r="68" spans="2:25">
      <c r="B68" s="10" t="s">
        <v>144</v>
      </c>
      <c r="C68" s="1" t="s">
        <v>144</v>
      </c>
      <c r="D68" s="1" t="s">
        <v>144</v>
      </c>
      <c r="E68" s="1" t="s">
        <v>143</v>
      </c>
      <c r="F68" s="1" t="s">
        <v>143</v>
      </c>
      <c r="G68" s="1" t="s">
        <v>109</v>
      </c>
      <c r="H68" s="1" t="s">
        <v>143</v>
      </c>
      <c r="I68" s="1" t="s">
        <v>143</v>
      </c>
      <c r="J68" s="1" t="s">
        <v>109</v>
      </c>
      <c r="K68" s="1" t="s">
        <v>109</v>
      </c>
      <c r="L68" s="1" t="s">
        <v>109</v>
      </c>
      <c r="M68" s="1" t="s">
        <v>109</v>
      </c>
      <c r="N68" s="1" t="s">
        <v>109</v>
      </c>
      <c r="O68" s="1" t="s">
        <v>109</v>
      </c>
      <c r="P68" s="1" t="s">
        <v>109</v>
      </c>
      <c r="Q68" s="1" t="s">
        <v>109</v>
      </c>
      <c r="R68" s="1" t="s">
        <v>213</v>
      </c>
    </row>
    <row r="69" spans="2:25">
      <c r="B69" s="10" t="s">
        <v>141</v>
      </c>
      <c r="C69" s="1" t="s">
        <v>141</v>
      </c>
      <c r="D69" s="1" t="s">
        <v>141</v>
      </c>
      <c r="E69" s="1" t="s">
        <v>140</v>
      </c>
      <c r="F69" s="1" t="s">
        <v>140</v>
      </c>
      <c r="G69" s="1" t="s">
        <v>110</v>
      </c>
      <c r="H69" s="1" t="s">
        <v>140</v>
      </c>
      <c r="I69" s="1" t="s">
        <v>140</v>
      </c>
      <c r="J69" s="1" t="s">
        <v>110</v>
      </c>
      <c r="K69" s="1" t="s">
        <v>110</v>
      </c>
      <c r="L69" s="1" t="s">
        <v>110</v>
      </c>
      <c r="M69" s="1" t="s">
        <v>110</v>
      </c>
      <c r="N69" s="1" t="s">
        <v>110</v>
      </c>
      <c r="O69" s="1" t="s">
        <v>110</v>
      </c>
      <c r="P69" s="1" t="s">
        <v>110</v>
      </c>
      <c r="Q69" s="1" t="s">
        <v>110</v>
      </c>
      <c r="R69" s="1" t="s">
        <v>41</v>
      </c>
    </row>
    <row r="70" spans="2:25">
      <c r="B70" s="10" t="s">
        <v>138</v>
      </c>
      <c r="C70" s="1" t="s">
        <v>137</v>
      </c>
      <c r="D70" s="1" t="s">
        <v>137</v>
      </c>
      <c r="E70" s="1" t="s">
        <v>136</v>
      </c>
      <c r="F70" s="1" t="s">
        <v>135</v>
      </c>
      <c r="G70" s="1" t="s">
        <v>111</v>
      </c>
      <c r="H70" s="1" t="s">
        <v>134</v>
      </c>
      <c r="I70" s="1" t="s">
        <v>133</v>
      </c>
      <c r="J70" s="1" t="s">
        <v>111</v>
      </c>
      <c r="K70" s="1" t="s">
        <v>111</v>
      </c>
      <c r="L70" s="1" t="s">
        <v>111</v>
      </c>
      <c r="M70" s="1" t="s">
        <v>111</v>
      </c>
      <c r="N70" s="1" t="s">
        <v>111</v>
      </c>
      <c r="O70" s="1" t="s">
        <v>111</v>
      </c>
      <c r="P70" s="1" t="s">
        <v>111</v>
      </c>
      <c r="Q70" s="1" t="s">
        <v>111</v>
      </c>
      <c r="R70" s="1" t="s">
        <v>214</v>
      </c>
    </row>
    <row r="71" spans="2:25">
      <c r="B71" s="10" t="s">
        <v>127</v>
      </c>
      <c r="C71" s="3" t="s">
        <v>132</v>
      </c>
      <c r="D71" s="3" t="s">
        <v>132</v>
      </c>
      <c r="G71" s="1" t="s">
        <v>112</v>
      </c>
      <c r="J71" s="1" t="s">
        <v>112</v>
      </c>
      <c r="K71" s="1" t="s">
        <v>112</v>
      </c>
      <c r="L71" s="1" t="s">
        <v>112</v>
      </c>
      <c r="M71" s="1" t="s">
        <v>112</v>
      </c>
      <c r="N71" s="1" t="s">
        <v>112</v>
      </c>
      <c r="O71" s="1" t="s">
        <v>112</v>
      </c>
      <c r="P71" s="1" t="s">
        <v>112</v>
      </c>
      <c r="Q71" s="1" t="s">
        <v>112</v>
      </c>
      <c r="R71" s="1" t="s">
        <v>215</v>
      </c>
    </row>
    <row r="72" spans="2:25">
      <c r="B72" s="28" t="s">
        <v>131</v>
      </c>
      <c r="C72" s="3" t="s">
        <v>130</v>
      </c>
      <c r="D72" s="3" t="s">
        <v>129</v>
      </c>
      <c r="G72" s="1" t="s">
        <v>69</v>
      </c>
      <c r="J72" s="1" t="s">
        <v>9</v>
      </c>
      <c r="K72" s="1" t="s">
        <v>74</v>
      </c>
      <c r="L72" s="1" t="s">
        <v>10</v>
      </c>
      <c r="M72" s="1" t="s">
        <v>75</v>
      </c>
      <c r="N72" s="1" t="s">
        <v>56</v>
      </c>
      <c r="O72" s="1" t="s">
        <v>58</v>
      </c>
      <c r="P72" s="1" t="s">
        <v>164</v>
      </c>
      <c r="Q72" s="1" t="s">
        <v>202</v>
      </c>
      <c r="R72" s="1" t="s">
        <v>46</v>
      </c>
    </row>
    <row r="73" spans="2:25">
      <c r="B73" s="10" t="s">
        <v>128</v>
      </c>
      <c r="C73" s="1" t="s">
        <v>127</v>
      </c>
      <c r="D73" s="1" t="s">
        <v>127</v>
      </c>
      <c r="R73" s="1" t="s">
        <v>216</v>
      </c>
    </row>
    <row r="74" spans="2:25">
      <c r="B74" s="10" t="s">
        <v>120</v>
      </c>
      <c r="C74" s="17" t="s">
        <v>126</v>
      </c>
      <c r="D74" s="17" t="s">
        <v>125</v>
      </c>
      <c r="R74" s="1" t="s">
        <v>217</v>
      </c>
    </row>
    <row r="75" spans="2:25">
      <c r="B75" s="10" t="s">
        <v>124</v>
      </c>
      <c r="R75" s="1" t="s">
        <v>218</v>
      </c>
    </row>
    <row r="76" spans="2:25">
      <c r="B76" s="10" t="s">
        <v>123</v>
      </c>
    </row>
    <row r="77" spans="2:25">
      <c r="B77" s="10" t="s">
        <v>122</v>
      </c>
    </row>
    <row r="78" spans="2:25">
      <c r="B78" s="10" t="s">
        <v>121</v>
      </c>
    </row>
    <row r="79" spans="2:25">
      <c r="B79" s="10" t="s">
        <v>120</v>
      </c>
    </row>
    <row r="80" spans="2:25">
      <c r="B80" s="10" t="s">
        <v>119</v>
      </c>
    </row>
    <row r="81" spans="2:2">
      <c r="B81" s="10" t="s">
        <v>118</v>
      </c>
    </row>
    <row r="82" spans="2:2">
      <c r="B82" s="10" t="s">
        <v>117</v>
      </c>
    </row>
    <row r="83" spans="2:2">
      <c r="B83" s="10" t="s">
        <v>116</v>
      </c>
    </row>
    <row r="84" spans="2:2">
      <c r="B84" s="10" t="s">
        <v>115</v>
      </c>
    </row>
    <row r="85" spans="2:2">
      <c r="B85" s="10" t="s">
        <v>114</v>
      </c>
    </row>
    <row r="86" spans="2:2">
      <c r="B86" s="10" t="s">
        <v>113</v>
      </c>
    </row>
  </sheetData>
  <phoneticPr fontId="0" type="noConversion"/>
  <hyperlinks>
    <hyperlink ref="R75" r:id="rId1" display="www.nces.ed.gov" xr:uid="{00000000-0004-0000-0500-000000000000}"/>
  </hyperlinks>
  <pageMargins left="0.75" right="0.75" top="1" bottom="1" header="0.5" footer="0.5"/>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62"/>
  </sheetPr>
  <dimension ref="A1:P75"/>
  <sheetViews>
    <sheetView zoomScale="90" zoomScaleNormal="90" workbookViewId="0">
      <selection activeCell="P14" sqref="P14"/>
    </sheetView>
  </sheetViews>
  <sheetFormatPr defaultRowHeight="12.75"/>
  <cols>
    <col min="1" max="1" width="24.7109375" style="1" customWidth="1"/>
    <col min="2" max="9" width="10.85546875" style="1" customWidth="1"/>
    <col min="10" max="10" width="9.85546875" style="1" bestFit="1" customWidth="1"/>
    <col min="11" max="14" width="9.5703125" style="1" customWidth="1"/>
    <col min="15" max="16" width="9.85546875" style="1" customWidth="1"/>
    <col min="17" max="16384" width="9.140625" style="1"/>
  </cols>
  <sheetData>
    <row r="1" spans="1:16">
      <c r="A1" s="6" t="s">
        <v>157</v>
      </c>
      <c r="B1" s="6"/>
      <c r="C1" s="6"/>
      <c r="D1" s="6"/>
      <c r="E1" s="6"/>
      <c r="F1" s="6"/>
      <c r="G1" s="6"/>
      <c r="H1" s="6"/>
      <c r="I1" s="6"/>
    </row>
    <row r="2" spans="1:16">
      <c r="A2" s="5"/>
      <c r="B2" s="1" t="s">
        <v>223</v>
      </c>
    </row>
    <row r="3" spans="1:16">
      <c r="B3" s="13" t="s">
        <v>75</v>
      </c>
      <c r="C3" s="13" t="s">
        <v>58</v>
      </c>
      <c r="D3" s="13" t="s">
        <v>222</v>
      </c>
      <c r="E3" s="63" t="s">
        <v>227</v>
      </c>
      <c r="F3" s="13" t="s">
        <v>236</v>
      </c>
      <c r="G3" s="13" t="s">
        <v>240</v>
      </c>
      <c r="H3" s="13" t="s">
        <v>242</v>
      </c>
      <c r="I3" s="13" t="s">
        <v>258</v>
      </c>
      <c r="J3" s="63" t="s">
        <v>259</v>
      </c>
      <c r="K3" s="63" t="s">
        <v>262</v>
      </c>
      <c r="L3" s="63" t="s">
        <v>263</v>
      </c>
      <c r="M3" s="63" t="s">
        <v>265</v>
      </c>
      <c r="N3" s="63" t="s">
        <v>266</v>
      </c>
      <c r="O3" s="198" t="s">
        <v>269</v>
      </c>
      <c r="P3" s="198" t="s">
        <v>270</v>
      </c>
    </row>
    <row r="4" spans="1:16">
      <c r="A4" s="52" t="s">
        <v>248</v>
      </c>
      <c r="B4" s="53">
        <f t="shared" ref="B4:H4" si="0">B5+B23+B38+B52+B63</f>
        <v>0</v>
      </c>
      <c r="C4" s="53">
        <f t="shared" si="0"/>
        <v>0</v>
      </c>
      <c r="D4" s="53">
        <f t="shared" si="0"/>
        <v>0</v>
      </c>
      <c r="E4" s="53">
        <f t="shared" ref="E4" si="1">E5+E23+E38+E52+E63</f>
        <v>998524</v>
      </c>
      <c r="F4" s="53">
        <f t="shared" si="0"/>
        <v>0</v>
      </c>
      <c r="G4" s="53">
        <f t="shared" si="0"/>
        <v>0</v>
      </c>
      <c r="H4" s="53">
        <f t="shared" si="0"/>
        <v>1066239</v>
      </c>
      <c r="I4" s="53">
        <f t="shared" ref="I4:J4" si="2">I5+I23+I38+I52+I63</f>
        <v>1078203</v>
      </c>
      <c r="J4" s="53">
        <f t="shared" si="2"/>
        <v>1078438</v>
      </c>
      <c r="K4" s="53">
        <f t="shared" ref="K4:L4" si="3">K5+K23+K38+K52+K63</f>
        <v>1117940</v>
      </c>
      <c r="L4" s="53">
        <f t="shared" si="3"/>
        <v>1131936</v>
      </c>
      <c r="M4" s="53">
        <f t="shared" ref="M4:P4" si="4">M5+M23+M38+M52+M63</f>
        <v>0</v>
      </c>
      <c r="N4" s="53">
        <f t="shared" si="4"/>
        <v>1125627</v>
      </c>
      <c r="O4" s="53">
        <f t="shared" si="4"/>
        <v>1119761</v>
      </c>
      <c r="P4" s="53">
        <f t="shared" si="4"/>
        <v>1119776</v>
      </c>
    </row>
    <row r="5" spans="1:16">
      <c r="A5" s="54" t="s">
        <v>57</v>
      </c>
      <c r="B5" s="55">
        <f t="shared" ref="B5:H5" si="5">SUM(B7:B22)</f>
        <v>0</v>
      </c>
      <c r="C5" s="55">
        <f t="shared" si="5"/>
        <v>0</v>
      </c>
      <c r="D5" s="55">
        <f t="shared" si="5"/>
        <v>0</v>
      </c>
      <c r="E5" s="55">
        <f t="shared" ref="E5" si="6">SUM(E7:E22)</f>
        <v>313235</v>
      </c>
      <c r="F5" s="55">
        <f t="shared" si="5"/>
        <v>0</v>
      </c>
      <c r="G5" s="55">
        <f t="shared" si="5"/>
        <v>0</v>
      </c>
      <c r="H5" s="55">
        <f t="shared" si="5"/>
        <v>335508</v>
      </c>
      <c r="I5" s="55">
        <f t="shared" ref="I5:J5" si="7">SUM(I7:I22)</f>
        <v>339271</v>
      </c>
      <c r="J5" s="55">
        <f t="shared" si="7"/>
        <v>343955</v>
      </c>
      <c r="K5" s="55">
        <f t="shared" ref="K5:L5" si="8">SUM(K7:K22)</f>
        <v>352131</v>
      </c>
      <c r="L5" s="55">
        <f t="shared" si="8"/>
        <v>358100</v>
      </c>
      <c r="M5" s="55">
        <f t="shared" ref="M5:P5" si="9">SUM(M7:M22)</f>
        <v>0</v>
      </c>
      <c r="N5" s="55">
        <f t="shared" si="9"/>
        <v>359438</v>
      </c>
      <c r="O5" s="55">
        <f t="shared" si="9"/>
        <v>362924</v>
      </c>
      <c r="P5" s="55">
        <f t="shared" si="9"/>
        <v>365003</v>
      </c>
    </row>
    <row r="6" spans="1:16">
      <c r="A6" s="56" t="s">
        <v>244</v>
      </c>
      <c r="B6" s="57" t="e">
        <f t="shared" ref="B6:H6" si="10">(B5/B4)*100</f>
        <v>#DIV/0!</v>
      </c>
      <c r="C6" s="57" t="e">
        <f t="shared" si="10"/>
        <v>#DIV/0!</v>
      </c>
      <c r="D6" s="57" t="e">
        <f t="shared" si="10"/>
        <v>#DIV/0!</v>
      </c>
      <c r="E6" s="57">
        <f t="shared" ref="E6" si="11">(E5/E4)*100</f>
        <v>31.369801827497383</v>
      </c>
      <c r="F6" s="57" t="e">
        <f t="shared" si="10"/>
        <v>#DIV/0!</v>
      </c>
      <c r="G6" s="57" t="e">
        <f t="shared" si="10"/>
        <v>#DIV/0!</v>
      </c>
      <c r="H6" s="57">
        <f t="shared" si="10"/>
        <v>31.466491096273913</v>
      </c>
      <c r="I6" s="57">
        <f t="shared" ref="I6:J6" si="12">(I5/I4)*100</f>
        <v>31.46633797160646</v>
      </c>
      <c r="J6" s="57">
        <f t="shared" si="12"/>
        <v>31.893813088930472</v>
      </c>
      <c r="K6" s="57">
        <f t="shared" ref="K6:L6" si="13">(K5/K4)*100</f>
        <v>31.498202050199474</v>
      </c>
      <c r="L6" s="57">
        <f t="shared" si="13"/>
        <v>31.636064229779777</v>
      </c>
      <c r="M6" s="57" t="e">
        <f t="shared" ref="M6:P6" si="14">(M5/M4)*100</f>
        <v>#DIV/0!</v>
      </c>
      <c r="N6" s="57">
        <f t="shared" si="14"/>
        <v>31.932247538482994</v>
      </c>
      <c r="O6" s="57">
        <f t="shared" si="14"/>
        <v>32.410844814205888</v>
      </c>
      <c r="P6" s="57">
        <f t="shared" si="14"/>
        <v>32.596072785985768</v>
      </c>
    </row>
    <row r="7" spans="1:16">
      <c r="A7" s="54" t="s">
        <v>12</v>
      </c>
      <c r="B7" s="138" t="s">
        <v>260</v>
      </c>
      <c r="C7" s="138"/>
      <c r="D7" s="138"/>
      <c r="E7" s="82">
        <v>15206</v>
      </c>
      <c r="F7" s="138" t="s">
        <v>260</v>
      </c>
      <c r="G7" s="139"/>
      <c r="H7" s="82">
        <v>16413</v>
      </c>
      <c r="I7" s="82">
        <v>17322</v>
      </c>
      <c r="J7" s="1">
        <v>17376</v>
      </c>
      <c r="K7" s="1">
        <v>18235</v>
      </c>
      <c r="L7" s="1">
        <v>19516</v>
      </c>
      <c r="N7" s="1">
        <v>17732</v>
      </c>
      <c r="O7" s="7">
        <v>18049</v>
      </c>
      <c r="P7" s="7">
        <v>18768</v>
      </c>
    </row>
    <row r="8" spans="1:16">
      <c r="A8" s="54" t="s">
        <v>13</v>
      </c>
      <c r="B8" s="82"/>
      <c r="C8" s="82"/>
      <c r="D8" s="82"/>
      <c r="E8" s="82">
        <v>8965</v>
      </c>
      <c r="F8" s="82"/>
      <c r="G8" s="82"/>
      <c r="H8" s="82">
        <v>9399</v>
      </c>
      <c r="I8" s="82">
        <v>9599</v>
      </c>
      <c r="J8" s="1">
        <v>10001</v>
      </c>
      <c r="K8" s="1">
        <v>10598</v>
      </c>
      <c r="L8" s="1">
        <v>10665</v>
      </c>
      <c r="N8" s="1">
        <v>11688</v>
      </c>
      <c r="O8" s="7">
        <v>11772</v>
      </c>
      <c r="P8" s="7">
        <v>11785</v>
      </c>
    </row>
    <row r="9" spans="1:16">
      <c r="A9" s="54" t="s">
        <v>55</v>
      </c>
      <c r="B9" s="82"/>
      <c r="C9" s="82"/>
      <c r="D9" s="82"/>
      <c r="E9" s="82">
        <v>3949</v>
      </c>
      <c r="F9" s="82"/>
      <c r="G9" s="82"/>
      <c r="H9" s="82">
        <v>3884</v>
      </c>
      <c r="I9" s="82">
        <v>3756</v>
      </c>
      <c r="J9" s="1">
        <v>3789</v>
      </c>
      <c r="K9" s="1">
        <v>3874</v>
      </c>
      <c r="L9" s="1">
        <v>3950</v>
      </c>
      <c r="N9" s="1">
        <v>4517</v>
      </c>
      <c r="O9" s="7">
        <v>4513</v>
      </c>
      <c r="P9" s="7">
        <v>4284</v>
      </c>
    </row>
    <row r="10" spans="1:16">
      <c r="A10" s="54" t="s">
        <v>14</v>
      </c>
      <c r="B10" s="82"/>
      <c r="C10" s="82"/>
      <c r="D10" s="82"/>
      <c r="E10" s="82">
        <v>41359</v>
      </c>
      <c r="F10" s="82"/>
      <c r="G10" s="82"/>
      <c r="H10" s="82">
        <v>46736</v>
      </c>
      <c r="I10" s="82">
        <v>47427</v>
      </c>
      <c r="J10" s="1">
        <v>47499</v>
      </c>
      <c r="K10" s="1">
        <v>48830</v>
      </c>
      <c r="L10" s="1">
        <v>48988</v>
      </c>
      <c r="N10" s="1">
        <v>47849</v>
      </c>
      <c r="O10" s="7">
        <v>49784</v>
      </c>
      <c r="P10" s="7">
        <v>50055</v>
      </c>
    </row>
    <row r="11" spans="1:16">
      <c r="A11" s="54" t="s">
        <v>15</v>
      </c>
      <c r="B11" s="82"/>
      <c r="C11" s="82"/>
      <c r="D11" s="82"/>
      <c r="E11" s="82">
        <v>23377</v>
      </c>
      <c r="F11" s="82"/>
      <c r="G11" s="82"/>
      <c r="H11" s="82">
        <v>25053</v>
      </c>
      <c r="I11" s="82">
        <v>25455</v>
      </c>
      <c r="J11" s="1">
        <v>25777</v>
      </c>
      <c r="K11" s="1">
        <v>25739</v>
      </c>
      <c r="L11" s="1">
        <v>26166</v>
      </c>
      <c r="N11" s="1">
        <v>27037</v>
      </c>
      <c r="O11" s="7">
        <v>26724</v>
      </c>
      <c r="P11" s="7">
        <v>27160</v>
      </c>
    </row>
    <row r="12" spans="1:16">
      <c r="A12" s="54" t="s">
        <v>16</v>
      </c>
      <c r="B12" s="82"/>
      <c r="C12" s="82"/>
      <c r="D12" s="82"/>
      <c r="E12" s="82">
        <v>16428</v>
      </c>
      <c r="F12" s="82"/>
      <c r="G12" s="82"/>
      <c r="H12" s="82">
        <v>17384</v>
      </c>
      <c r="I12" s="82">
        <v>17399</v>
      </c>
      <c r="J12" s="1">
        <v>17899</v>
      </c>
      <c r="K12" s="1">
        <v>18070</v>
      </c>
      <c r="L12" s="1">
        <v>18221</v>
      </c>
      <c r="N12" s="1">
        <v>18363</v>
      </c>
      <c r="O12" s="7">
        <v>18794</v>
      </c>
      <c r="P12" s="7">
        <v>18894</v>
      </c>
    </row>
    <row r="13" spans="1:16">
      <c r="A13" s="54" t="s">
        <v>17</v>
      </c>
      <c r="B13" s="82"/>
      <c r="C13" s="82"/>
      <c r="D13" s="82"/>
      <c r="E13" s="82">
        <v>13250</v>
      </c>
      <c r="F13" s="82"/>
      <c r="G13" s="82"/>
      <c r="H13" s="82">
        <v>14457</v>
      </c>
      <c r="I13" s="82">
        <v>13861</v>
      </c>
      <c r="J13" s="1">
        <v>13985</v>
      </c>
      <c r="K13" s="1">
        <v>14209</v>
      </c>
      <c r="L13" s="1">
        <v>14230</v>
      </c>
      <c r="N13" s="1">
        <v>14433</v>
      </c>
      <c r="O13" s="7">
        <v>13915</v>
      </c>
      <c r="P13" s="7">
        <v>14141</v>
      </c>
    </row>
    <row r="14" spans="1:16">
      <c r="A14" s="54" t="s">
        <v>18</v>
      </c>
      <c r="B14" s="82"/>
      <c r="C14" s="82"/>
      <c r="D14" s="82"/>
      <c r="E14" s="82">
        <v>15522</v>
      </c>
      <c r="F14" s="82"/>
      <c r="G14" s="82"/>
      <c r="H14" s="82">
        <v>15578</v>
      </c>
      <c r="I14" s="82">
        <v>16100</v>
      </c>
      <c r="J14" s="1">
        <v>16808</v>
      </c>
      <c r="K14" s="1">
        <v>17408</v>
      </c>
      <c r="L14" s="1">
        <v>17771</v>
      </c>
      <c r="N14" s="1">
        <v>17869</v>
      </c>
      <c r="O14" s="7">
        <v>17860</v>
      </c>
      <c r="P14" s="7">
        <v>17653</v>
      </c>
    </row>
    <row r="15" spans="1:16">
      <c r="A15" s="54" t="s">
        <v>19</v>
      </c>
      <c r="B15" s="82"/>
      <c r="C15" s="82"/>
      <c r="D15" s="82"/>
      <c r="E15" s="82">
        <v>7840</v>
      </c>
      <c r="F15" s="82"/>
      <c r="G15" s="82"/>
      <c r="H15" s="82">
        <v>8153</v>
      </c>
      <c r="I15" s="82">
        <v>8342</v>
      </c>
      <c r="J15" s="1">
        <v>8443</v>
      </c>
      <c r="K15" s="1">
        <v>8463</v>
      </c>
      <c r="L15" s="1">
        <v>8899</v>
      </c>
      <c r="N15" s="1">
        <v>9039</v>
      </c>
      <c r="O15" s="7">
        <v>9268</v>
      </c>
      <c r="P15" s="7">
        <v>9679</v>
      </c>
    </row>
    <row r="16" spans="1:16">
      <c r="A16" s="54" t="s">
        <v>20</v>
      </c>
      <c r="B16" s="82"/>
      <c r="C16" s="82"/>
      <c r="D16" s="82"/>
      <c r="E16" s="82">
        <v>28416</v>
      </c>
      <c r="F16" s="82"/>
      <c r="G16" s="82"/>
      <c r="H16" s="82">
        <v>30814</v>
      </c>
      <c r="I16" s="82">
        <v>31232</v>
      </c>
      <c r="J16" s="1">
        <v>31960</v>
      </c>
      <c r="K16" s="1">
        <v>33064</v>
      </c>
      <c r="L16" s="1">
        <v>32835</v>
      </c>
      <c r="N16" s="1">
        <v>33623</v>
      </c>
      <c r="O16" s="7">
        <v>33678</v>
      </c>
      <c r="P16" s="7">
        <v>34157</v>
      </c>
    </row>
    <row r="17" spans="1:16">
      <c r="A17" s="54" t="s">
        <v>21</v>
      </c>
      <c r="B17" s="82"/>
      <c r="C17" s="82"/>
      <c r="D17" s="82"/>
      <c r="E17" s="82">
        <v>13798</v>
      </c>
      <c r="F17" s="82"/>
      <c r="G17" s="82"/>
      <c r="H17" s="82">
        <v>13949</v>
      </c>
      <c r="I17" s="82">
        <v>13719</v>
      </c>
      <c r="J17" s="1">
        <v>13216</v>
      </c>
      <c r="K17" s="1">
        <v>13348</v>
      </c>
      <c r="L17" s="1">
        <v>13054</v>
      </c>
      <c r="N17" s="1">
        <v>13435</v>
      </c>
      <c r="O17" s="7">
        <v>13356</v>
      </c>
      <c r="P17" s="7">
        <v>13174</v>
      </c>
    </row>
    <row r="18" spans="1:16">
      <c r="A18" s="54" t="s">
        <v>22</v>
      </c>
      <c r="B18" s="82"/>
      <c r="C18" s="82"/>
      <c r="D18" s="82"/>
      <c r="E18" s="82">
        <v>13607</v>
      </c>
      <c r="F18" s="82"/>
      <c r="G18" s="82"/>
      <c r="H18" s="82">
        <v>14904</v>
      </c>
      <c r="I18" s="82">
        <v>15484</v>
      </c>
      <c r="J18" s="1">
        <v>16289</v>
      </c>
      <c r="K18" s="1">
        <v>16107</v>
      </c>
      <c r="L18" s="1">
        <v>17031</v>
      </c>
      <c r="N18" s="1">
        <v>17250</v>
      </c>
      <c r="O18" s="7">
        <v>17552</v>
      </c>
      <c r="P18" s="7">
        <v>18121</v>
      </c>
    </row>
    <row r="19" spans="1:16">
      <c r="A19" s="54" t="s">
        <v>23</v>
      </c>
      <c r="B19" s="82"/>
      <c r="C19" s="82"/>
      <c r="D19" s="82"/>
      <c r="E19" s="82">
        <v>20518</v>
      </c>
      <c r="F19" s="82"/>
      <c r="G19" s="82"/>
      <c r="H19" s="82">
        <v>22461</v>
      </c>
      <c r="I19" s="82">
        <v>22425</v>
      </c>
      <c r="J19" s="1">
        <v>23239</v>
      </c>
      <c r="K19" s="1">
        <v>23954</v>
      </c>
      <c r="L19" s="1">
        <v>25078</v>
      </c>
      <c r="N19" s="1">
        <v>24823</v>
      </c>
      <c r="O19" s="7">
        <v>25205</v>
      </c>
      <c r="P19" s="7">
        <v>25350</v>
      </c>
    </row>
    <row r="20" spans="1:16">
      <c r="A20" s="54" t="s">
        <v>24</v>
      </c>
      <c r="B20" s="82"/>
      <c r="C20" s="82"/>
      <c r="D20" s="82"/>
      <c r="E20" s="82">
        <v>54944</v>
      </c>
      <c r="F20" s="82"/>
      <c r="G20" s="82"/>
      <c r="H20" s="82">
        <v>58011</v>
      </c>
      <c r="I20" s="82">
        <v>58060</v>
      </c>
      <c r="J20" s="1">
        <v>57909</v>
      </c>
      <c r="K20" s="1">
        <v>58693</v>
      </c>
      <c r="L20" s="1">
        <v>59471</v>
      </c>
      <c r="N20" s="1">
        <v>58312</v>
      </c>
      <c r="O20" s="7">
        <v>58441</v>
      </c>
      <c r="P20" s="7">
        <v>58797</v>
      </c>
    </row>
    <row r="21" spans="1:16">
      <c r="A21" s="54" t="s">
        <v>25</v>
      </c>
      <c r="B21" s="82"/>
      <c r="C21" s="82"/>
      <c r="D21" s="82"/>
      <c r="E21" s="82">
        <v>27167</v>
      </c>
      <c r="F21" s="82"/>
      <c r="G21" s="82"/>
      <c r="H21" s="82">
        <v>28522</v>
      </c>
      <c r="I21" s="82">
        <v>28943</v>
      </c>
      <c r="J21" s="1">
        <v>30740</v>
      </c>
      <c r="K21" s="1">
        <v>32741</v>
      </c>
      <c r="L21" s="1">
        <v>33408</v>
      </c>
      <c r="N21" s="1">
        <v>34409</v>
      </c>
      <c r="O21" s="7">
        <v>34829</v>
      </c>
      <c r="P21" s="7">
        <v>34226</v>
      </c>
    </row>
    <row r="22" spans="1:16">
      <c r="A22" s="58" t="s">
        <v>26</v>
      </c>
      <c r="B22" s="83"/>
      <c r="C22" s="83"/>
      <c r="D22" s="83"/>
      <c r="E22" s="83">
        <v>8889</v>
      </c>
      <c r="F22" s="83"/>
      <c r="G22" s="83"/>
      <c r="H22" s="83">
        <v>9790</v>
      </c>
      <c r="I22" s="83">
        <v>10147</v>
      </c>
      <c r="J22" s="1">
        <v>9025</v>
      </c>
      <c r="K22" s="5">
        <v>8798</v>
      </c>
      <c r="L22" s="1">
        <v>8817</v>
      </c>
      <c r="N22" s="1">
        <v>9059</v>
      </c>
      <c r="O22" s="7">
        <v>9184</v>
      </c>
      <c r="P22" s="7">
        <v>8759</v>
      </c>
    </row>
    <row r="23" spans="1:16">
      <c r="A23" s="54" t="s">
        <v>245</v>
      </c>
      <c r="B23" s="55">
        <f t="shared" ref="B23:H23" si="15">SUM(B25:B37)</f>
        <v>0</v>
      </c>
      <c r="C23" s="55">
        <f t="shared" si="15"/>
        <v>0</v>
      </c>
      <c r="D23" s="55">
        <f t="shared" si="15"/>
        <v>0</v>
      </c>
      <c r="E23" s="55">
        <f t="shared" ref="E23" si="16">SUM(E25:E37)</f>
        <v>170236</v>
      </c>
      <c r="F23" s="55">
        <f t="shared" si="15"/>
        <v>0</v>
      </c>
      <c r="G23" s="55">
        <f t="shared" si="15"/>
        <v>0</v>
      </c>
      <c r="H23" s="55">
        <f t="shared" si="15"/>
        <v>187236</v>
      </c>
      <c r="I23" s="55">
        <f t="shared" ref="I23:J23" si="17">SUM(I25:I37)</f>
        <v>187836</v>
      </c>
      <c r="J23" s="55">
        <f t="shared" si="17"/>
        <v>178149</v>
      </c>
      <c r="K23" s="55">
        <f t="shared" ref="K23:L23" si="18">SUM(K25:K37)</f>
        <v>197114</v>
      </c>
      <c r="L23" s="55">
        <f t="shared" si="18"/>
        <v>199946</v>
      </c>
      <c r="M23" s="55">
        <f t="shared" ref="M23:P23" si="19">SUM(M25:M37)</f>
        <v>0</v>
      </c>
      <c r="N23" s="55">
        <f t="shared" si="19"/>
        <v>201392</v>
      </c>
      <c r="O23" s="55">
        <f t="shared" si="19"/>
        <v>196916</v>
      </c>
      <c r="P23" s="55">
        <f t="shared" si="19"/>
        <v>196848</v>
      </c>
    </row>
    <row r="24" spans="1:16">
      <c r="A24" s="56" t="s">
        <v>244</v>
      </c>
      <c r="B24" s="57" t="e">
        <f t="shared" ref="B24:H24" si="20">(B23/B4)*100</f>
        <v>#DIV/0!</v>
      </c>
      <c r="C24" s="57" t="e">
        <f t="shared" si="20"/>
        <v>#DIV/0!</v>
      </c>
      <c r="D24" s="57" t="e">
        <f t="shared" si="20"/>
        <v>#DIV/0!</v>
      </c>
      <c r="E24" s="57">
        <f t="shared" ref="E24" si="21">(E23/E4)*100</f>
        <v>17.048763975628027</v>
      </c>
      <c r="F24" s="57" t="e">
        <f t="shared" si="20"/>
        <v>#DIV/0!</v>
      </c>
      <c r="G24" s="57" t="e">
        <f t="shared" si="20"/>
        <v>#DIV/0!</v>
      </c>
      <c r="H24" s="57">
        <f t="shared" si="20"/>
        <v>17.56041562914131</v>
      </c>
      <c r="I24" s="57">
        <f t="shared" ref="I24:J24" si="22">(I23/I4)*100</f>
        <v>17.421209178605512</v>
      </c>
      <c r="J24" s="57">
        <f t="shared" si="22"/>
        <v>16.519169391286287</v>
      </c>
      <c r="K24" s="57">
        <f t="shared" ref="K24:L24" si="23">(K23/K4)*100</f>
        <v>17.631894377157987</v>
      </c>
      <c r="L24" s="57">
        <f t="shared" si="23"/>
        <v>17.664072880445538</v>
      </c>
      <c r="M24" s="57" t="e">
        <f t="shared" ref="M24:P24" si="24">(M23/M4)*100</f>
        <v>#DIV/0!</v>
      </c>
      <c r="N24" s="57">
        <f t="shared" si="24"/>
        <v>17.891539559729821</v>
      </c>
      <c r="O24" s="57">
        <f t="shared" si="24"/>
        <v>17.58553834255703</v>
      </c>
      <c r="P24" s="57">
        <f t="shared" si="24"/>
        <v>17.579230131740633</v>
      </c>
    </row>
    <row r="25" spans="1:16">
      <c r="A25" s="54" t="s">
        <v>167</v>
      </c>
      <c r="B25" s="82"/>
      <c r="C25" s="82"/>
      <c r="D25" s="82"/>
      <c r="E25" s="82">
        <v>1191</v>
      </c>
      <c r="F25" s="82"/>
      <c r="G25" s="82"/>
      <c r="H25" s="82">
        <v>1169</v>
      </c>
      <c r="I25" s="82">
        <v>1173</v>
      </c>
      <c r="J25" s="1">
        <v>1264</v>
      </c>
      <c r="K25" s="1">
        <v>1186</v>
      </c>
      <c r="L25" s="1">
        <v>1278</v>
      </c>
      <c r="N25" s="1">
        <v>1187</v>
      </c>
      <c r="O25" s="7">
        <v>1179</v>
      </c>
      <c r="P25" s="7">
        <v>1220</v>
      </c>
    </row>
    <row r="26" spans="1:16">
      <c r="A26" s="54" t="s">
        <v>168</v>
      </c>
      <c r="B26" s="82"/>
      <c r="C26" s="82"/>
      <c r="D26" s="82"/>
      <c r="E26" s="82">
        <v>15411</v>
      </c>
      <c r="F26" s="82"/>
      <c r="G26" s="82"/>
      <c r="H26" s="82">
        <v>24131</v>
      </c>
      <c r="I26" s="82">
        <v>25921</v>
      </c>
      <c r="J26" s="1">
        <v>17814</v>
      </c>
      <c r="K26" s="1">
        <v>33640</v>
      </c>
      <c r="L26" s="1">
        <v>33629</v>
      </c>
      <c r="N26" s="1">
        <v>30769</v>
      </c>
      <c r="O26" s="7">
        <v>29351</v>
      </c>
      <c r="P26" s="7">
        <v>29299</v>
      </c>
    </row>
    <row r="27" spans="1:16">
      <c r="A27" s="54" t="s">
        <v>169</v>
      </c>
      <c r="B27" s="82"/>
      <c r="C27" s="82"/>
      <c r="D27" s="82"/>
      <c r="E27" s="82">
        <v>62097</v>
      </c>
      <c r="F27" s="82"/>
      <c r="G27" s="82"/>
      <c r="H27" s="82">
        <v>65619</v>
      </c>
      <c r="I27" s="82">
        <v>64139</v>
      </c>
      <c r="J27" s="1">
        <v>63049</v>
      </c>
      <c r="K27" s="1">
        <v>63722</v>
      </c>
      <c r="L27" s="1">
        <v>64864</v>
      </c>
      <c r="N27" s="1">
        <v>68924</v>
      </c>
      <c r="O27" s="7">
        <v>66343</v>
      </c>
      <c r="P27" s="7">
        <v>65930</v>
      </c>
    </row>
    <row r="28" spans="1:16">
      <c r="A28" s="54" t="s">
        <v>170</v>
      </c>
      <c r="B28" s="82"/>
      <c r="C28" s="82"/>
      <c r="D28" s="82"/>
      <c r="E28" s="82">
        <v>19933</v>
      </c>
      <c r="F28" s="82"/>
      <c r="G28" s="82"/>
      <c r="H28" s="82">
        <v>21487</v>
      </c>
      <c r="I28" s="82">
        <v>21013</v>
      </c>
      <c r="J28" s="1">
        <v>19971</v>
      </c>
      <c r="K28" s="1">
        <v>20130</v>
      </c>
      <c r="L28" s="1">
        <v>20202</v>
      </c>
      <c r="N28" s="1">
        <v>20191</v>
      </c>
      <c r="O28" s="7">
        <v>20988</v>
      </c>
      <c r="P28" s="7">
        <v>21395</v>
      </c>
    </row>
    <row r="29" spans="1:16">
      <c r="A29" s="54" t="s">
        <v>173</v>
      </c>
      <c r="B29" s="82"/>
      <c r="C29" s="82"/>
      <c r="D29" s="82"/>
      <c r="E29" s="82">
        <v>1752</v>
      </c>
      <c r="F29" s="82"/>
      <c r="G29" s="82"/>
      <c r="H29" s="82">
        <v>1668</v>
      </c>
      <c r="I29" s="82">
        <v>1419</v>
      </c>
      <c r="J29" s="1">
        <v>1377</v>
      </c>
      <c r="K29" s="1">
        <v>1407</v>
      </c>
      <c r="L29" s="1">
        <v>1474</v>
      </c>
      <c r="N29" s="1">
        <v>1455</v>
      </c>
      <c r="O29" s="7">
        <v>1428</v>
      </c>
      <c r="P29" s="7">
        <v>1377</v>
      </c>
    </row>
    <row r="30" spans="1:16">
      <c r="A30" s="54" t="s">
        <v>175</v>
      </c>
      <c r="B30" s="82"/>
      <c r="C30" s="82"/>
      <c r="D30" s="82"/>
      <c r="E30" s="82">
        <v>6732</v>
      </c>
      <c r="F30" s="82"/>
      <c r="G30" s="82"/>
      <c r="H30" s="82">
        <v>7843</v>
      </c>
      <c r="I30" s="82">
        <v>8035</v>
      </c>
      <c r="J30" s="1">
        <v>7843</v>
      </c>
      <c r="K30" s="1">
        <v>8263</v>
      </c>
      <c r="L30" s="1">
        <v>8589</v>
      </c>
      <c r="N30" s="1">
        <v>8833</v>
      </c>
      <c r="O30" s="7">
        <v>9014</v>
      </c>
      <c r="P30" s="7">
        <v>9104</v>
      </c>
    </row>
    <row r="31" spans="1:16">
      <c r="A31" s="54" t="s">
        <v>184</v>
      </c>
      <c r="B31" s="82"/>
      <c r="C31" s="82"/>
      <c r="D31" s="82"/>
      <c r="E31" s="82">
        <v>4469</v>
      </c>
      <c r="F31" s="82"/>
      <c r="G31" s="82"/>
      <c r="H31" s="82">
        <v>4540</v>
      </c>
      <c r="I31" s="82">
        <v>4402</v>
      </c>
      <c r="J31" s="1">
        <v>4716</v>
      </c>
      <c r="K31" s="1">
        <v>4637</v>
      </c>
      <c r="L31" s="1">
        <v>4838</v>
      </c>
      <c r="N31" s="1">
        <v>5155</v>
      </c>
      <c r="O31" s="7">
        <v>4930</v>
      </c>
      <c r="P31" s="7">
        <v>4925</v>
      </c>
    </row>
    <row r="32" spans="1:16">
      <c r="A32" s="54" t="s">
        <v>190</v>
      </c>
      <c r="B32" s="82"/>
      <c r="C32" s="82"/>
      <c r="D32" s="82"/>
      <c r="E32" s="82">
        <v>3984</v>
      </c>
      <c r="F32" s="82"/>
      <c r="G32" s="82"/>
      <c r="H32" s="82">
        <v>4082</v>
      </c>
      <c r="I32" s="82">
        <v>4286</v>
      </c>
      <c r="J32" s="1">
        <v>4292</v>
      </c>
      <c r="K32" s="1">
        <v>4308</v>
      </c>
      <c r="L32" s="1">
        <v>4419</v>
      </c>
      <c r="N32" s="1">
        <v>4405</v>
      </c>
      <c r="O32" s="7">
        <v>4411</v>
      </c>
      <c r="P32" s="7">
        <v>4512</v>
      </c>
    </row>
    <row r="33" spans="1:16">
      <c r="A33" s="54" t="s">
        <v>189</v>
      </c>
      <c r="B33" s="82"/>
      <c r="C33" s="82"/>
      <c r="D33" s="82"/>
      <c r="E33" s="82">
        <v>3247</v>
      </c>
      <c r="F33" s="82"/>
      <c r="G33" s="82"/>
      <c r="H33" s="82">
        <v>3611</v>
      </c>
      <c r="I33" s="82">
        <v>3178</v>
      </c>
      <c r="J33" s="1">
        <v>3372</v>
      </c>
      <c r="K33" s="1">
        <v>3326</v>
      </c>
      <c r="L33" s="1">
        <v>3409</v>
      </c>
      <c r="N33" s="1">
        <v>3261</v>
      </c>
      <c r="O33" s="7">
        <v>3399</v>
      </c>
      <c r="P33" s="7">
        <v>3400</v>
      </c>
    </row>
    <row r="34" spans="1:16">
      <c r="A34" s="54" t="s">
        <v>193</v>
      </c>
      <c r="B34" s="82"/>
      <c r="C34" s="82"/>
      <c r="D34" s="82"/>
      <c r="E34" s="82">
        <v>13390</v>
      </c>
      <c r="F34" s="82"/>
      <c r="G34" s="82"/>
      <c r="H34" s="82">
        <v>13313</v>
      </c>
      <c r="I34" s="82">
        <v>13727</v>
      </c>
      <c r="J34" s="1">
        <v>14118</v>
      </c>
      <c r="K34" s="1">
        <v>15026</v>
      </c>
      <c r="L34" s="1">
        <v>15657</v>
      </c>
      <c r="N34" s="1">
        <v>15643</v>
      </c>
      <c r="O34" s="7">
        <v>15134</v>
      </c>
      <c r="P34" s="7">
        <v>15281</v>
      </c>
    </row>
    <row r="35" spans="1:16">
      <c r="A35" s="54" t="s">
        <v>197</v>
      </c>
      <c r="B35" s="82"/>
      <c r="C35" s="82"/>
      <c r="D35" s="82"/>
      <c r="E35" s="82">
        <v>17183</v>
      </c>
      <c r="F35" s="82"/>
      <c r="G35" s="82"/>
      <c r="H35" s="82">
        <v>17901</v>
      </c>
      <c r="I35" s="82">
        <v>18446</v>
      </c>
      <c r="J35" s="1">
        <v>18110</v>
      </c>
      <c r="K35" s="1">
        <v>18688</v>
      </c>
      <c r="L35" s="1">
        <v>18833</v>
      </c>
      <c r="N35" s="1">
        <v>19296</v>
      </c>
      <c r="O35" s="7">
        <v>18862</v>
      </c>
      <c r="P35" s="7">
        <v>18722</v>
      </c>
    </row>
    <row r="36" spans="1:16">
      <c r="A36" s="54" t="s">
        <v>76</v>
      </c>
      <c r="B36" s="82"/>
      <c r="C36" s="82"/>
      <c r="D36" s="82"/>
      <c r="E36" s="82">
        <v>19270</v>
      </c>
      <c r="F36" s="82"/>
      <c r="G36" s="82"/>
      <c r="H36" s="82">
        <v>20395</v>
      </c>
      <c r="I36" s="82">
        <v>20611</v>
      </c>
      <c r="J36" s="1">
        <v>20692</v>
      </c>
      <c r="K36" s="1">
        <v>21102</v>
      </c>
      <c r="L36" s="1">
        <v>21070</v>
      </c>
      <c r="N36" s="1">
        <v>20599</v>
      </c>
      <c r="O36" s="7">
        <v>20154</v>
      </c>
      <c r="P36" s="7">
        <v>20034</v>
      </c>
    </row>
    <row r="37" spans="1:16">
      <c r="A37" s="58" t="s">
        <v>200</v>
      </c>
      <c r="B37" s="83"/>
      <c r="C37" s="83"/>
      <c r="D37" s="83"/>
      <c r="E37" s="83">
        <v>1577</v>
      </c>
      <c r="F37" s="83"/>
      <c r="G37" s="83"/>
      <c r="H37" s="83">
        <v>1477</v>
      </c>
      <c r="I37" s="83">
        <v>1486</v>
      </c>
      <c r="J37" s="1">
        <v>1531</v>
      </c>
      <c r="K37" s="5">
        <v>1679</v>
      </c>
      <c r="L37" s="1">
        <v>1684</v>
      </c>
      <c r="N37" s="1">
        <v>1674</v>
      </c>
      <c r="O37" s="7">
        <v>1723</v>
      </c>
      <c r="P37" s="7">
        <v>1649</v>
      </c>
    </row>
    <row r="38" spans="1:16">
      <c r="A38" s="54" t="s">
        <v>246</v>
      </c>
      <c r="B38" s="55">
        <f t="shared" ref="B38:H38" si="25">SUM(B40:B51)</f>
        <v>0</v>
      </c>
      <c r="C38" s="55">
        <f t="shared" si="25"/>
        <v>0</v>
      </c>
      <c r="D38" s="55">
        <f t="shared" si="25"/>
        <v>0</v>
      </c>
      <c r="E38" s="55">
        <f t="shared" ref="E38" si="26">SUM(E40:E51)</f>
        <v>292263</v>
      </c>
      <c r="F38" s="55">
        <f t="shared" si="25"/>
        <v>0</v>
      </c>
      <c r="G38" s="55">
        <f t="shared" si="25"/>
        <v>0</v>
      </c>
      <c r="H38" s="55">
        <f t="shared" si="25"/>
        <v>309207</v>
      </c>
      <c r="I38" s="55">
        <f t="shared" ref="I38:J38" si="27">SUM(I40:I51)</f>
        <v>314128</v>
      </c>
      <c r="J38" s="55">
        <f t="shared" si="27"/>
        <v>321659</v>
      </c>
      <c r="K38" s="55">
        <f t="shared" ref="K38:L38" si="28">SUM(K40:K51)</f>
        <v>328658</v>
      </c>
      <c r="L38" s="55">
        <f t="shared" si="28"/>
        <v>331665</v>
      </c>
      <c r="M38" s="55">
        <f t="shared" ref="M38:P38" si="29">SUM(M40:M51)</f>
        <v>0</v>
      </c>
      <c r="N38" s="55">
        <f t="shared" si="29"/>
        <v>323276</v>
      </c>
      <c r="O38" s="55">
        <f t="shared" si="29"/>
        <v>320002</v>
      </c>
      <c r="P38" s="55">
        <f t="shared" si="29"/>
        <v>319316</v>
      </c>
    </row>
    <row r="39" spans="1:16">
      <c r="A39" s="56" t="s">
        <v>244</v>
      </c>
      <c r="B39" s="57" t="e">
        <f t="shared" ref="B39:H39" si="30">(B38/B4)*100</f>
        <v>#DIV/0!</v>
      </c>
      <c r="C39" s="57" t="e">
        <f t="shared" si="30"/>
        <v>#DIV/0!</v>
      </c>
      <c r="D39" s="57" t="e">
        <f t="shared" si="30"/>
        <v>#DIV/0!</v>
      </c>
      <c r="E39" s="57">
        <f t="shared" ref="E39" si="31">(E38/E4)*100</f>
        <v>29.269501784634123</v>
      </c>
      <c r="F39" s="57" t="e">
        <f t="shared" si="30"/>
        <v>#DIV/0!</v>
      </c>
      <c r="G39" s="57" t="e">
        <f t="shared" si="30"/>
        <v>#DIV/0!</v>
      </c>
      <c r="H39" s="57">
        <f t="shared" si="30"/>
        <v>28.999783350637149</v>
      </c>
      <c r="I39" s="57">
        <f t="shared" ref="I39:J39" si="32">(I38/I4)*100</f>
        <v>29.134402334254311</v>
      </c>
      <c r="J39" s="57">
        <f t="shared" si="32"/>
        <v>29.826378521528358</v>
      </c>
      <c r="K39" s="57">
        <f t="shared" ref="K39:L39" si="33">(K38/K4)*100</f>
        <v>29.398536594092704</v>
      </c>
      <c r="L39" s="57">
        <f t="shared" si="33"/>
        <v>29.300684844372825</v>
      </c>
      <c r="M39" s="57" t="e">
        <f t="shared" ref="M39:P39" si="34">(M38/M4)*100</f>
        <v>#DIV/0!</v>
      </c>
      <c r="N39" s="57">
        <f t="shared" si="34"/>
        <v>28.71963803284747</v>
      </c>
      <c r="O39" s="57">
        <f t="shared" si="34"/>
        <v>28.577705421067535</v>
      </c>
      <c r="P39" s="57">
        <f t="shared" si="34"/>
        <v>28.516060354928129</v>
      </c>
    </row>
    <row r="40" spans="1:16">
      <c r="A40" s="54" t="s">
        <v>176</v>
      </c>
      <c r="B40" s="82"/>
      <c r="C40" s="82"/>
      <c r="D40" s="82"/>
      <c r="E40" s="82">
        <v>42754</v>
      </c>
      <c r="F40" s="82"/>
      <c r="G40" s="82"/>
      <c r="H40" s="82">
        <v>46575</v>
      </c>
      <c r="I40" s="82">
        <v>47086</v>
      </c>
      <c r="J40" s="1">
        <v>45214</v>
      </c>
      <c r="K40" s="1">
        <v>45626</v>
      </c>
      <c r="L40" s="1">
        <v>47190</v>
      </c>
      <c r="N40" s="1">
        <v>44378</v>
      </c>
      <c r="O40" s="7">
        <v>44393</v>
      </c>
      <c r="P40" s="7">
        <v>44327</v>
      </c>
    </row>
    <row r="41" spans="1:16">
      <c r="A41" s="54" t="s">
        <v>177</v>
      </c>
      <c r="B41" s="82"/>
      <c r="C41" s="82"/>
      <c r="D41" s="82"/>
      <c r="E41" s="82">
        <v>31852</v>
      </c>
      <c r="F41" s="82"/>
      <c r="G41" s="82"/>
      <c r="H41" s="82">
        <v>32777</v>
      </c>
      <c r="I41" s="82">
        <v>34129</v>
      </c>
      <c r="J41" s="1">
        <v>34637</v>
      </c>
      <c r="K41" s="1">
        <v>36184</v>
      </c>
      <c r="L41" s="1">
        <v>36404</v>
      </c>
      <c r="N41" s="1">
        <v>36410</v>
      </c>
      <c r="O41" s="7">
        <v>35479</v>
      </c>
      <c r="P41" s="7">
        <v>35491</v>
      </c>
    </row>
    <row r="42" spans="1:16">
      <c r="A42" s="54" t="s">
        <v>174</v>
      </c>
      <c r="B42" s="82"/>
      <c r="C42" s="82"/>
      <c r="D42" s="82"/>
      <c r="E42" s="82">
        <v>17947</v>
      </c>
      <c r="F42" s="82"/>
      <c r="G42" s="82"/>
      <c r="H42" s="82">
        <v>19673</v>
      </c>
      <c r="I42" s="82">
        <v>21750</v>
      </c>
      <c r="J42" s="1">
        <v>26246</v>
      </c>
      <c r="K42" s="1">
        <v>26030</v>
      </c>
      <c r="L42" s="1">
        <v>27305</v>
      </c>
      <c r="N42" s="1">
        <v>21199</v>
      </c>
      <c r="O42" s="7">
        <v>20422</v>
      </c>
      <c r="P42" s="7">
        <v>20525</v>
      </c>
    </row>
    <row r="43" spans="1:16">
      <c r="A43" s="54" t="s">
        <v>178</v>
      </c>
      <c r="B43" s="82"/>
      <c r="C43" s="82"/>
      <c r="D43" s="82"/>
      <c r="E43" s="82">
        <v>13128</v>
      </c>
      <c r="F43" s="82"/>
      <c r="G43" s="82"/>
      <c r="H43" s="82">
        <v>13572</v>
      </c>
      <c r="I43" s="82">
        <v>13606</v>
      </c>
      <c r="J43" s="1">
        <v>13754</v>
      </c>
      <c r="K43" s="1">
        <v>13950</v>
      </c>
      <c r="L43" s="1">
        <v>14014</v>
      </c>
      <c r="N43" s="1">
        <v>13448</v>
      </c>
      <c r="O43" s="7">
        <v>13663</v>
      </c>
      <c r="P43" s="7">
        <v>13572</v>
      </c>
    </row>
    <row r="44" spans="1:16">
      <c r="A44" s="54" t="s">
        <v>181</v>
      </c>
      <c r="B44" s="82"/>
      <c r="C44" s="82"/>
      <c r="D44" s="82"/>
      <c r="E44" s="82">
        <v>40073</v>
      </c>
      <c r="F44" s="82"/>
      <c r="G44" s="82"/>
      <c r="H44" s="82">
        <v>42439</v>
      </c>
      <c r="I44" s="82">
        <v>42913</v>
      </c>
      <c r="J44" s="1">
        <v>42642</v>
      </c>
      <c r="K44" s="1">
        <v>43802</v>
      </c>
      <c r="L44" s="1">
        <v>44507</v>
      </c>
      <c r="N44" s="1">
        <v>44467</v>
      </c>
      <c r="O44" s="7">
        <v>44238</v>
      </c>
      <c r="P44" s="7">
        <v>44654</v>
      </c>
    </row>
    <row r="45" spans="1:16">
      <c r="A45" s="54" t="s">
        <v>182</v>
      </c>
      <c r="B45" s="82"/>
      <c r="C45" s="82"/>
      <c r="D45" s="82"/>
      <c r="E45" s="82">
        <v>22845</v>
      </c>
      <c r="F45" s="82"/>
      <c r="G45" s="82"/>
      <c r="H45" s="82">
        <v>25815</v>
      </c>
      <c r="I45" s="82">
        <v>26050</v>
      </c>
      <c r="J45" s="1">
        <v>26350</v>
      </c>
      <c r="K45" s="1">
        <v>26630</v>
      </c>
      <c r="L45" s="1">
        <v>26863</v>
      </c>
      <c r="N45" s="1">
        <v>26312</v>
      </c>
      <c r="O45" s="7">
        <v>25333</v>
      </c>
      <c r="P45" s="7">
        <v>24750</v>
      </c>
    </row>
    <row r="46" spans="1:16">
      <c r="A46" s="54" t="s">
        <v>183</v>
      </c>
      <c r="B46" s="82"/>
      <c r="C46" s="82"/>
      <c r="D46" s="82"/>
      <c r="E46" s="82">
        <v>27581</v>
      </c>
      <c r="F46" s="82"/>
      <c r="G46" s="82"/>
      <c r="H46" s="82">
        <v>29581</v>
      </c>
      <c r="I46" s="82">
        <v>29969</v>
      </c>
      <c r="J46" s="1">
        <v>30552</v>
      </c>
      <c r="K46" s="1">
        <v>31682</v>
      </c>
      <c r="L46" s="1">
        <v>30097</v>
      </c>
      <c r="N46" s="1">
        <v>30364</v>
      </c>
      <c r="O46" s="7">
        <v>30227</v>
      </c>
      <c r="P46" s="7">
        <v>29785</v>
      </c>
    </row>
    <row r="47" spans="1:16">
      <c r="A47" s="54" t="s">
        <v>186</v>
      </c>
      <c r="B47" s="82"/>
      <c r="C47" s="82"/>
      <c r="D47" s="82"/>
      <c r="E47" s="82">
        <v>10459</v>
      </c>
      <c r="F47" s="82"/>
      <c r="G47" s="82"/>
      <c r="H47" s="82">
        <v>10562</v>
      </c>
      <c r="I47" s="82">
        <v>10431</v>
      </c>
      <c r="J47" s="1">
        <v>11062</v>
      </c>
      <c r="K47" s="1">
        <v>11526</v>
      </c>
      <c r="L47" s="1">
        <v>11335</v>
      </c>
      <c r="N47" s="1">
        <v>10987</v>
      </c>
      <c r="O47" s="7">
        <v>10834</v>
      </c>
      <c r="P47" s="7">
        <v>10833</v>
      </c>
    </row>
    <row r="48" spans="1:16">
      <c r="A48" s="54" t="s">
        <v>185</v>
      </c>
      <c r="B48" s="82"/>
      <c r="C48" s="82"/>
      <c r="D48" s="82"/>
      <c r="E48" s="82">
        <v>5053</v>
      </c>
      <c r="F48" s="82"/>
      <c r="G48" s="82"/>
      <c r="H48" s="82">
        <v>4962</v>
      </c>
      <c r="I48" s="82">
        <v>4884</v>
      </c>
      <c r="J48" s="1">
        <v>4828</v>
      </c>
      <c r="K48" s="1">
        <v>4838</v>
      </c>
      <c r="L48" s="1">
        <v>5116</v>
      </c>
      <c r="N48" s="1">
        <v>5306</v>
      </c>
      <c r="O48" s="7">
        <v>5303</v>
      </c>
      <c r="P48" s="7">
        <v>5372</v>
      </c>
    </row>
    <row r="49" spans="1:16">
      <c r="A49" s="54" t="s">
        <v>192</v>
      </c>
      <c r="B49" s="82"/>
      <c r="C49" s="82"/>
      <c r="D49" s="82"/>
      <c r="E49" s="82">
        <v>48586</v>
      </c>
      <c r="F49" s="82"/>
      <c r="G49" s="82"/>
      <c r="H49" s="82">
        <v>49061</v>
      </c>
      <c r="I49" s="82">
        <v>49609</v>
      </c>
      <c r="J49" s="1">
        <v>51612</v>
      </c>
      <c r="K49" s="1">
        <v>53087</v>
      </c>
      <c r="L49" s="1">
        <v>52673</v>
      </c>
      <c r="N49" s="1">
        <v>54195</v>
      </c>
      <c r="O49" s="7">
        <v>53929</v>
      </c>
      <c r="P49" s="7">
        <v>54427</v>
      </c>
    </row>
    <row r="50" spans="1:16">
      <c r="A50" s="54" t="s">
        <v>196</v>
      </c>
      <c r="B50" s="82"/>
      <c r="C50" s="82"/>
      <c r="D50" s="82"/>
      <c r="E50" s="82">
        <v>4187</v>
      </c>
      <c r="F50" s="82"/>
      <c r="G50" s="82"/>
      <c r="H50" s="82">
        <v>4517</v>
      </c>
      <c r="I50" s="82">
        <v>4421</v>
      </c>
      <c r="J50" s="1">
        <v>4725</v>
      </c>
      <c r="K50" s="1">
        <v>4865</v>
      </c>
      <c r="L50" s="1">
        <v>5053</v>
      </c>
      <c r="N50" s="1">
        <v>5012</v>
      </c>
      <c r="O50" s="7">
        <v>5325</v>
      </c>
      <c r="P50" s="7">
        <v>5248</v>
      </c>
    </row>
    <row r="51" spans="1:16">
      <c r="A51" s="58" t="s">
        <v>199</v>
      </c>
      <c r="B51" s="83"/>
      <c r="C51" s="83"/>
      <c r="D51" s="83"/>
      <c r="E51" s="83">
        <v>27798</v>
      </c>
      <c r="F51" s="83"/>
      <c r="G51" s="83"/>
      <c r="H51" s="83">
        <v>29673</v>
      </c>
      <c r="I51" s="83">
        <v>29280</v>
      </c>
      <c r="J51" s="1">
        <v>30037</v>
      </c>
      <c r="K51" s="5">
        <v>30438</v>
      </c>
      <c r="L51" s="1">
        <v>31108</v>
      </c>
      <c r="N51" s="1">
        <v>31198</v>
      </c>
      <c r="O51" s="7">
        <v>30856</v>
      </c>
      <c r="P51" s="7">
        <v>30332</v>
      </c>
    </row>
    <row r="52" spans="1:16">
      <c r="A52" s="54" t="s">
        <v>247</v>
      </c>
      <c r="B52" s="55">
        <f t="shared" ref="B52:H52" si="35">SUM(B54:B62)</f>
        <v>0</v>
      </c>
      <c r="C52" s="55">
        <f t="shared" si="35"/>
        <v>0</v>
      </c>
      <c r="D52" s="55">
        <f t="shared" si="35"/>
        <v>0</v>
      </c>
      <c r="E52" s="55">
        <f t="shared" ref="E52" si="36">SUM(E54:E62)</f>
        <v>217797</v>
      </c>
      <c r="F52" s="55">
        <f t="shared" si="35"/>
        <v>0</v>
      </c>
      <c r="G52" s="55">
        <f t="shared" si="35"/>
        <v>0</v>
      </c>
      <c r="H52" s="55">
        <f t="shared" si="35"/>
        <v>229088</v>
      </c>
      <c r="I52" s="55">
        <f t="shared" ref="I52:J52" si="37">SUM(I54:I62)</f>
        <v>232518</v>
      </c>
      <c r="J52" s="55">
        <f t="shared" si="37"/>
        <v>230538</v>
      </c>
      <c r="K52" s="55">
        <f t="shared" ref="K52:L52" si="38">SUM(K54:K62)</f>
        <v>235832</v>
      </c>
      <c r="L52" s="55">
        <f t="shared" si="38"/>
        <v>237777</v>
      </c>
      <c r="M52" s="55">
        <f t="shared" ref="M52:P52" si="39">SUM(M54:M62)</f>
        <v>0</v>
      </c>
      <c r="N52" s="55">
        <f t="shared" si="39"/>
        <v>237174</v>
      </c>
      <c r="O52" s="55">
        <f t="shared" si="39"/>
        <v>235479</v>
      </c>
      <c r="P52" s="55">
        <f t="shared" si="39"/>
        <v>234196</v>
      </c>
    </row>
    <row r="53" spans="1:16">
      <c r="A53" s="56" t="s">
        <v>244</v>
      </c>
      <c r="B53" s="57" t="e">
        <f t="shared" ref="B53:H53" si="40">(B52/B4)*100</f>
        <v>#DIV/0!</v>
      </c>
      <c r="C53" s="57" t="e">
        <f t="shared" si="40"/>
        <v>#DIV/0!</v>
      </c>
      <c r="D53" s="57" t="e">
        <f t="shared" si="40"/>
        <v>#DIV/0!</v>
      </c>
      <c r="E53" s="57">
        <f t="shared" ref="E53" si="41">(E52/E4)*100</f>
        <v>21.811894356069558</v>
      </c>
      <c r="F53" s="57" t="e">
        <f t="shared" si="40"/>
        <v>#DIV/0!</v>
      </c>
      <c r="G53" s="57" t="e">
        <f t="shared" si="40"/>
        <v>#DIV/0!</v>
      </c>
      <c r="H53" s="57">
        <f t="shared" si="40"/>
        <v>21.485614388518897</v>
      </c>
      <c r="I53" s="57">
        <f t="shared" ref="I53:J53" si="42">(I52/I4)*100</f>
        <v>21.565326752012375</v>
      </c>
      <c r="J53" s="57">
        <f t="shared" si="42"/>
        <v>21.377028628442247</v>
      </c>
      <c r="K53" s="57">
        <f t="shared" ref="K53:L53" si="43">(K52/K4)*100</f>
        <v>21.095228724260696</v>
      </c>
      <c r="L53" s="57">
        <f t="shared" si="43"/>
        <v>21.006222966669494</v>
      </c>
      <c r="M53" s="57" t="e">
        <f t="shared" ref="M53:P53" si="44">(M52/M4)*100</f>
        <v>#DIV/0!</v>
      </c>
      <c r="N53" s="57">
        <f t="shared" si="44"/>
        <v>21.070390102582827</v>
      </c>
      <c r="O53" s="57">
        <f t="shared" si="44"/>
        <v>21.029398237659645</v>
      </c>
      <c r="P53" s="57">
        <f t="shared" si="44"/>
        <v>20.914540050867316</v>
      </c>
    </row>
    <row r="54" spans="1:16">
      <c r="A54" s="54" t="s">
        <v>171</v>
      </c>
      <c r="B54" s="82"/>
      <c r="C54" s="82"/>
      <c r="D54" s="82"/>
      <c r="E54" s="82">
        <v>12443</v>
      </c>
      <c r="F54" s="82"/>
      <c r="G54" s="82"/>
      <c r="H54" s="82">
        <v>13536</v>
      </c>
      <c r="I54" s="82">
        <v>13638</v>
      </c>
      <c r="J54" s="1">
        <v>12750</v>
      </c>
      <c r="K54" s="1">
        <v>13479</v>
      </c>
      <c r="L54" s="1">
        <v>14056</v>
      </c>
      <c r="N54" s="1">
        <v>14067</v>
      </c>
      <c r="O54" s="7">
        <v>13766</v>
      </c>
      <c r="P54" s="7">
        <v>14143</v>
      </c>
    </row>
    <row r="55" spans="1:16">
      <c r="A55" s="54" t="s">
        <v>180</v>
      </c>
      <c r="B55" s="82"/>
      <c r="C55" s="82"/>
      <c r="D55" s="82"/>
      <c r="E55" s="82">
        <v>5517</v>
      </c>
      <c r="F55" s="82"/>
      <c r="G55" s="82"/>
      <c r="H55" s="82">
        <v>5656</v>
      </c>
      <c r="I55" s="82">
        <v>5496</v>
      </c>
      <c r="J55" s="1">
        <v>5826</v>
      </c>
      <c r="K55" s="1">
        <v>6190</v>
      </c>
      <c r="L55" s="1">
        <v>5868</v>
      </c>
      <c r="N55" s="1">
        <v>5890</v>
      </c>
      <c r="O55" s="7">
        <v>6035</v>
      </c>
      <c r="P55" s="7">
        <v>5955</v>
      </c>
    </row>
    <row r="56" spans="1:16">
      <c r="A56" s="54" t="s">
        <v>179</v>
      </c>
      <c r="B56" s="82"/>
      <c r="C56" s="82"/>
      <c r="D56" s="82"/>
      <c r="E56" s="82">
        <v>31392</v>
      </c>
      <c r="F56" s="82"/>
      <c r="G56" s="82"/>
      <c r="H56" s="82">
        <v>33297</v>
      </c>
      <c r="I56" s="82">
        <v>34291</v>
      </c>
      <c r="J56" s="1">
        <v>35286</v>
      </c>
      <c r="K56" s="1">
        <v>35223</v>
      </c>
      <c r="L56" s="1">
        <v>35465</v>
      </c>
      <c r="N56" s="1">
        <v>36370</v>
      </c>
      <c r="O56" s="7">
        <v>36895</v>
      </c>
      <c r="P56" s="7">
        <v>36140</v>
      </c>
    </row>
    <row r="57" spans="1:16">
      <c r="A57" s="54" t="s">
        <v>187</v>
      </c>
      <c r="B57" s="82"/>
      <c r="C57" s="82"/>
      <c r="D57" s="82"/>
      <c r="E57" s="82">
        <v>6347</v>
      </c>
      <c r="F57" s="82"/>
      <c r="G57" s="82"/>
      <c r="H57" s="82">
        <v>6872</v>
      </c>
      <c r="I57" s="82">
        <v>7296</v>
      </c>
      <c r="J57" s="1">
        <v>7217</v>
      </c>
      <c r="K57" s="1">
        <v>7065</v>
      </c>
      <c r="L57" s="1">
        <v>7232</v>
      </c>
      <c r="N57" s="1">
        <v>7426</v>
      </c>
      <c r="O57" s="7">
        <v>7321</v>
      </c>
      <c r="P57" s="7">
        <v>8926</v>
      </c>
    </row>
    <row r="58" spans="1:16">
      <c r="A58" s="54" t="s">
        <v>188</v>
      </c>
      <c r="B58" s="82"/>
      <c r="C58" s="82"/>
      <c r="D58" s="82"/>
      <c r="E58" s="82">
        <v>19801</v>
      </c>
      <c r="F58" s="82"/>
      <c r="G58" s="82"/>
      <c r="H58" s="82">
        <v>21008</v>
      </c>
      <c r="I58" s="82">
        <v>21451</v>
      </c>
      <c r="J58" s="1">
        <v>21667</v>
      </c>
      <c r="K58" s="1">
        <v>22771</v>
      </c>
      <c r="L58" s="1">
        <v>22741</v>
      </c>
      <c r="N58" s="1">
        <v>22460</v>
      </c>
      <c r="O58" s="7">
        <v>22320</v>
      </c>
      <c r="P58" s="7">
        <v>22112</v>
      </c>
    </row>
    <row r="59" spans="1:16">
      <c r="A59" s="54" t="s">
        <v>191</v>
      </c>
      <c r="B59" s="82"/>
      <c r="C59" s="82"/>
      <c r="D59" s="82"/>
      <c r="E59" s="82">
        <v>67224</v>
      </c>
      <c r="F59" s="82"/>
      <c r="G59" s="82"/>
      <c r="H59" s="82">
        <v>70287</v>
      </c>
      <c r="I59" s="82">
        <v>71006</v>
      </c>
      <c r="J59" s="1">
        <v>68241</v>
      </c>
      <c r="K59" s="1">
        <v>70501</v>
      </c>
      <c r="L59" s="1">
        <v>72587</v>
      </c>
      <c r="N59" s="1">
        <v>70725</v>
      </c>
      <c r="O59" s="7">
        <v>70312</v>
      </c>
      <c r="P59" s="7">
        <v>68897</v>
      </c>
    </row>
    <row r="60" spans="1:16">
      <c r="A60" s="54" t="s">
        <v>194</v>
      </c>
      <c r="B60" s="82"/>
      <c r="C60" s="82"/>
      <c r="D60" s="82"/>
      <c r="E60" s="82">
        <v>63614</v>
      </c>
      <c r="F60" s="82"/>
      <c r="G60" s="82"/>
      <c r="H60" s="82">
        <v>66251</v>
      </c>
      <c r="I60" s="82">
        <v>66908</v>
      </c>
      <c r="J60" s="1">
        <v>67211</v>
      </c>
      <c r="K60" s="1">
        <v>68195</v>
      </c>
      <c r="L60" s="1">
        <v>67571</v>
      </c>
      <c r="N60" s="1">
        <v>67595</v>
      </c>
      <c r="O60" s="7">
        <v>66060</v>
      </c>
      <c r="P60" s="7">
        <v>65240</v>
      </c>
    </row>
    <row r="61" spans="1:16">
      <c r="A61" s="54" t="s">
        <v>195</v>
      </c>
      <c r="B61" s="82"/>
      <c r="C61" s="82"/>
      <c r="D61" s="82"/>
      <c r="E61" s="82">
        <v>7127</v>
      </c>
      <c r="F61" s="82"/>
      <c r="G61" s="82"/>
      <c r="H61" s="82">
        <v>7246</v>
      </c>
      <c r="I61" s="82">
        <v>7391</v>
      </c>
      <c r="J61" s="1">
        <v>7308</v>
      </c>
      <c r="K61" s="1">
        <v>7187</v>
      </c>
      <c r="L61" s="1">
        <v>7174</v>
      </c>
      <c r="N61" s="1">
        <v>7636</v>
      </c>
      <c r="O61" s="7">
        <v>7764</v>
      </c>
      <c r="P61" s="7">
        <v>7752</v>
      </c>
    </row>
    <row r="62" spans="1:16">
      <c r="A62" s="58" t="s">
        <v>198</v>
      </c>
      <c r="B62" s="83"/>
      <c r="C62" s="83"/>
      <c r="D62" s="83"/>
      <c r="E62" s="83">
        <v>4332</v>
      </c>
      <c r="F62" s="83"/>
      <c r="G62" s="83"/>
      <c r="H62" s="83">
        <v>4935</v>
      </c>
      <c r="I62" s="83">
        <v>5041</v>
      </c>
      <c r="J62" s="1">
        <v>5032</v>
      </c>
      <c r="K62" s="5">
        <v>5221</v>
      </c>
      <c r="L62" s="1">
        <v>5083</v>
      </c>
      <c r="N62" s="1">
        <v>5005</v>
      </c>
      <c r="O62" s="7">
        <v>5006</v>
      </c>
      <c r="P62" s="7">
        <v>5031</v>
      </c>
    </row>
    <row r="63" spans="1:16">
      <c r="A63" s="59" t="s">
        <v>172</v>
      </c>
      <c r="B63" s="60"/>
      <c r="C63" s="60"/>
      <c r="D63" s="60"/>
      <c r="E63" s="60">
        <v>4993</v>
      </c>
      <c r="F63" s="60"/>
      <c r="G63" s="60"/>
      <c r="H63" s="60">
        <v>5200</v>
      </c>
      <c r="I63" s="60">
        <v>4450</v>
      </c>
      <c r="J63" s="60">
        <v>4137</v>
      </c>
      <c r="K63" s="5">
        <v>4205</v>
      </c>
      <c r="L63" s="66">
        <v>4448</v>
      </c>
      <c r="M63" s="66"/>
      <c r="N63" s="66">
        <v>4347</v>
      </c>
      <c r="O63" s="91">
        <v>4440</v>
      </c>
      <c r="P63" s="91">
        <v>4413</v>
      </c>
    </row>
    <row r="64" spans="1:16">
      <c r="O64" s="7"/>
      <c r="P64" s="7"/>
    </row>
    <row r="65" spans="8:9">
      <c r="H65" s="3" t="s">
        <v>81</v>
      </c>
      <c r="I65" s="3"/>
    </row>
    <row r="66" spans="8:9">
      <c r="H66" s="1" t="s">
        <v>211</v>
      </c>
    </row>
    <row r="67" spans="8:9">
      <c r="H67" s="1" t="s">
        <v>212</v>
      </c>
    </row>
    <row r="68" spans="8:9">
      <c r="H68" s="1" t="s">
        <v>213</v>
      </c>
    </row>
    <row r="69" spans="8:9">
      <c r="H69" s="1" t="s">
        <v>41</v>
      </c>
    </row>
    <row r="70" spans="8:9">
      <c r="H70" s="1" t="s">
        <v>214</v>
      </c>
    </row>
    <row r="71" spans="8:9">
      <c r="H71" s="1" t="s">
        <v>215</v>
      </c>
    </row>
    <row r="72" spans="8:9">
      <c r="H72" s="1" t="s">
        <v>46</v>
      </c>
    </row>
    <row r="73" spans="8:9">
      <c r="H73" s="1" t="s">
        <v>216</v>
      </c>
    </row>
    <row r="74" spans="8:9">
      <c r="H74" s="1" t="s">
        <v>217</v>
      </c>
    </row>
    <row r="75" spans="8:9">
      <c r="H75" s="1" t="s">
        <v>218</v>
      </c>
    </row>
  </sheetData>
  <phoneticPr fontId="10" type="noConversion"/>
  <hyperlinks>
    <hyperlink ref="H75" r:id="rId1" display="www.nces.ed.gov" xr:uid="{00000000-0004-0000-0600-000000000000}"/>
  </hyperlinks>
  <pageMargins left="0.75" right="0.75" top="1" bottom="1" header="0.5" footer="0.5"/>
  <pageSetup orientation="landscape" r:id="rId2"/>
  <headerFooter alignWithMargins="0"/>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62"/>
  </sheetPr>
  <dimension ref="A1:BA129"/>
  <sheetViews>
    <sheetView zoomScale="90" zoomScaleNormal="90" workbookViewId="0">
      <pane xSplit="1" ySplit="3" topLeftCell="B4" activePane="bottomRight" state="frozen"/>
      <selection activeCell="AO3" sqref="AO3:AP9"/>
      <selection pane="topRight" activeCell="AO3" sqref="AO3:AP9"/>
      <selection pane="bottomLeft" activeCell="AO3" sqref="AO3:AP9"/>
      <selection pane="bottomRight" activeCell="BA54" sqref="BA54:BA63"/>
    </sheetView>
  </sheetViews>
  <sheetFormatPr defaultRowHeight="12.75"/>
  <cols>
    <col min="1" max="1" width="19.28515625" style="1" customWidth="1"/>
    <col min="2" max="2" width="8.28515625" style="10" customWidth="1"/>
    <col min="3" max="18" width="8.28515625" style="1" customWidth="1"/>
    <col min="19" max="25" width="9.140625" style="1"/>
    <col min="26" max="27" width="9.85546875" style="1" customWidth="1"/>
    <col min="28" max="28" width="8.28515625" style="10" customWidth="1"/>
    <col min="29" max="44" width="8.28515625" style="1" customWidth="1"/>
    <col min="45" max="46" width="9.140625" style="1"/>
    <col min="47" max="47" width="8.28515625" style="1" customWidth="1"/>
    <col min="48" max="51" width="9.140625" style="1"/>
    <col min="52" max="53" width="9.85546875" style="1" customWidth="1"/>
    <col min="54" max="264" width="9.140625" style="1"/>
    <col min="265" max="265" width="14.7109375" style="1" customWidth="1"/>
    <col min="266" max="282" width="8.28515625" style="1" customWidth="1"/>
    <col min="283" max="283" width="11.7109375" style="1" bestFit="1" customWidth="1"/>
    <col min="284" max="284" width="10.42578125" style="1" bestFit="1" customWidth="1"/>
    <col min="285" max="301" width="8.28515625" style="1" customWidth="1"/>
    <col min="302" max="520" width="9.140625" style="1"/>
    <col min="521" max="521" width="14.7109375" style="1" customWidth="1"/>
    <col min="522" max="538" width="8.28515625" style="1" customWidth="1"/>
    <col min="539" max="539" width="11.7109375" style="1" bestFit="1" customWidth="1"/>
    <col min="540" max="540" width="10.42578125" style="1" bestFit="1" customWidth="1"/>
    <col min="541" max="557" width="8.28515625" style="1" customWidth="1"/>
    <col min="558" max="776" width="9.140625" style="1"/>
    <col min="777" max="777" width="14.7109375" style="1" customWidth="1"/>
    <col min="778" max="794" width="8.28515625" style="1" customWidth="1"/>
    <col min="795" max="795" width="11.7109375" style="1" bestFit="1" customWidth="1"/>
    <col min="796" max="796" width="10.42578125" style="1" bestFit="1" customWidth="1"/>
    <col min="797" max="813" width="8.28515625" style="1" customWidth="1"/>
    <col min="814" max="1032" width="9.140625" style="1"/>
    <col min="1033" max="1033" width="14.7109375" style="1" customWidth="1"/>
    <col min="1034" max="1050" width="8.28515625" style="1" customWidth="1"/>
    <col min="1051" max="1051" width="11.7109375" style="1" bestFit="1" customWidth="1"/>
    <col min="1052" max="1052" width="10.42578125" style="1" bestFit="1" customWidth="1"/>
    <col min="1053" max="1069" width="8.28515625" style="1" customWidth="1"/>
    <col min="1070" max="1288" width="9.140625" style="1"/>
    <col min="1289" max="1289" width="14.7109375" style="1" customWidth="1"/>
    <col min="1290" max="1306" width="8.28515625" style="1" customWidth="1"/>
    <col min="1307" max="1307" width="11.7109375" style="1" bestFit="1" customWidth="1"/>
    <col min="1308" max="1308" width="10.42578125" style="1" bestFit="1" customWidth="1"/>
    <col min="1309" max="1325" width="8.28515625" style="1" customWidth="1"/>
    <col min="1326" max="1544" width="9.140625" style="1"/>
    <col min="1545" max="1545" width="14.7109375" style="1" customWidth="1"/>
    <col min="1546" max="1562" width="8.28515625" style="1" customWidth="1"/>
    <col min="1563" max="1563" width="11.7109375" style="1" bestFit="1" customWidth="1"/>
    <col min="1564" max="1564" width="10.42578125" style="1" bestFit="1" customWidth="1"/>
    <col min="1565" max="1581" width="8.28515625" style="1" customWidth="1"/>
    <col min="1582" max="1800" width="9.140625" style="1"/>
    <col min="1801" max="1801" width="14.7109375" style="1" customWidth="1"/>
    <col min="1802" max="1818" width="8.28515625" style="1" customWidth="1"/>
    <col min="1819" max="1819" width="11.7109375" style="1" bestFit="1" customWidth="1"/>
    <col min="1820" max="1820" width="10.42578125" style="1" bestFit="1" customWidth="1"/>
    <col min="1821" max="1837" width="8.28515625" style="1" customWidth="1"/>
    <col min="1838" max="2056" width="9.140625" style="1"/>
    <col min="2057" max="2057" width="14.7109375" style="1" customWidth="1"/>
    <col min="2058" max="2074" width="8.28515625" style="1" customWidth="1"/>
    <col min="2075" max="2075" width="11.7109375" style="1" bestFit="1" customWidth="1"/>
    <col min="2076" max="2076" width="10.42578125" style="1" bestFit="1" customWidth="1"/>
    <col min="2077" max="2093" width="8.28515625" style="1" customWidth="1"/>
    <col min="2094" max="2312" width="9.140625" style="1"/>
    <col min="2313" max="2313" width="14.7109375" style="1" customWidth="1"/>
    <col min="2314" max="2330" width="8.28515625" style="1" customWidth="1"/>
    <col min="2331" max="2331" width="11.7109375" style="1" bestFit="1" customWidth="1"/>
    <col min="2332" max="2332" width="10.42578125" style="1" bestFit="1" customWidth="1"/>
    <col min="2333" max="2349" width="8.28515625" style="1" customWidth="1"/>
    <col min="2350" max="2568" width="9.140625" style="1"/>
    <col min="2569" max="2569" width="14.7109375" style="1" customWidth="1"/>
    <col min="2570" max="2586" width="8.28515625" style="1" customWidth="1"/>
    <col min="2587" max="2587" width="11.7109375" style="1" bestFit="1" customWidth="1"/>
    <col min="2588" max="2588" width="10.42578125" style="1" bestFit="1" customWidth="1"/>
    <col min="2589" max="2605" width="8.28515625" style="1" customWidth="1"/>
    <col min="2606" max="2824" width="9.140625" style="1"/>
    <col min="2825" max="2825" width="14.7109375" style="1" customWidth="1"/>
    <col min="2826" max="2842" width="8.28515625" style="1" customWidth="1"/>
    <col min="2843" max="2843" width="11.7109375" style="1" bestFit="1" customWidth="1"/>
    <col min="2844" max="2844" width="10.42578125" style="1" bestFit="1" customWidth="1"/>
    <col min="2845" max="2861" width="8.28515625" style="1" customWidth="1"/>
    <col min="2862" max="3080" width="9.140625" style="1"/>
    <col min="3081" max="3081" width="14.7109375" style="1" customWidth="1"/>
    <col min="3082" max="3098" width="8.28515625" style="1" customWidth="1"/>
    <col min="3099" max="3099" width="11.7109375" style="1" bestFit="1" customWidth="1"/>
    <col min="3100" max="3100" width="10.42578125" style="1" bestFit="1" customWidth="1"/>
    <col min="3101" max="3117" width="8.28515625" style="1" customWidth="1"/>
    <col min="3118" max="3336" width="9.140625" style="1"/>
    <col min="3337" max="3337" width="14.7109375" style="1" customWidth="1"/>
    <col min="3338" max="3354" width="8.28515625" style="1" customWidth="1"/>
    <col min="3355" max="3355" width="11.7109375" style="1" bestFit="1" customWidth="1"/>
    <col min="3356" max="3356" width="10.42578125" style="1" bestFit="1" customWidth="1"/>
    <col min="3357" max="3373" width="8.28515625" style="1" customWidth="1"/>
    <col min="3374" max="3592" width="9.140625" style="1"/>
    <col min="3593" max="3593" width="14.7109375" style="1" customWidth="1"/>
    <col min="3594" max="3610" width="8.28515625" style="1" customWidth="1"/>
    <col min="3611" max="3611" width="11.7109375" style="1" bestFit="1" customWidth="1"/>
    <col min="3612" max="3612" width="10.42578125" style="1" bestFit="1" customWidth="1"/>
    <col min="3613" max="3629" width="8.28515625" style="1" customWidth="1"/>
    <col min="3630" max="3848" width="9.140625" style="1"/>
    <col min="3849" max="3849" width="14.7109375" style="1" customWidth="1"/>
    <col min="3850" max="3866" width="8.28515625" style="1" customWidth="1"/>
    <col min="3867" max="3867" width="11.7109375" style="1" bestFit="1" customWidth="1"/>
    <col min="3868" max="3868" width="10.42578125" style="1" bestFit="1" customWidth="1"/>
    <col min="3869" max="3885" width="8.28515625" style="1" customWidth="1"/>
    <col min="3886" max="4104" width="9.140625" style="1"/>
    <col min="4105" max="4105" width="14.7109375" style="1" customWidth="1"/>
    <col min="4106" max="4122" width="8.28515625" style="1" customWidth="1"/>
    <col min="4123" max="4123" width="11.7109375" style="1" bestFit="1" customWidth="1"/>
    <col min="4124" max="4124" width="10.42578125" style="1" bestFit="1" customWidth="1"/>
    <col min="4125" max="4141" width="8.28515625" style="1" customWidth="1"/>
    <col min="4142" max="4360" width="9.140625" style="1"/>
    <col min="4361" max="4361" width="14.7109375" style="1" customWidth="1"/>
    <col min="4362" max="4378" width="8.28515625" style="1" customWidth="1"/>
    <col min="4379" max="4379" width="11.7109375" style="1" bestFit="1" customWidth="1"/>
    <col min="4380" max="4380" width="10.42578125" style="1" bestFit="1" customWidth="1"/>
    <col min="4381" max="4397" width="8.28515625" style="1" customWidth="1"/>
    <col min="4398" max="4616" width="9.140625" style="1"/>
    <col min="4617" max="4617" width="14.7109375" style="1" customWidth="1"/>
    <col min="4618" max="4634" width="8.28515625" style="1" customWidth="1"/>
    <col min="4635" max="4635" width="11.7109375" style="1" bestFit="1" customWidth="1"/>
    <col min="4636" max="4636" width="10.42578125" style="1" bestFit="1" customWidth="1"/>
    <col min="4637" max="4653" width="8.28515625" style="1" customWidth="1"/>
    <col min="4654" max="4872" width="9.140625" style="1"/>
    <col min="4873" max="4873" width="14.7109375" style="1" customWidth="1"/>
    <col min="4874" max="4890" width="8.28515625" style="1" customWidth="1"/>
    <col min="4891" max="4891" width="11.7109375" style="1" bestFit="1" customWidth="1"/>
    <col min="4892" max="4892" width="10.42578125" style="1" bestFit="1" customWidth="1"/>
    <col min="4893" max="4909" width="8.28515625" style="1" customWidth="1"/>
    <col min="4910" max="5128" width="9.140625" style="1"/>
    <col min="5129" max="5129" width="14.7109375" style="1" customWidth="1"/>
    <col min="5130" max="5146" width="8.28515625" style="1" customWidth="1"/>
    <col min="5147" max="5147" width="11.7109375" style="1" bestFit="1" customWidth="1"/>
    <col min="5148" max="5148" width="10.42578125" style="1" bestFit="1" customWidth="1"/>
    <col min="5149" max="5165" width="8.28515625" style="1" customWidth="1"/>
    <col min="5166" max="5384" width="9.140625" style="1"/>
    <col min="5385" max="5385" width="14.7109375" style="1" customWidth="1"/>
    <col min="5386" max="5402" width="8.28515625" style="1" customWidth="1"/>
    <col min="5403" max="5403" width="11.7109375" style="1" bestFit="1" customWidth="1"/>
    <col min="5404" max="5404" width="10.42578125" style="1" bestFit="1" customWidth="1"/>
    <col min="5405" max="5421" width="8.28515625" style="1" customWidth="1"/>
    <col min="5422" max="5640" width="9.140625" style="1"/>
    <col min="5641" max="5641" width="14.7109375" style="1" customWidth="1"/>
    <col min="5642" max="5658" width="8.28515625" style="1" customWidth="1"/>
    <col min="5659" max="5659" width="11.7109375" style="1" bestFit="1" customWidth="1"/>
    <col min="5660" max="5660" width="10.42578125" style="1" bestFit="1" customWidth="1"/>
    <col min="5661" max="5677" width="8.28515625" style="1" customWidth="1"/>
    <col min="5678" max="5896" width="9.140625" style="1"/>
    <col min="5897" max="5897" width="14.7109375" style="1" customWidth="1"/>
    <col min="5898" max="5914" width="8.28515625" style="1" customWidth="1"/>
    <col min="5915" max="5915" width="11.7109375" style="1" bestFit="1" customWidth="1"/>
    <col min="5916" max="5916" width="10.42578125" style="1" bestFit="1" customWidth="1"/>
    <col min="5917" max="5933" width="8.28515625" style="1" customWidth="1"/>
    <col min="5934" max="6152" width="9.140625" style="1"/>
    <col min="6153" max="6153" width="14.7109375" style="1" customWidth="1"/>
    <col min="6154" max="6170" width="8.28515625" style="1" customWidth="1"/>
    <col min="6171" max="6171" width="11.7109375" style="1" bestFit="1" customWidth="1"/>
    <col min="6172" max="6172" width="10.42578125" style="1" bestFit="1" customWidth="1"/>
    <col min="6173" max="6189" width="8.28515625" style="1" customWidth="1"/>
    <col min="6190" max="6408" width="9.140625" style="1"/>
    <col min="6409" max="6409" width="14.7109375" style="1" customWidth="1"/>
    <col min="6410" max="6426" width="8.28515625" style="1" customWidth="1"/>
    <col min="6427" max="6427" width="11.7109375" style="1" bestFit="1" customWidth="1"/>
    <col min="6428" max="6428" width="10.42578125" style="1" bestFit="1" customWidth="1"/>
    <col min="6429" max="6445" width="8.28515625" style="1" customWidth="1"/>
    <col min="6446" max="6664" width="9.140625" style="1"/>
    <col min="6665" max="6665" width="14.7109375" style="1" customWidth="1"/>
    <col min="6666" max="6682" width="8.28515625" style="1" customWidth="1"/>
    <col min="6683" max="6683" width="11.7109375" style="1" bestFit="1" customWidth="1"/>
    <col min="6684" max="6684" width="10.42578125" style="1" bestFit="1" customWidth="1"/>
    <col min="6685" max="6701" width="8.28515625" style="1" customWidth="1"/>
    <col min="6702" max="6920" width="9.140625" style="1"/>
    <col min="6921" max="6921" width="14.7109375" style="1" customWidth="1"/>
    <col min="6922" max="6938" width="8.28515625" style="1" customWidth="1"/>
    <col min="6939" max="6939" width="11.7109375" style="1" bestFit="1" customWidth="1"/>
    <col min="6940" max="6940" width="10.42578125" style="1" bestFit="1" customWidth="1"/>
    <col min="6941" max="6957" width="8.28515625" style="1" customWidth="1"/>
    <col min="6958" max="7176" width="9.140625" style="1"/>
    <col min="7177" max="7177" width="14.7109375" style="1" customWidth="1"/>
    <col min="7178" max="7194" width="8.28515625" style="1" customWidth="1"/>
    <col min="7195" max="7195" width="11.7109375" style="1" bestFit="1" customWidth="1"/>
    <col min="7196" max="7196" width="10.42578125" style="1" bestFit="1" customWidth="1"/>
    <col min="7197" max="7213" width="8.28515625" style="1" customWidth="1"/>
    <col min="7214" max="7432" width="9.140625" style="1"/>
    <col min="7433" max="7433" width="14.7109375" style="1" customWidth="1"/>
    <col min="7434" max="7450" width="8.28515625" style="1" customWidth="1"/>
    <col min="7451" max="7451" width="11.7109375" style="1" bestFit="1" customWidth="1"/>
    <col min="7452" max="7452" width="10.42578125" style="1" bestFit="1" customWidth="1"/>
    <col min="7453" max="7469" width="8.28515625" style="1" customWidth="1"/>
    <col min="7470" max="7688" width="9.140625" style="1"/>
    <col min="7689" max="7689" width="14.7109375" style="1" customWidth="1"/>
    <col min="7690" max="7706" width="8.28515625" style="1" customWidth="1"/>
    <col min="7707" max="7707" width="11.7109375" style="1" bestFit="1" customWidth="1"/>
    <col min="7708" max="7708" width="10.42578125" style="1" bestFit="1" customWidth="1"/>
    <col min="7709" max="7725" width="8.28515625" style="1" customWidth="1"/>
    <col min="7726" max="7944" width="9.140625" style="1"/>
    <col min="7945" max="7945" width="14.7109375" style="1" customWidth="1"/>
    <col min="7946" max="7962" width="8.28515625" style="1" customWidth="1"/>
    <col min="7963" max="7963" width="11.7109375" style="1" bestFit="1" customWidth="1"/>
    <col min="7964" max="7964" width="10.42578125" style="1" bestFit="1" customWidth="1"/>
    <col min="7965" max="7981" width="8.28515625" style="1" customWidth="1"/>
    <col min="7982" max="8200" width="9.140625" style="1"/>
    <col min="8201" max="8201" width="14.7109375" style="1" customWidth="1"/>
    <col min="8202" max="8218" width="8.28515625" style="1" customWidth="1"/>
    <col min="8219" max="8219" width="11.7109375" style="1" bestFit="1" customWidth="1"/>
    <col min="8220" max="8220" width="10.42578125" style="1" bestFit="1" customWidth="1"/>
    <col min="8221" max="8237" width="8.28515625" style="1" customWidth="1"/>
    <col min="8238" max="8456" width="9.140625" style="1"/>
    <col min="8457" max="8457" width="14.7109375" style="1" customWidth="1"/>
    <col min="8458" max="8474" width="8.28515625" style="1" customWidth="1"/>
    <col min="8475" max="8475" width="11.7109375" style="1" bestFit="1" customWidth="1"/>
    <col min="8476" max="8476" width="10.42578125" style="1" bestFit="1" customWidth="1"/>
    <col min="8477" max="8493" width="8.28515625" style="1" customWidth="1"/>
    <col min="8494" max="8712" width="9.140625" style="1"/>
    <col min="8713" max="8713" width="14.7109375" style="1" customWidth="1"/>
    <col min="8714" max="8730" width="8.28515625" style="1" customWidth="1"/>
    <col min="8731" max="8731" width="11.7109375" style="1" bestFit="1" customWidth="1"/>
    <col min="8732" max="8732" width="10.42578125" style="1" bestFit="1" customWidth="1"/>
    <col min="8733" max="8749" width="8.28515625" style="1" customWidth="1"/>
    <col min="8750" max="8968" width="9.140625" style="1"/>
    <col min="8969" max="8969" width="14.7109375" style="1" customWidth="1"/>
    <col min="8970" max="8986" width="8.28515625" style="1" customWidth="1"/>
    <col min="8987" max="8987" width="11.7109375" style="1" bestFit="1" customWidth="1"/>
    <col min="8988" max="8988" width="10.42578125" style="1" bestFit="1" customWidth="1"/>
    <col min="8989" max="9005" width="8.28515625" style="1" customWidth="1"/>
    <col min="9006" max="9224" width="9.140625" style="1"/>
    <col min="9225" max="9225" width="14.7109375" style="1" customWidth="1"/>
    <col min="9226" max="9242" width="8.28515625" style="1" customWidth="1"/>
    <col min="9243" max="9243" width="11.7109375" style="1" bestFit="1" customWidth="1"/>
    <col min="9244" max="9244" width="10.42578125" style="1" bestFit="1" customWidth="1"/>
    <col min="9245" max="9261" width="8.28515625" style="1" customWidth="1"/>
    <col min="9262" max="9480" width="9.140625" style="1"/>
    <col min="9481" max="9481" width="14.7109375" style="1" customWidth="1"/>
    <col min="9482" max="9498" width="8.28515625" style="1" customWidth="1"/>
    <col min="9499" max="9499" width="11.7109375" style="1" bestFit="1" customWidth="1"/>
    <col min="9500" max="9500" width="10.42578125" style="1" bestFit="1" customWidth="1"/>
    <col min="9501" max="9517" width="8.28515625" style="1" customWidth="1"/>
    <col min="9518" max="9736" width="9.140625" style="1"/>
    <col min="9737" max="9737" width="14.7109375" style="1" customWidth="1"/>
    <col min="9738" max="9754" width="8.28515625" style="1" customWidth="1"/>
    <col min="9755" max="9755" width="11.7109375" style="1" bestFit="1" customWidth="1"/>
    <col min="9756" max="9756" width="10.42578125" style="1" bestFit="1" customWidth="1"/>
    <col min="9757" max="9773" width="8.28515625" style="1" customWidth="1"/>
    <col min="9774" max="9992" width="9.140625" style="1"/>
    <col min="9993" max="9993" width="14.7109375" style="1" customWidth="1"/>
    <col min="9994" max="10010" width="8.28515625" style="1" customWidth="1"/>
    <col min="10011" max="10011" width="11.7109375" style="1" bestFit="1" customWidth="1"/>
    <col min="10012" max="10012" width="10.42578125" style="1" bestFit="1" customWidth="1"/>
    <col min="10013" max="10029" width="8.28515625" style="1" customWidth="1"/>
    <col min="10030" max="10248" width="9.140625" style="1"/>
    <col min="10249" max="10249" width="14.7109375" style="1" customWidth="1"/>
    <col min="10250" max="10266" width="8.28515625" style="1" customWidth="1"/>
    <col min="10267" max="10267" width="11.7109375" style="1" bestFit="1" customWidth="1"/>
    <col min="10268" max="10268" width="10.42578125" style="1" bestFit="1" customWidth="1"/>
    <col min="10269" max="10285" width="8.28515625" style="1" customWidth="1"/>
    <col min="10286" max="10504" width="9.140625" style="1"/>
    <col min="10505" max="10505" width="14.7109375" style="1" customWidth="1"/>
    <col min="10506" max="10522" width="8.28515625" style="1" customWidth="1"/>
    <col min="10523" max="10523" width="11.7109375" style="1" bestFit="1" customWidth="1"/>
    <col min="10524" max="10524" width="10.42578125" style="1" bestFit="1" customWidth="1"/>
    <col min="10525" max="10541" width="8.28515625" style="1" customWidth="1"/>
    <col min="10542" max="10760" width="9.140625" style="1"/>
    <col min="10761" max="10761" width="14.7109375" style="1" customWidth="1"/>
    <col min="10762" max="10778" width="8.28515625" style="1" customWidth="1"/>
    <col min="10779" max="10779" width="11.7109375" style="1" bestFit="1" customWidth="1"/>
    <col min="10780" max="10780" width="10.42578125" style="1" bestFit="1" customWidth="1"/>
    <col min="10781" max="10797" width="8.28515625" style="1" customWidth="1"/>
    <col min="10798" max="11016" width="9.140625" style="1"/>
    <col min="11017" max="11017" width="14.7109375" style="1" customWidth="1"/>
    <col min="11018" max="11034" width="8.28515625" style="1" customWidth="1"/>
    <col min="11035" max="11035" width="11.7109375" style="1" bestFit="1" customWidth="1"/>
    <col min="11036" max="11036" width="10.42578125" style="1" bestFit="1" customWidth="1"/>
    <col min="11037" max="11053" width="8.28515625" style="1" customWidth="1"/>
    <col min="11054" max="11272" width="9.140625" style="1"/>
    <col min="11273" max="11273" width="14.7109375" style="1" customWidth="1"/>
    <col min="11274" max="11290" width="8.28515625" style="1" customWidth="1"/>
    <col min="11291" max="11291" width="11.7109375" style="1" bestFit="1" customWidth="1"/>
    <col min="11292" max="11292" width="10.42578125" style="1" bestFit="1" customWidth="1"/>
    <col min="11293" max="11309" width="8.28515625" style="1" customWidth="1"/>
    <col min="11310" max="11528" width="9.140625" style="1"/>
    <col min="11529" max="11529" width="14.7109375" style="1" customWidth="1"/>
    <col min="11530" max="11546" width="8.28515625" style="1" customWidth="1"/>
    <col min="11547" max="11547" width="11.7109375" style="1" bestFit="1" customWidth="1"/>
    <col min="11548" max="11548" width="10.42578125" style="1" bestFit="1" customWidth="1"/>
    <col min="11549" max="11565" width="8.28515625" style="1" customWidth="1"/>
    <col min="11566" max="11784" width="9.140625" style="1"/>
    <col min="11785" max="11785" width="14.7109375" style="1" customWidth="1"/>
    <col min="11786" max="11802" width="8.28515625" style="1" customWidth="1"/>
    <col min="11803" max="11803" width="11.7109375" style="1" bestFit="1" customWidth="1"/>
    <col min="11804" max="11804" width="10.42578125" style="1" bestFit="1" customWidth="1"/>
    <col min="11805" max="11821" width="8.28515625" style="1" customWidth="1"/>
    <col min="11822" max="12040" width="9.140625" style="1"/>
    <col min="12041" max="12041" width="14.7109375" style="1" customWidth="1"/>
    <col min="12042" max="12058" width="8.28515625" style="1" customWidth="1"/>
    <col min="12059" max="12059" width="11.7109375" style="1" bestFit="1" customWidth="1"/>
    <col min="12060" max="12060" width="10.42578125" style="1" bestFit="1" customWidth="1"/>
    <col min="12061" max="12077" width="8.28515625" style="1" customWidth="1"/>
    <col min="12078" max="12296" width="9.140625" style="1"/>
    <col min="12297" max="12297" width="14.7109375" style="1" customWidth="1"/>
    <col min="12298" max="12314" width="8.28515625" style="1" customWidth="1"/>
    <col min="12315" max="12315" width="11.7109375" style="1" bestFit="1" customWidth="1"/>
    <col min="12316" max="12316" width="10.42578125" style="1" bestFit="1" customWidth="1"/>
    <col min="12317" max="12333" width="8.28515625" style="1" customWidth="1"/>
    <col min="12334" max="12552" width="9.140625" style="1"/>
    <col min="12553" max="12553" width="14.7109375" style="1" customWidth="1"/>
    <col min="12554" max="12570" width="8.28515625" style="1" customWidth="1"/>
    <col min="12571" max="12571" width="11.7109375" style="1" bestFit="1" customWidth="1"/>
    <col min="12572" max="12572" width="10.42578125" style="1" bestFit="1" customWidth="1"/>
    <col min="12573" max="12589" width="8.28515625" style="1" customWidth="1"/>
    <col min="12590" max="12808" width="9.140625" style="1"/>
    <col min="12809" max="12809" width="14.7109375" style="1" customWidth="1"/>
    <col min="12810" max="12826" width="8.28515625" style="1" customWidth="1"/>
    <col min="12827" max="12827" width="11.7109375" style="1" bestFit="1" customWidth="1"/>
    <col min="12828" max="12828" width="10.42578125" style="1" bestFit="1" customWidth="1"/>
    <col min="12829" max="12845" width="8.28515625" style="1" customWidth="1"/>
    <col min="12846" max="13064" width="9.140625" style="1"/>
    <col min="13065" max="13065" width="14.7109375" style="1" customWidth="1"/>
    <col min="13066" max="13082" width="8.28515625" style="1" customWidth="1"/>
    <col min="13083" max="13083" width="11.7109375" style="1" bestFit="1" customWidth="1"/>
    <col min="13084" max="13084" width="10.42578125" style="1" bestFit="1" customWidth="1"/>
    <col min="13085" max="13101" width="8.28515625" style="1" customWidth="1"/>
    <col min="13102" max="13320" width="9.140625" style="1"/>
    <col min="13321" max="13321" width="14.7109375" style="1" customWidth="1"/>
    <col min="13322" max="13338" width="8.28515625" style="1" customWidth="1"/>
    <col min="13339" max="13339" width="11.7109375" style="1" bestFit="1" customWidth="1"/>
    <col min="13340" max="13340" width="10.42578125" style="1" bestFit="1" customWidth="1"/>
    <col min="13341" max="13357" width="8.28515625" style="1" customWidth="1"/>
    <col min="13358" max="13576" width="9.140625" style="1"/>
    <col min="13577" max="13577" width="14.7109375" style="1" customWidth="1"/>
    <col min="13578" max="13594" width="8.28515625" style="1" customWidth="1"/>
    <col min="13595" max="13595" width="11.7109375" style="1" bestFit="1" customWidth="1"/>
    <col min="13596" max="13596" width="10.42578125" style="1" bestFit="1" customWidth="1"/>
    <col min="13597" max="13613" width="8.28515625" style="1" customWidth="1"/>
    <col min="13614" max="13832" width="9.140625" style="1"/>
    <col min="13833" max="13833" width="14.7109375" style="1" customWidth="1"/>
    <col min="13834" max="13850" width="8.28515625" style="1" customWidth="1"/>
    <col min="13851" max="13851" width="11.7109375" style="1" bestFit="1" customWidth="1"/>
    <col min="13852" max="13852" width="10.42578125" style="1" bestFit="1" customWidth="1"/>
    <col min="13853" max="13869" width="8.28515625" style="1" customWidth="1"/>
    <col min="13870" max="14088" width="9.140625" style="1"/>
    <col min="14089" max="14089" width="14.7109375" style="1" customWidth="1"/>
    <col min="14090" max="14106" width="8.28515625" style="1" customWidth="1"/>
    <col min="14107" max="14107" width="11.7109375" style="1" bestFit="1" customWidth="1"/>
    <col min="14108" max="14108" width="10.42578125" style="1" bestFit="1" customWidth="1"/>
    <col min="14109" max="14125" width="8.28515625" style="1" customWidth="1"/>
    <col min="14126" max="14344" width="9.140625" style="1"/>
    <col min="14345" max="14345" width="14.7109375" style="1" customWidth="1"/>
    <col min="14346" max="14362" width="8.28515625" style="1" customWidth="1"/>
    <col min="14363" max="14363" width="11.7109375" style="1" bestFit="1" customWidth="1"/>
    <col min="14364" max="14364" width="10.42578125" style="1" bestFit="1" customWidth="1"/>
    <col min="14365" max="14381" width="8.28515625" style="1" customWidth="1"/>
    <col min="14382" max="14600" width="9.140625" style="1"/>
    <col min="14601" max="14601" width="14.7109375" style="1" customWidth="1"/>
    <col min="14602" max="14618" width="8.28515625" style="1" customWidth="1"/>
    <col min="14619" max="14619" width="11.7109375" style="1" bestFit="1" customWidth="1"/>
    <col min="14620" max="14620" width="10.42578125" style="1" bestFit="1" customWidth="1"/>
    <col min="14621" max="14637" width="8.28515625" style="1" customWidth="1"/>
    <col min="14638" max="14856" width="9.140625" style="1"/>
    <col min="14857" max="14857" width="14.7109375" style="1" customWidth="1"/>
    <col min="14858" max="14874" width="8.28515625" style="1" customWidth="1"/>
    <col min="14875" max="14875" width="11.7109375" style="1" bestFit="1" customWidth="1"/>
    <col min="14876" max="14876" width="10.42578125" style="1" bestFit="1" customWidth="1"/>
    <col min="14877" max="14893" width="8.28515625" style="1" customWidth="1"/>
    <col min="14894" max="15112" width="9.140625" style="1"/>
    <col min="15113" max="15113" width="14.7109375" style="1" customWidth="1"/>
    <col min="15114" max="15130" width="8.28515625" style="1" customWidth="1"/>
    <col min="15131" max="15131" width="11.7109375" style="1" bestFit="1" customWidth="1"/>
    <col min="15132" max="15132" width="10.42578125" style="1" bestFit="1" customWidth="1"/>
    <col min="15133" max="15149" width="8.28515625" style="1" customWidth="1"/>
    <col min="15150" max="15368" width="9.140625" style="1"/>
    <col min="15369" max="15369" width="14.7109375" style="1" customWidth="1"/>
    <col min="15370" max="15386" width="8.28515625" style="1" customWidth="1"/>
    <col min="15387" max="15387" width="11.7109375" style="1" bestFit="1" customWidth="1"/>
    <col min="15388" max="15388" width="10.42578125" style="1" bestFit="1" customWidth="1"/>
    <col min="15389" max="15405" width="8.28515625" style="1" customWidth="1"/>
    <col min="15406" max="15624" width="9.140625" style="1"/>
    <col min="15625" max="15625" width="14.7109375" style="1" customWidth="1"/>
    <col min="15626" max="15642" width="8.28515625" style="1" customWidth="1"/>
    <col min="15643" max="15643" width="11.7109375" style="1" bestFit="1" customWidth="1"/>
    <col min="15644" max="15644" width="10.42578125" style="1" bestFit="1" customWidth="1"/>
    <col min="15645" max="15661" width="8.28515625" style="1" customWidth="1"/>
    <col min="15662" max="15880" width="9.140625" style="1"/>
    <col min="15881" max="15881" width="14.7109375" style="1" customWidth="1"/>
    <col min="15882" max="15898" width="8.28515625" style="1" customWidth="1"/>
    <col min="15899" max="15899" width="11.7109375" style="1" bestFit="1" customWidth="1"/>
    <col min="15900" max="15900" width="10.42578125" style="1" bestFit="1" customWidth="1"/>
    <col min="15901" max="15917" width="8.28515625" style="1" customWidth="1"/>
    <col min="15918" max="16136" width="9.140625" style="1"/>
    <col min="16137" max="16137" width="14.7109375" style="1" customWidth="1"/>
    <col min="16138" max="16154" width="8.28515625" style="1" customWidth="1"/>
    <col min="16155" max="16155" width="11.7109375" style="1" bestFit="1" customWidth="1"/>
    <col min="16156" max="16156" width="10.42578125" style="1" bestFit="1" customWidth="1"/>
    <col min="16157" max="16173" width="8.28515625" style="1" customWidth="1"/>
    <col min="16174" max="16384" width="9.140625" style="1"/>
  </cols>
  <sheetData>
    <row r="1" spans="1:53">
      <c r="A1" s="6" t="s">
        <v>158</v>
      </c>
      <c r="B1" s="4"/>
      <c r="C1" s="4"/>
      <c r="D1" s="4"/>
      <c r="E1" s="4"/>
      <c r="F1" s="4"/>
      <c r="G1" s="4"/>
      <c r="H1" s="4"/>
      <c r="I1" s="4"/>
      <c r="J1" s="4"/>
      <c r="K1" s="4"/>
      <c r="P1" s="4"/>
      <c r="Q1" s="4"/>
      <c r="AB1" s="4"/>
      <c r="AC1" s="4"/>
      <c r="AD1" s="4"/>
      <c r="AE1" s="4"/>
      <c r="AF1" s="4"/>
      <c r="AG1" s="4"/>
      <c r="AH1" s="4"/>
      <c r="AI1" s="4"/>
      <c r="AJ1" s="4"/>
      <c r="AK1" s="4"/>
      <c r="AP1" s="4"/>
      <c r="AQ1" s="4"/>
      <c r="AU1" s="4"/>
    </row>
    <row r="2" spans="1:53">
      <c r="B2" s="6" t="s">
        <v>159</v>
      </c>
      <c r="C2" s="4"/>
      <c r="D2" s="4"/>
      <c r="E2" s="4"/>
      <c r="F2" s="4"/>
      <c r="G2" s="4"/>
      <c r="H2" s="4"/>
      <c r="I2" s="4"/>
      <c r="J2" s="4"/>
      <c r="K2" s="4"/>
      <c r="P2" s="4"/>
      <c r="Q2" s="4"/>
      <c r="AB2" s="121" t="s">
        <v>220</v>
      </c>
      <c r="AC2" s="4"/>
      <c r="AD2" s="4"/>
      <c r="AE2" s="4"/>
      <c r="AF2" s="4"/>
      <c r="AG2" s="4"/>
      <c r="AH2" s="4"/>
      <c r="AI2" s="4"/>
      <c r="AJ2" s="4"/>
      <c r="AK2" s="4"/>
      <c r="AP2" s="4"/>
      <c r="AQ2" s="4"/>
      <c r="AU2" s="4"/>
    </row>
    <row r="3" spans="1:53" s="6" customFormat="1">
      <c r="B3" s="63" t="s">
        <v>69</v>
      </c>
      <c r="C3" s="63" t="s">
        <v>71</v>
      </c>
      <c r="D3" s="63" t="s">
        <v>72</v>
      </c>
      <c r="E3" s="63" t="s">
        <v>9</v>
      </c>
      <c r="F3" s="63" t="s">
        <v>74</v>
      </c>
      <c r="G3" s="71" t="s">
        <v>161</v>
      </c>
      <c r="H3" s="71" t="s">
        <v>162</v>
      </c>
      <c r="I3" s="71" t="s">
        <v>163</v>
      </c>
      <c r="J3" s="64" t="s">
        <v>58</v>
      </c>
      <c r="K3" s="64" t="s">
        <v>164</v>
      </c>
      <c r="L3" s="63" t="s">
        <v>202</v>
      </c>
      <c r="M3" s="63" t="s">
        <v>210</v>
      </c>
      <c r="N3" s="63" t="s">
        <v>221</v>
      </c>
      <c r="O3" s="63" t="s">
        <v>222</v>
      </c>
      <c r="P3" s="63" t="s">
        <v>227</v>
      </c>
      <c r="Q3" s="63" t="s">
        <v>236</v>
      </c>
      <c r="R3" s="63" t="s">
        <v>240</v>
      </c>
      <c r="S3" s="63" t="s">
        <v>242</v>
      </c>
      <c r="T3" s="63" t="s">
        <v>258</v>
      </c>
      <c r="U3" s="63" t="s">
        <v>259</v>
      </c>
      <c r="V3" s="63" t="s">
        <v>262</v>
      </c>
      <c r="W3" s="63" t="s">
        <v>263</v>
      </c>
      <c r="X3" s="63" t="s">
        <v>265</v>
      </c>
      <c r="Y3" s="63" t="s">
        <v>266</v>
      </c>
      <c r="Z3" s="198" t="s">
        <v>269</v>
      </c>
      <c r="AA3" s="198" t="s">
        <v>270</v>
      </c>
      <c r="AB3" s="140" t="s">
        <v>69</v>
      </c>
      <c r="AC3" s="63" t="s">
        <v>71</v>
      </c>
      <c r="AD3" s="63" t="s">
        <v>72</v>
      </c>
      <c r="AE3" s="63" t="s">
        <v>9</v>
      </c>
      <c r="AF3" s="63" t="s">
        <v>74</v>
      </c>
      <c r="AG3" s="71" t="s">
        <v>161</v>
      </c>
      <c r="AH3" s="71" t="s">
        <v>162</v>
      </c>
      <c r="AI3" s="71" t="s">
        <v>163</v>
      </c>
      <c r="AJ3" s="64" t="s">
        <v>58</v>
      </c>
      <c r="AK3" s="64" t="s">
        <v>164</v>
      </c>
      <c r="AL3" s="63" t="s">
        <v>202</v>
      </c>
      <c r="AM3" s="63" t="s">
        <v>210</v>
      </c>
      <c r="AN3" s="63" t="s">
        <v>221</v>
      </c>
      <c r="AO3" s="63" t="s">
        <v>222</v>
      </c>
      <c r="AP3" s="63" t="s">
        <v>227</v>
      </c>
      <c r="AQ3" s="63" t="s">
        <v>236</v>
      </c>
      <c r="AR3" s="63" t="s">
        <v>240</v>
      </c>
      <c r="AS3" s="63" t="s">
        <v>242</v>
      </c>
      <c r="AT3" s="63" t="s">
        <v>258</v>
      </c>
      <c r="AU3" s="63" t="s">
        <v>259</v>
      </c>
      <c r="AV3" s="61" t="s">
        <v>262</v>
      </c>
      <c r="AW3" s="61" t="s">
        <v>263</v>
      </c>
      <c r="AX3" s="61" t="s">
        <v>265</v>
      </c>
      <c r="AY3" s="61" t="s">
        <v>266</v>
      </c>
      <c r="AZ3" s="198" t="s">
        <v>269</v>
      </c>
      <c r="BA3" s="198" t="s">
        <v>270</v>
      </c>
    </row>
    <row r="4" spans="1:53">
      <c r="A4" s="52" t="s">
        <v>248</v>
      </c>
      <c r="B4" s="90">
        <f>B5+B23+B38+B52+B63</f>
        <v>26135</v>
      </c>
      <c r="C4" s="90">
        <f>25375+15986</f>
        <v>41361</v>
      </c>
      <c r="D4" s="90">
        <f>26451+17413</f>
        <v>43864</v>
      </c>
      <c r="E4" s="90">
        <f t="shared" ref="E4:S4" si="0">E5+E23+E38+E52+E63</f>
        <v>40113</v>
      </c>
      <c r="F4" s="90">
        <f t="shared" si="0"/>
        <v>44316</v>
      </c>
      <c r="G4" s="90">
        <f t="shared" si="0"/>
        <v>49032</v>
      </c>
      <c r="H4" s="90">
        <f t="shared" si="0"/>
        <v>52747</v>
      </c>
      <c r="I4" s="90">
        <f t="shared" si="0"/>
        <v>56743</v>
      </c>
      <c r="J4" s="90">
        <f t="shared" si="0"/>
        <v>60741</v>
      </c>
      <c r="K4" s="90">
        <f t="shared" si="0"/>
        <v>63995</v>
      </c>
      <c r="L4" s="90">
        <f t="shared" si="0"/>
        <v>72121</v>
      </c>
      <c r="M4" s="90">
        <f t="shared" si="0"/>
        <v>84047</v>
      </c>
      <c r="N4" s="90">
        <f t="shared" si="0"/>
        <v>88699</v>
      </c>
      <c r="O4" s="90">
        <f t="shared" si="0"/>
        <v>94407</v>
      </c>
      <c r="P4" s="90">
        <f t="shared" si="0"/>
        <v>99708</v>
      </c>
      <c r="Q4" s="90">
        <f t="shared" si="0"/>
        <v>107492</v>
      </c>
      <c r="R4" s="90">
        <f t="shared" si="0"/>
        <v>114738</v>
      </c>
      <c r="S4" s="90">
        <f t="shared" si="0"/>
        <v>120470</v>
      </c>
      <c r="T4" s="90">
        <f t="shared" ref="T4:U4" si="1">T5+T23+T38+T52+T63</f>
        <v>129323</v>
      </c>
      <c r="U4" s="90">
        <f t="shared" si="1"/>
        <v>140281</v>
      </c>
      <c r="V4" s="90">
        <f t="shared" ref="V4:W4" si="2">V5+V23+V38+V52+V63</f>
        <v>156573</v>
      </c>
      <c r="W4" s="90">
        <f t="shared" si="2"/>
        <v>173278</v>
      </c>
      <c r="X4" s="90">
        <f t="shared" ref="X4:AA4" si="3">X5+X23+X38+X52+X63</f>
        <v>0</v>
      </c>
      <c r="Y4" s="90">
        <f t="shared" si="3"/>
        <v>203704</v>
      </c>
      <c r="Z4" s="53">
        <f t="shared" si="3"/>
        <v>221545</v>
      </c>
      <c r="AA4" s="53">
        <f t="shared" si="3"/>
        <v>238383</v>
      </c>
      <c r="AB4" s="141">
        <f t="shared" ref="AB4" si="4">AB5+AB23+AB38+AB52+AB63</f>
        <v>28546</v>
      </c>
      <c r="AC4" s="90">
        <f>15257+11200</f>
        <v>26457</v>
      </c>
      <c r="AD4" s="90">
        <f>15453+11100</f>
        <v>26553</v>
      </c>
      <c r="AE4" s="90">
        <f t="shared" ref="AE4" si="5">AE5+AE23+AE38+AE52+AE63</f>
        <v>28442</v>
      </c>
      <c r="AF4" s="90">
        <f t="shared" ref="AF4" si="6">AF5+AF23+AF38+AF52+AF63</f>
        <v>32269</v>
      </c>
      <c r="AG4" s="90">
        <f t="shared" ref="AG4" si="7">AG5+AG23+AG38+AG52+AG63</f>
        <v>34150</v>
      </c>
      <c r="AH4" s="90">
        <f t="shared" ref="AH4" si="8">AH5+AH23+AH38+AH52+AH63</f>
        <v>36902</v>
      </c>
      <c r="AI4" s="90">
        <f t="shared" ref="AI4" si="9">AI5+AI23+AI38+AI52+AI63</f>
        <v>37648</v>
      </c>
      <c r="AJ4" s="90">
        <f t="shared" ref="AJ4" si="10">AJ5+AJ23+AJ38+AJ52+AJ63</f>
        <v>38888</v>
      </c>
      <c r="AK4" s="90">
        <f t="shared" ref="AK4" si="11">AK5+AK23+AK38+AK52+AK63</f>
        <v>39191</v>
      </c>
      <c r="AL4" s="90">
        <f t="shared" ref="AL4" si="12">AL5+AL23+AL38+AL52+AL63</f>
        <v>39038</v>
      </c>
      <c r="AM4" s="90">
        <f t="shared" ref="AM4" si="13">AM5+AM23+AM38+AM52+AM63</f>
        <v>43165</v>
      </c>
      <c r="AN4" s="90">
        <f t="shared" ref="AN4" si="14">AN5+AN23+AN38+AN52+AN63</f>
        <v>44746</v>
      </c>
      <c r="AO4" s="90">
        <f t="shared" ref="AO4" si="15">AO5+AO23+AO38+AO52+AO63</f>
        <v>45318</v>
      </c>
      <c r="AP4" s="90">
        <f t="shared" ref="AP4" si="16">AP5+AP23+AP38+AP52+AP63</f>
        <v>45181</v>
      </c>
      <c r="AQ4" s="90">
        <f t="shared" ref="AQ4" si="17">AQ5+AQ23+AQ38+AQ52+AQ63</f>
        <v>45858</v>
      </c>
      <c r="AR4" s="90">
        <f t="shared" ref="AR4" si="18">AR5+AR23+AR38+AR52+AR63</f>
        <v>44272</v>
      </c>
      <c r="AS4" s="90">
        <f t="shared" ref="AS4:AT4" si="19">AS5+AS23+AS38+AS52+AS63</f>
        <v>45843</v>
      </c>
      <c r="AT4" s="90">
        <f t="shared" si="19"/>
        <v>47482</v>
      </c>
      <c r="AU4" s="90">
        <f t="shared" ref="AU4:AV4" si="20">AU5+AU23+AU38+AU52+AU63</f>
        <v>52076</v>
      </c>
      <c r="AV4" s="90">
        <f t="shared" si="20"/>
        <v>59227</v>
      </c>
      <c r="AW4" s="90">
        <f t="shared" ref="AW4:BA4" si="21">AW5+AW23+AW38+AW52+AW63</f>
        <v>64566</v>
      </c>
      <c r="AX4" s="90">
        <f t="shared" si="21"/>
        <v>0</v>
      </c>
      <c r="AY4" s="90">
        <f t="shared" si="21"/>
        <v>75325</v>
      </c>
      <c r="AZ4" s="53">
        <f t="shared" si="21"/>
        <v>83930</v>
      </c>
      <c r="BA4" s="53">
        <f t="shared" si="21"/>
        <v>91143</v>
      </c>
    </row>
    <row r="5" spans="1:53">
      <c r="A5" s="54" t="s">
        <v>57</v>
      </c>
      <c r="B5" s="86">
        <f>SUM(B7:B22)</f>
        <v>9273</v>
      </c>
      <c r="C5" s="86">
        <f>SUM(C7:C22)</f>
        <v>10107</v>
      </c>
      <c r="D5" s="86">
        <f>SUM(D7:D22)</f>
        <v>10707</v>
      </c>
      <c r="E5" s="86">
        <f t="shared" ref="E5:R5" si="22">SUM(E7:E22)</f>
        <v>13239</v>
      </c>
      <c r="F5" s="86">
        <f t="shared" si="22"/>
        <v>14765</v>
      </c>
      <c r="G5" s="86">
        <f t="shared" si="22"/>
        <v>16337</v>
      </c>
      <c r="H5" s="86">
        <f t="shared" si="22"/>
        <v>17902</v>
      </c>
      <c r="I5" s="86">
        <f t="shared" si="22"/>
        <v>18933</v>
      </c>
      <c r="J5" s="86">
        <f t="shared" si="22"/>
        <v>20307</v>
      </c>
      <c r="K5" s="86">
        <f t="shared" si="22"/>
        <v>21256</v>
      </c>
      <c r="L5" s="86">
        <f t="shared" si="22"/>
        <v>24036</v>
      </c>
      <c r="M5" s="86">
        <f t="shared" si="22"/>
        <v>28215</v>
      </c>
      <c r="N5" s="86">
        <f t="shared" si="22"/>
        <v>30191</v>
      </c>
      <c r="O5" s="86">
        <f t="shared" si="22"/>
        <v>32425</v>
      </c>
      <c r="P5" s="86">
        <f t="shared" si="22"/>
        <v>34711</v>
      </c>
      <c r="Q5" s="86">
        <f t="shared" si="22"/>
        <v>38102</v>
      </c>
      <c r="R5" s="86">
        <f t="shared" si="22"/>
        <v>40215</v>
      </c>
      <c r="S5" s="86">
        <f t="shared" ref="S5:T5" si="23">SUM(S7:S22)</f>
        <v>43776</v>
      </c>
      <c r="T5" s="86">
        <f t="shared" si="23"/>
        <v>47661</v>
      </c>
      <c r="U5" s="86">
        <f t="shared" ref="U5:V5" si="24">SUM(U7:U22)</f>
        <v>51802</v>
      </c>
      <c r="V5" s="86">
        <f t="shared" si="24"/>
        <v>56391</v>
      </c>
      <c r="W5" s="86">
        <f t="shared" ref="W5:AA5" si="25">SUM(W7:W22)</f>
        <v>62156</v>
      </c>
      <c r="X5" s="86">
        <f t="shared" si="25"/>
        <v>0</v>
      </c>
      <c r="Y5" s="86">
        <f t="shared" si="25"/>
        <v>71897</v>
      </c>
      <c r="Z5" s="55">
        <f t="shared" si="25"/>
        <v>77844</v>
      </c>
      <c r="AA5" s="55">
        <f t="shared" si="25"/>
        <v>83746</v>
      </c>
      <c r="AB5" s="142">
        <f t="shared" ref="AB5" si="26">SUM(AB7:AB22)</f>
        <v>8723</v>
      </c>
      <c r="AC5" s="86">
        <f>SUM(AC7:AC22)</f>
        <v>7223</v>
      </c>
      <c r="AD5" s="86">
        <f>SUM(AD7:AD22)</f>
        <v>7248</v>
      </c>
      <c r="AE5" s="86">
        <f t="shared" ref="AE5:AS5" si="27">SUM(AE7:AE22)</f>
        <v>7113</v>
      </c>
      <c r="AF5" s="86">
        <f t="shared" si="27"/>
        <v>7464</v>
      </c>
      <c r="AG5" s="86">
        <f t="shared" si="27"/>
        <v>8241</v>
      </c>
      <c r="AH5" s="86">
        <f t="shared" si="27"/>
        <v>9378</v>
      </c>
      <c r="AI5" s="86">
        <f t="shared" si="27"/>
        <v>9658</v>
      </c>
      <c r="AJ5" s="86">
        <f t="shared" si="27"/>
        <v>10138</v>
      </c>
      <c r="AK5" s="86">
        <f t="shared" si="27"/>
        <v>10474</v>
      </c>
      <c r="AL5" s="86">
        <f t="shared" si="27"/>
        <v>10605</v>
      </c>
      <c r="AM5" s="86">
        <f t="shared" si="27"/>
        <v>11728</v>
      </c>
      <c r="AN5" s="86">
        <f t="shared" si="27"/>
        <v>12158</v>
      </c>
      <c r="AO5" s="86">
        <f t="shared" si="27"/>
        <v>12344</v>
      </c>
      <c r="AP5" s="86">
        <f t="shared" si="27"/>
        <v>12667</v>
      </c>
      <c r="AQ5" s="86">
        <f t="shared" si="27"/>
        <v>11812</v>
      </c>
      <c r="AR5" s="86">
        <f t="shared" si="27"/>
        <v>11592</v>
      </c>
      <c r="AS5" s="86">
        <f t="shared" si="27"/>
        <v>11891</v>
      </c>
      <c r="AT5" s="86">
        <f t="shared" ref="AT5:AU5" si="28">SUM(AT7:AT22)</f>
        <v>12308</v>
      </c>
      <c r="AU5" s="86">
        <f t="shared" si="28"/>
        <v>13342</v>
      </c>
      <c r="AV5" s="86">
        <f t="shared" ref="AV5:AW5" si="29">SUM(AV7:AV22)</f>
        <v>14553</v>
      </c>
      <c r="AW5" s="86">
        <f t="shared" si="29"/>
        <v>15341</v>
      </c>
      <c r="AX5" s="86">
        <f t="shared" ref="AX5:BA5" si="30">SUM(AX7:AX22)</f>
        <v>0</v>
      </c>
      <c r="AY5" s="86">
        <f t="shared" si="30"/>
        <v>17294</v>
      </c>
      <c r="AZ5" s="55">
        <f t="shared" si="30"/>
        <v>19072</v>
      </c>
      <c r="BA5" s="55">
        <f t="shared" si="30"/>
        <v>20372</v>
      </c>
    </row>
    <row r="6" spans="1:53" s="51" customFormat="1">
      <c r="A6" s="56" t="s">
        <v>244</v>
      </c>
      <c r="B6" s="87">
        <f>(B5/B4)*100</f>
        <v>35.481155538549835</v>
      </c>
      <c r="C6" s="87">
        <f>(C5/C4)*100</f>
        <v>24.436062957858855</v>
      </c>
      <c r="D6" s="87">
        <f>(D5/D4)*100</f>
        <v>24.409538573773482</v>
      </c>
      <c r="E6" s="87">
        <f t="shared" ref="E6:S6" si="31">(E5/E4)*100</f>
        <v>33.004262957146061</v>
      </c>
      <c r="F6" s="87">
        <f t="shared" si="31"/>
        <v>33.317537683906487</v>
      </c>
      <c r="G6" s="87">
        <f t="shared" si="31"/>
        <v>33.319056942404963</v>
      </c>
      <c r="H6" s="87">
        <f t="shared" si="31"/>
        <v>33.939370959485849</v>
      </c>
      <c r="I6" s="87">
        <f t="shared" si="31"/>
        <v>33.366230195795076</v>
      </c>
      <c r="J6" s="87">
        <f t="shared" si="31"/>
        <v>33.432113399515977</v>
      </c>
      <c r="K6" s="87">
        <f t="shared" si="31"/>
        <v>33.215094929291347</v>
      </c>
      <c r="L6" s="87">
        <f t="shared" si="31"/>
        <v>33.327324912300163</v>
      </c>
      <c r="M6" s="88">
        <f t="shared" si="31"/>
        <v>33.570502218996509</v>
      </c>
      <c r="N6" s="88">
        <f t="shared" si="31"/>
        <v>34.037587796931199</v>
      </c>
      <c r="O6" s="88">
        <f t="shared" si="31"/>
        <v>34.345970108148762</v>
      </c>
      <c r="P6" s="88">
        <f t="shared" si="31"/>
        <v>34.812652946604082</v>
      </c>
      <c r="Q6" s="88">
        <f t="shared" si="31"/>
        <v>35.446358798794328</v>
      </c>
      <c r="R6" s="88">
        <f t="shared" si="31"/>
        <v>35.049416932489677</v>
      </c>
      <c r="S6" s="87">
        <f t="shared" si="31"/>
        <v>36.337677430065582</v>
      </c>
      <c r="T6" s="87">
        <f t="shared" ref="T6:U6" si="32">(T5/T4)*100</f>
        <v>36.854233199044259</v>
      </c>
      <c r="U6" s="87">
        <f t="shared" si="32"/>
        <v>36.927310184558138</v>
      </c>
      <c r="V6" s="87">
        <f t="shared" ref="V6:W6" si="33">(V5/V4)*100</f>
        <v>36.015788162710045</v>
      </c>
      <c r="W6" s="87">
        <f t="shared" si="33"/>
        <v>35.870681794572882</v>
      </c>
      <c r="X6" s="87" t="e">
        <f t="shared" ref="X6:AA6" si="34">(X5/X4)*100</f>
        <v>#DIV/0!</v>
      </c>
      <c r="Y6" s="87">
        <f t="shared" si="34"/>
        <v>35.294839571142447</v>
      </c>
      <c r="Z6" s="57">
        <f t="shared" si="34"/>
        <v>35.136879640705047</v>
      </c>
      <c r="AA6" s="57">
        <f t="shared" si="34"/>
        <v>35.130860841586859</v>
      </c>
      <c r="AB6" s="143">
        <f t="shared" ref="AB6" si="35">(AB5/AB4)*100</f>
        <v>30.557696349751279</v>
      </c>
      <c r="AC6" s="87">
        <f>(AC5/AC4)*100</f>
        <v>27.300903352609897</v>
      </c>
      <c r="AD6" s="87">
        <f>(AD5/AD4)*100</f>
        <v>27.29635069483674</v>
      </c>
      <c r="AE6" s="87">
        <f t="shared" ref="AE6" si="36">(AE5/AE4)*100</f>
        <v>25.00878981787497</v>
      </c>
      <c r="AF6" s="87">
        <f t="shared" ref="AF6" si="37">(AF5/AF4)*100</f>
        <v>23.130558740586942</v>
      </c>
      <c r="AG6" s="87">
        <f t="shared" ref="AG6" si="38">(AG5/AG4)*100</f>
        <v>24.131771595900439</v>
      </c>
      <c r="AH6" s="87">
        <f t="shared" ref="AH6" si="39">(AH5/AH4)*100</f>
        <v>25.413256734052354</v>
      </c>
      <c r="AI6" s="87">
        <f t="shared" ref="AI6" si="40">(AI5/AI4)*100</f>
        <v>25.653421164470892</v>
      </c>
      <c r="AJ6" s="87">
        <f t="shared" ref="AJ6" si="41">(AJ5/AJ4)*100</f>
        <v>26.069738736885416</v>
      </c>
      <c r="AK6" s="87">
        <f t="shared" ref="AK6" si="42">(AK5/AK4)*100</f>
        <v>26.725523717179968</v>
      </c>
      <c r="AL6" s="87">
        <f t="shared" ref="AL6" si="43">(AL5/AL4)*100</f>
        <v>27.165838413853166</v>
      </c>
      <c r="AM6" s="88">
        <f t="shared" ref="AM6" si="44">(AM5/AM4)*100</f>
        <v>27.17016101007761</v>
      </c>
      <c r="AN6" s="88">
        <f t="shared" ref="AN6" si="45">(AN5/AN4)*100</f>
        <v>27.171143789388996</v>
      </c>
      <c r="AO6" s="88">
        <f t="shared" ref="AO6" si="46">(AO5/AO4)*100</f>
        <v>27.238624828986275</v>
      </c>
      <c r="AP6" s="88">
        <f t="shared" ref="AP6" si="47">(AP5/AP4)*100</f>
        <v>28.036121378455547</v>
      </c>
      <c r="AQ6" s="88">
        <f t="shared" ref="AQ6" si="48">(AQ5/AQ4)*100</f>
        <v>25.757773997993805</v>
      </c>
      <c r="AR6" s="88">
        <f t="shared" ref="AR6" si="49">(AR5/AR4)*100</f>
        <v>26.183592338272497</v>
      </c>
      <c r="AS6" s="87">
        <f t="shared" ref="AS6:AT6" si="50">(AS5/AS4)*100</f>
        <v>25.938529328359838</v>
      </c>
      <c r="AT6" s="87">
        <f t="shared" si="50"/>
        <v>25.921401794364179</v>
      </c>
      <c r="AU6" s="88">
        <f t="shared" ref="AU6:AV6" si="51">(AU5/AU4)*100</f>
        <v>25.620247330824181</v>
      </c>
      <c r="AV6" s="88">
        <f t="shared" si="51"/>
        <v>24.571563644959223</v>
      </c>
      <c r="AW6" s="88">
        <f t="shared" ref="AW6:BA6" si="52">(AW5/AW4)*100</f>
        <v>23.760183378248616</v>
      </c>
      <c r="AX6" s="88" t="e">
        <f t="shared" si="52"/>
        <v>#DIV/0!</v>
      </c>
      <c r="AY6" s="88">
        <f t="shared" si="52"/>
        <v>22.959176900099568</v>
      </c>
      <c r="AZ6" s="57">
        <f t="shared" si="52"/>
        <v>22.723698320028596</v>
      </c>
      <c r="BA6" s="57">
        <f t="shared" si="52"/>
        <v>22.351689103935573</v>
      </c>
    </row>
    <row r="7" spans="1:53">
      <c r="A7" s="54" t="s">
        <v>12</v>
      </c>
      <c r="B7" s="7">
        <v>61</v>
      </c>
      <c r="C7" s="7">
        <f>59+25</f>
        <v>84</v>
      </c>
      <c r="D7" s="7">
        <f>79+19</f>
        <v>98</v>
      </c>
      <c r="E7" s="7">
        <v>117</v>
      </c>
      <c r="F7" s="7">
        <v>135</v>
      </c>
      <c r="G7" s="7">
        <v>133</v>
      </c>
      <c r="H7" s="7">
        <v>143</v>
      </c>
      <c r="I7" s="7">
        <v>136</v>
      </c>
      <c r="J7" s="7">
        <v>165</v>
      </c>
      <c r="K7" s="7">
        <v>162</v>
      </c>
      <c r="L7" s="7">
        <v>200</v>
      </c>
      <c r="M7" s="7">
        <v>186</v>
      </c>
      <c r="N7" s="7">
        <v>238</v>
      </c>
      <c r="O7" s="7">
        <v>256</v>
      </c>
      <c r="P7" s="7">
        <v>256</v>
      </c>
      <c r="Q7" s="7">
        <v>256</v>
      </c>
      <c r="R7" s="7">
        <v>314</v>
      </c>
      <c r="S7" s="7">
        <v>384</v>
      </c>
      <c r="T7" s="7">
        <v>466</v>
      </c>
      <c r="U7" s="7">
        <v>454</v>
      </c>
      <c r="V7" s="7">
        <v>540</v>
      </c>
      <c r="W7" s="7">
        <v>726</v>
      </c>
      <c r="X7" s="7"/>
      <c r="Y7" s="7">
        <v>621</v>
      </c>
      <c r="Z7" s="7">
        <v>787</v>
      </c>
      <c r="AA7" s="7">
        <v>805</v>
      </c>
      <c r="AB7" s="124">
        <v>329</v>
      </c>
      <c r="AC7" s="7">
        <f>51+281</f>
        <v>332</v>
      </c>
      <c r="AD7" s="7">
        <f>284+43</f>
        <v>327</v>
      </c>
      <c r="AE7" s="7">
        <v>391</v>
      </c>
      <c r="AF7" s="7">
        <v>336</v>
      </c>
      <c r="AG7" s="7">
        <v>361</v>
      </c>
      <c r="AH7" s="7">
        <v>410</v>
      </c>
      <c r="AI7" s="7">
        <v>481</v>
      </c>
      <c r="AJ7" s="7">
        <v>428</v>
      </c>
      <c r="AK7" s="7">
        <v>475</v>
      </c>
      <c r="AL7" s="7">
        <v>356</v>
      </c>
      <c r="AM7" s="7">
        <v>413</v>
      </c>
      <c r="AN7" s="7">
        <v>477</v>
      </c>
      <c r="AO7" s="7">
        <v>465</v>
      </c>
      <c r="AP7" s="7">
        <v>416</v>
      </c>
      <c r="AQ7" s="7">
        <v>414</v>
      </c>
      <c r="AR7" s="7">
        <v>447</v>
      </c>
      <c r="AS7" s="7">
        <v>558</v>
      </c>
      <c r="AT7" s="7">
        <v>497</v>
      </c>
      <c r="AU7" s="7">
        <v>537</v>
      </c>
      <c r="AV7" s="1">
        <v>520</v>
      </c>
      <c r="AW7" s="1">
        <v>624</v>
      </c>
      <c r="AY7" s="1">
        <v>623</v>
      </c>
      <c r="AZ7" s="7">
        <v>771</v>
      </c>
      <c r="BA7" s="7">
        <v>895</v>
      </c>
    </row>
    <row r="8" spans="1:53">
      <c r="A8" s="54" t="s">
        <v>13</v>
      </c>
      <c r="B8" s="7">
        <v>28</v>
      </c>
      <c r="C8" s="7">
        <f>25+2</f>
        <v>27</v>
      </c>
      <c r="D8" s="7">
        <f>27+6</f>
        <v>33</v>
      </c>
      <c r="E8" s="7">
        <v>36</v>
      </c>
      <c r="F8" s="7">
        <v>55</v>
      </c>
      <c r="G8" s="7">
        <v>46</v>
      </c>
      <c r="H8" s="7">
        <v>60</v>
      </c>
      <c r="I8" s="7">
        <v>64</v>
      </c>
      <c r="J8" s="7">
        <v>62</v>
      </c>
      <c r="K8" s="7">
        <v>62</v>
      </c>
      <c r="L8" s="7">
        <v>70</v>
      </c>
      <c r="M8" s="7">
        <v>131</v>
      </c>
      <c r="N8" s="7">
        <v>137</v>
      </c>
      <c r="O8" s="7">
        <v>145</v>
      </c>
      <c r="P8" s="7">
        <v>122</v>
      </c>
      <c r="Q8" s="7">
        <v>152</v>
      </c>
      <c r="R8" s="7">
        <v>177</v>
      </c>
      <c r="S8" s="7">
        <v>240</v>
      </c>
      <c r="T8" s="7">
        <v>250</v>
      </c>
      <c r="U8" s="7">
        <v>350</v>
      </c>
      <c r="V8" s="7">
        <v>371</v>
      </c>
      <c r="W8" s="7">
        <v>452</v>
      </c>
      <c r="X8" s="7"/>
      <c r="Y8" s="7">
        <v>640</v>
      </c>
      <c r="Z8" s="7">
        <v>698</v>
      </c>
      <c r="AA8" s="7">
        <v>748</v>
      </c>
      <c r="AB8" s="124">
        <v>229</v>
      </c>
      <c r="AC8" s="7">
        <f>211+64</f>
        <v>275</v>
      </c>
      <c r="AD8" s="7">
        <f>179+71</f>
        <v>250</v>
      </c>
      <c r="AE8" s="7">
        <v>153</v>
      </c>
      <c r="AF8" s="7">
        <v>194</v>
      </c>
      <c r="AG8" s="7">
        <v>251</v>
      </c>
      <c r="AH8" s="7">
        <v>334</v>
      </c>
      <c r="AI8" s="7">
        <v>402</v>
      </c>
      <c r="AJ8" s="7">
        <v>396</v>
      </c>
      <c r="AK8" s="7">
        <v>354</v>
      </c>
      <c r="AL8" s="7">
        <v>350</v>
      </c>
      <c r="AM8" s="7">
        <v>398</v>
      </c>
      <c r="AN8" s="7">
        <v>355</v>
      </c>
      <c r="AO8" s="7">
        <v>331</v>
      </c>
      <c r="AP8" s="7">
        <v>348</v>
      </c>
      <c r="AQ8" s="7">
        <v>256</v>
      </c>
      <c r="AR8" s="7">
        <v>315</v>
      </c>
      <c r="AS8" s="7">
        <v>303</v>
      </c>
      <c r="AT8" s="7">
        <v>403</v>
      </c>
      <c r="AU8" s="7">
        <v>430</v>
      </c>
      <c r="AV8" s="1">
        <v>530</v>
      </c>
      <c r="AW8" s="1">
        <v>546</v>
      </c>
      <c r="AY8" s="1">
        <v>582</v>
      </c>
      <c r="AZ8" s="7">
        <v>595</v>
      </c>
      <c r="BA8" s="7">
        <v>609</v>
      </c>
    </row>
    <row r="9" spans="1:53">
      <c r="A9" s="54" t="s">
        <v>55</v>
      </c>
      <c r="B9" s="7">
        <v>24</v>
      </c>
      <c r="C9" s="7">
        <v>16</v>
      </c>
      <c r="D9" s="7">
        <v>16</v>
      </c>
      <c r="E9" s="7">
        <v>44</v>
      </c>
      <c r="F9" s="7">
        <v>34</v>
      </c>
      <c r="G9" s="7">
        <v>41</v>
      </c>
      <c r="H9" s="7">
        <v>50</v>
      </c>
      <c r="I9" s="7">
        <v>38</v>
      </c>
      <c r="J9" s="7">
        <v>72</v>
      </c>
      <c r="K9" s="7">
        <v>73</v>
      </c>
      <c r="L9" s="7">
        <v>99</v>
      </c>
      <c r="M9" s="7">
        <v>119</v>
      </c>
      <c r="N9" s="7">
        <v>114</v>
      </c>
      <c r="O9" s="7">
        <v>120</v>
      </c>
      <c r="P9" s="7">
        <v>144</v>
      </c>
      <c r="Q9" s="7">
        <v>164</v>
      </c>
      <c r="R9" s="7">
        <v>196</v>
      </c>
      <c r="S9" s="7">
        <v>201</v>
      </c>
      <c r="T9" s="7">
        <v>197</v>
      </c>
      <c r="U9" s="7">
        <v>277</v>
      </c>
      <c r="V9" s="7">
        <v>295</v>
      </c>
      <c r="W9" s="7">
        <v>299</v>
      </c>
      <c r="X9" s="7"/>
      <c r="Y9" s="7">
        <v>334</v>
      </c>
      <c r="Z9" s="7">
        <v>371</v>
      </c>
      <c r="AA9" s="7">
        <v>405</v>
      </c>
      <c r="AB9" s="124">
        <v>25</v>
      </c>
      <c r="AC9" s="7">
        <v>27</v>
      </c>
      <c r="AD9" s="7">
        <v>27</v>
      </c>
      <c r="AE9" s="7">
        <v>35</v>
      </c>
      <c r="AF9" s="7">
        <v>38</v>
      </c>
      <c r="AG9" s="7">
        <v>48</v>
      </c>
      <c r="AH9" s="7">
        <v>60</v>
      </c>
      <c r="AI9" s="7">
        <v>59</v>
      </c>
      <c r="AJ9" s="7">
        <v>71</v>
      </c>
      <c r="AK9" s="7">
        <v>69</v>
      </c>
      <c r="AL9" s="7">
        <v>64</v>
      </c>
      <c r="AM9" s="7">
        <v>51</v>
      </c>
      <c r="AN9" s="7">
        <v>49</v>
      </c>
      <c r="AO9" s="7">
        <v>48</v>
      </c>
      <c r="AP9" s="7">
        <v>36</v>
      </c>
      <c r="AQ9" s="7">
        <v>34</v>
      </c>
      <c r="AR9" s="7">
        <v>40</v>
      </c>
      <c r="AS9" s="7">
        <v>19</v>
      </c>
      <c r="AT9" s="7">
        <v>50</v>
      </c>
      <c r="AU9" s="7">
        <v>56</v>
      </c>
      <c r="AV9" s="1">
        <v>95</v>
      </c>
      <c r="AW9" s="1">
        <v>155</v>
      </c>
      <c r="AY9" s="1">
        <v>248</v>
      </c>
      <c r="AZ9" s="7">
        <v>274</v>
      </c>
      <c r="BA9" s="7">
        <v>236</v>
      </c>
    </row>
    <row r="10" spans="1:53">
      <c r="A10" s="54" t="s">
        <v>14</v>
      </c>
      <c r="B10" s="7">
        <v>2642</v>
      </c>
      <c r="C10" s="7">
        <f>1876+1035</f>
        <v>2911</v>
      </c>
      <c r="D10" s="7">
        <f>1916+1038</f>
        <v>2954</v>
      </c>
      <c r="E10" s="7">
        <v>3827</v>
      </c>
      <c r="F10" s="7">
        <v>4282</v>
      </c>
      <c r="G10" s="7">
        <v>4620</v>
      </c>
      <c r="H10" s="7">
        <v>5012</v>
      </c>
      <c r="I10" s="7">
        <v>5377</v>
      </c>
      <c r="J10" s="7">
        <v>5817</v>
      </c>
      <c r="K10" s="7">
        <v>6086</v>
      </c>
      <c r="L10" s="7">
        <v>6748</v>
      </c>
      <c r="M10" s="7">
        <v>8207</v>
      </c>
      <c r="N10" s="7">
        <v>9002</v>
      </c>
      <c r="O10" s="7">
        <v>9676</v>
      </c>
      <c r="P10" s="7">
        <v>10454</v>
      </c>
      <c r="Q10" s="7">
        <v>11497</v>
      </c>
      <c r="R10" s="7">
        <v>11991</v>
      </c>
      <c r="S10" s="7">
        <v>12764</v>
      </c>
      <c r="T10" s="7">
        <v>14154</v>
      </c>
      <c r="U10" s="7">
        <v>15640</v>
      </c>
      <c r="V10" s="7">
        <v>17253</v>
      </c>
      <c r="W10" s="7">
        <v>19042</v>
      </c>
      <c r="X10" s="7"/>
      <c r="Y10" s="7">
        <v>21015</v>
      </c>
      <c r="Z10" s="7">
        <v>22747</v>
      </c>
      <c r="AA10" s="7">
        <v>24138</v>
      </c>
      <c r="AB10" s="124">
        <v>1462</v>
      </c>
      <c r="AC10" s="7">
        <f>596+687</f>
        <v>1283</v>
      </c>
      <c r="AD10" s="7">
        <f>567+674</f>
        <v>1241</v>
      </c>
      <c r="AE10" s="7">
        <v>1291</v>
      </c>
      <c r="AF10" s="7">
        <v>1428</v>
      </c>
      <c r="AG10" s="7">
        <v>1420</v>
      </c>
      <c r="AH10" s="7">
        <v>1563</v>
      </c>
      <c r="AI10" s="7">
        <v>1798</v>
      </c>
      <c r="AJ10" s="7">
        <v>1871</v>
      </c>
      <c r="AK10" s="7">
        <v>1998</v>
      </c>
      <c r="AL10" s="7">
        <v>2244</v>
      </c>
      <c r="AM10" s="7">
        <v>2376</v>
      </c>
      <c r="AN10" s="7">
        <v>2517</v>
      </c>
      <c r="AO10" s="7">
        <v>2739</v>
      </c>
      <c r="AP10" s="7">
        <v>2566</v>
      </c>
      <c r="AQ10" s="7">
        <v>2451</v>
      </c>
      <c r="AR10" s="7">
        <v>2296</v>
      </c>
      <c r="AS10" s="7">
        <v>2331</v>
      </c>
      <c r="AT10" s="7">
        <v>2483</v>
      </c>
      <c r="AU10" s="7">
        <v>2588</v>
      </c>
      <c r="AV10" s="1">
        <v>2527</v>
      </c>
      <c r="AW10" s="1">
        <v>2768</v>
      </c>
      <c r="AY10" s="1">
        <v>3247</v>
      </c>
      <c r="AZ10" s="7">
        <v>3598</v>
      </c>
      <c r="BA10" s="7">
        <v>3911</v>
      </c>
    </row>
    <row r="11" spans="1:53">
      <c r="A11" s="54" t="s">
        <v>15</v>
      </c>
      <c r="B11" s="7">
        <v>183</v>
      </c>
      <c r="C11" s="7">
        <f>133+78</f>
        <v>211</v>
      </c>
      <c r="D11" s="7">
        <f>152+77</f>
        <v>229</v>
      </c>
      <c r="E11" s="7">
        <v>274</v>
      </c>
      <c r="F11" s="7">
        <v>260</v>
      </c>
      <c r="G11" s="7">
        <v>330</v>
      </c>
      <c r="H11" s="7">
        <v>348</v>
      </c>
      <c r="I11" s="7">
        <v>417</v>
      </c>
      <c r="J11" s="7">
        <v>413</v>
      </c>
      <c r="K11" s="7">
        <v>423</v>
      </c>
      <c r="L11" s="7">
        <v>439</v>
      </c>
      <c r="M11" s="7">
        <v>630</v>
      </c>
      <c r="N11" s="7">
        <v>707</v>
      </c>
      <c r="O11" s="7">
        <v>684</v>
      </c>
      <c r="P11" s="7">
        <v>752</v>
      </c>
      <c r="Q11" s="7">
        <v>791</v>
      </c>
      <c r="R11" s="7">
        <v>920</v>
      </c>
      <c r="S11" s="7">
        <v>1078</v>
      </c>
      <c r="T11" s="7">
        <v>1412</v>
      </c>
      <c r="U11" s="7">
        <v>1611</v>
      </c>
      <c r="V11" s="7">
        <v>1748</v>
      </c>
      <c r="W11" s="7">
        <v>2049</v>
      </c>
      <c r="X11" s="7"/>
      <c r="Y11" s="7">
        <v>2633</v>
      </c>
      <c r="Z11" s="7">
        <v>2799</v>
      </c>
      <c r="AA11" s="7">
        <v>3176</v>
      </c>
      <c r="AB11" s="124">
        <v>431</v>
      </c>
      <c r="AC11" s="7">
        <f>235+231</f>
        <v>466</v>
      </c>
      <c r="AD11" s="7">
        <f>237+231</f>
        <v>468</v>
      </c>
      <c r="AE11" s="7">
        <v>383</v>
      </c>
      <c r="AF11" s="7">
        <v>495</v>
      </c>
      <c r="AG11" s="7">
        <v>524</v>
      </c>
      <c r="AH11" s="7">
        <v>607</v>
      </c>
      <c r="AI11" s="7">
        <v>710</v>
      </c>
      <c r="AJ11" s="7">
        <v>690</v>
      </c>
      <c r="AK11" s="7">
        <v>704</v>
      </c>
      <c r="AL11" s="7">
        <v>714</v>
      </c>
      <c r="AM11" s="7">
        <v>922</v>
      </c>
      <c r="AN11" s="7">
        <v>1143</v>
      </c>
      <c r="AO11" s="7">
        <v>995</v>
      </c>
      <c r="AP11" s="7">
        <v>990</v>
      </c>
      <c r="AQ11" s="7">
        <v>1000</v>
      </c>
      <c r="AR11" s="7">
        <v>1041</v>
      </c>
      <c r="AS11" s="7">
        <v>1010</v>
      </c>
      <c r="AT11" s="7">
        <v>1065</v>
      </c>
      <c r="AU11" s="7">
        <v>1313</v>
      </c>
      <c r="AV11" s="1">
        <v>1493</v>
      </c>
      <c r="AW11" s="1">
        <v>1332</v>
      </c>
      <c r="AY11" s="1">
        <v>1492</v>
      </c>
      <c r="AZ11" s="7">
        <v>1828</v>
      </c>
      <c r="BA11" s="7">
        <v>1899</v>
      </c>
    </row>
    <row r="12" spans="1:53">
      <c r="A12" s="54" t="s">
        <v>16</v>
      </c>
      <c r="B12" s="7">
        <v>44</v>
      </c>
      <c r="C12" s="7">
        <f>32+10</f>
        <v>42</v>
      </c>
      <c r="D12" s="7">
        <f>54+11</f>
        <v>65</v>
      </c>
      <c r="E12" s="7">
        <v>82</v>
      </c>
      <c r="F12" s="7">
        <v>63</v>
      </c>
      <c r="G12" s="7">
        <v>64</v>
      </c>
      <c r="H12" s="7">
        <v>53</v>
      </c>
      <c r="I12" s="7">
        <v>68</v>
      </c>
      <c r="J12" s="7">
        <v>99</v>
      </c>
      <c r="K12" s="7">
        <v>87</v>
      </c>
      <c r="L12" s="7">
        <v>124</v>
      </c>
      <c r="M12" s="7">
        <v>120</v>
      </c>
      <c r="N12" s="7">
        <v>138</v>
      </c>
      <c r="O12" s="7">
        <v>147</v>
      </c>
      <c r="P12" s="7">
        <v>148</v>
      </c>
      <c r="Q12" s="7">
        <v>194</v>
      </c>
      <c r="R12" s="7">
        <v>195</v>
      </c>
      <c r="S12" s="7">
        <v>212</v>
      </c>
      <c r="T12" s="7">
        <v>273</v>
      </c>
      <c r="U12" s="7">
        <v>312</v>
      </c>
      <c r="V12" s="7">
        <v>346</v>
      </c>
      <c r="W12" s="7">
        <v>398</v>
      </c>
      <c r="X12" s="7"/>
      <c r="Y12" s="7">
        <v>491</v>
      </c>
      <c r="Z12" s="7">
        <v>561</v>
      </c>
      <c r="AA12" s="7">
        <v>667</v>
      </c>
      <c r="AB12" s="124">
        <v>125</v>
      </c>
      <c r="AC12" s="7">
        <f>87+31</f>
        <v>118</v>
      </c>
      <c r="AD12" s="7">
        <f>148+41</f>
        <v>189</v>
      </c>
      <c r="AE12" s="7">
        <v>196</v>
      </c>
      <c r="AF12" s="7">
        <v>234</v>
      </c>
      <c r="AG12" s="7">
        <v>289</v>
      </c>
      <c r="AH12" s="7">
        <v>346</v>
      </c>
      <c r="AI12" s="7">
        <v>364</v>
      </c>
      <c r="AJ12" s="7">
        <v>367</v>
      </c>
      <c r="AK12" s="7">
        <v>342</v>
      </c>
      <c r="AL12" s="7">
        <v>321</v>
      </c>
      <c r="AM12" s="7">
        <v>338</v>
      </c>
      <c r="AN12" s="7">
        <v>314</v>
      </c>
      <c r="AO12" s="7">
        <v>301</v>
      </c>
      <c r="AP12" s="7">
        <v>343</v>
      </c>
      <c r="AQ12" s="7">
        <v>352</v>
      </c>
      <c r="AR12" s="7">
        <v>335</v>
      </c>
      <c r="AS12" s="7">
        <v>324</v>
      </c>
      <c r="AT12" s="7">
        <v>321</v>
      </c>
      <c r="AU12" s="7">
        <v>333</v>
      </c>
      <c r="AV12" s="1">
        <v>424</v>
      </c>
      <c r="AW12" s="1">
        <v>457</v>
      </c>
      <c r="AY12" s="1">
        <v>598</v>
      </c>
      <c r="AZ12" s="7">
        <v>678</v>
      </c>
      <c r="BA12" s="7">
        <v>748</v>
      </c>
    </row>
    <row r="13" spans="1:53">
      <c r="A13" s="54" t="s">
        <v>17</v>
      </c>
      <c r="B13" s="7">
        <v>307</v>
      </c>
      <c r="C13" s="7">
        <f>199+99</f>
        <v>298</v>
      </c>
      <c r="D13" s="7">
        <f>181+111</f>
        <v>292</v>
      </c>
      <c r="E13" s="7">
        <v>288</v>
      </c>
      <c r="F13" s="7">
        <v>325</v>
      </c>
      <c r="G13" s="7">
        <v>324</v>
      </c>
      <c r="H13" s="7">
        <v>369</v>
      </c>
      <c r="I13" s="7">
        <v>367</v>
      </c>
      <c r="J13" s="7">
        <v>371</v>
      </c>
      <c r="K13" s="7">
        <v>416</v>
      </c>
      <c r="L13" s="7">
        <v>479</v>
      </c>
      <c r="M13" s="7">
        <v>488</v>
      </c>
      <c r="N13" s="7">
        <v>524</v>
      </c>
      <c r="O13" s="7">
        <v>484</v>
      </c>
      <c r="P13" s="7">
        <v>416</v>
      </c>
      <c r="Q13" s="7">
        <v>571</v>
      </c>
      <c r="R13" s="7">
        <v>503</v>
      </c>
      <c r="S13" s="7">
        <v>553</v>
      </c>
      <c r="T13" s="7">
        <v>586</v>
      </c>
      <c r="U13" s="7">
        <v>604</v>
      </c>
      <c r="V13" s="7">
        <v>710</v>
      </c>
      <c r="W13" s="7">
        <v>717</v>
      </c>
      <c r="X13" s="7"/>
      <c r="Y13" s="7">
        <v>915</v>
      </c>
      <c r="Z13" s="7">
        <v>1052</v>
      </c>
      <c r="AA13" s="7">
        <v>1107</v>
      </c>
      <c r="AB13" s="124">
        <v>1039</v>
      </c>
      <c r="AC13" s="7">
        <f>588+60</f>
        <v>648</v>
      </c>
      <c r="AD13" s="7">
        <f>476+75</f>
        <v>551</v>
      </c>
      <c r="AE13" s="7">
        <v>383</v>
      </c>
      <c r="AF13" s="7">
        <v>349</v>
      </c>
      <c r="AG13" s="7">
        <v>332</v>
      </c>
      <c r="AH13" s="7">
        <v>444</v>
      </c>
      <c r="AI13" s="7">
        <v>423</v>
      </c>
      <c r="AJ13" s="7">
        <v>462</v>
      </c>
      <c r="AK13" s="7">
        <v>370</v>
      </c>
      <c r="AL13" s="7">
        <v>509</v>
      </c>
      <c r="AM13" s="7">
        <v>536</v>
      </c>
      <c r="AN13" s="7">
        <v>484</v>
      </c>
      <c r="AO13" s="7">
        <v>543</v>
      </c>
      <c r="AP13" s="7">
        <v>682</v>
      </c>
      <c r="AQ13" s="7">
        <v>520</v>
      </c>
      <c r="AR13" s="7">
        <v>450</v>
      </c>
      <c r="AS13" s="7">
        <v>463</v>
      </c>
      <c r="AT13" s="7">
        <v>574</v>
      </c>
      <c r="AU13" s="7">
        <v>564</v>
      </c>
      <c r="AV13" s="1">
        <v>656</v>
      </c>
      <c r="AW13" s="1">
        <v>726</v>
      </c>
      <c r="AY13" s="1">
        <v>565</v>
      </c>
      <c r="AZ13" s="7">
        <v>578</v>
      </c>
      <c r="BA13" s="7">
        <v>608</v>
      </c>
    </row>
    <row r="14" spans="1:53">
      <c r="A14" s="54" t="s">
        <v>18</v>
      </c>
      <c r="B14" s="7">
        <v>257</v>
      </c>
      <c r="C14" s="7">
        <f>207+58</f>
        <v>265</v>
      </c>
      <c r="D14" s="7">
        <f>259+53</f>
        <v>312</v>
      </c>
      <c r="E14" s="7">
        <v>393</v>
      </c>
      <c r="F14" s="7">
        <v>378</v>
      </c>
      <c r="G14" s="7">
        <v>404</v>
      </c>
      <c r="H14" s="7">
        <v>412</v>
      </c>
      <c r="I14" s="7">
        <v>410</v>
      </c>
      <c r="J14" s="7">
        <v>444</v>
      </c>
      <c r="K14" s="7">
        <v>474</v>
      </c>
      <c r="L14" s="7">
        <v>591</v>
      </c>
      <c r="M14" s="7">
        <v>641</v>
      </c>
      <c r="N14" s="7">
        <v>715</v>
      </c>
      <c r="O14" s="7">
        <v>799</v>
      </c>
      <c r="P14" s="7">
        <v>893</v>
      </c>
      <c r="Q14" s="7">
        <v>883</v>
      </c>
      <c r="R14" s="7">
        <v>975</v>
      </c>
      <c r="S14" s="7">
        <v>942</v>
      </c>
      <c r="T14" s="7">
        <v>1016</v>
      </c>
      <c r="U14" s="7">
        <v>1351</v>
      </c>
      <c r="V14" s="7">
        <v>1449</v>
      </c>
      <c r="W14" s="7">
        <v>1630</v>
      </c>
      <c r="X14" s="7"/>
      <c r="Y14" s="7">
        <v>2246</v>
      </c>
      <c r="Z14" s="7">
        <v>2352</v>
      </c>
      <c r="AA14" s="7">
        <v>2507</v>
      </c>
      <c r="AB14" s="124">
        <v>407</v>
      </c>
      <c r="AC14" s="7">
        <f>292+68</f>
        <v>360</v>
      </c>
      <c r="AD14" s="7">
        <f>357+57</f>
        <v>414</v>
      </c>
      <c r="AE14" s="7">
        <v>472</v>
      </c>
      <c r="AF14" s="7">
        <v>502</v>
      </c>
      <c r="AG14" s="7">
        <v>587</v>
      </c>
      <c r="AH14" s="7">
        <v>579</v>
      </c>
      <c r="AI14" s="7">
        <v>612</v>
      </c>
      <c r="AJ14" s="7">
        <v>625</v>
      </c>
      <c r="AK14" s="7">
        <v>674</v>
      </c>
      <c r="AL14" s="7">
        <v>754</v>
      </c>
      <c r="AM14" s="7">
        <v>1000</v>
      </c>
      <c r="AN14" s="7">
        <v>754</v>
      </c>
      <c r="AO14" s="7">
        <v>724</v>
      </c>
      <c r="AP14" s="7">
        <v>623</v>
      </c>
      <c r="AQ14" s="7">
        <v>603</v>
      </c>
      <c r="AR14" s="7">
        <v>597</v>
      </c>
      <c r="AS14" s="7">
        <v>614</v>
      </c>
      <c r="AT14" s="7">
        <v>606</v>
      </c>
      <c r="AU14" s="7">
        <v>696</v>
      </c>
      <c r="AV14" s="1">
        <v>825</v>
      </c>
      <c r="AW14" s="1">
        <v>858</v>
      </c>
      <c r="AY14" s="1">
        <v>939</v>
      </c>
      <c r="AZ14" s="7">
        <v>1020</v>
      </c>
      <c r="BA14" s="7">
        <v>1047</v>
      </c>
    </row>
    <row r="15" spans="1:53">
      <c r="A15" s="54" t="s">
        <v>19</v>
      </c>
      <c r="B15" s="7">
        <v>15</v>
      </c>
      <c r="C15" s="7">
        <f>17+4</f>
        <v>21</v>
      </c>
      <c r="D15" s="7">
        <f>19+6</f>
        <v>25</v>
      </c>
      <c r="E15" s="7">
        <v>27</v>
      </c>
      <c r="F15" s="7">
        <v>91</v>
      </c>
      <c r="G15" s="7">
        <v>22</v>
      </c>
      <c r="H15" s="7">
        <v>42</v>
      </c>
      <c r="I15" s="7">
        <v>53</v>
      </c>
      <c r="J15" s="7">
        <v>50</v>
      </c>
      <c r="K15" s="7">
        <v>73</v>
      </c>
      <c r="L15" s="7">
        <v>75</v>
      </c>
      <c r="M15" s="7">
        <v>81</v>
      </c>
      <c r="N15" s="7">
        <v>77</v>
      </c>
      <c r="O15" s="7">
        <v>64</v>
      </c>
      <c r="P15" s="7">
        <v>86</v>
      </c>
      <c r="Q15" s="7">
        <v>86</v>
      </c>
      <c r="R15" s="7">
        <v>98</v>
      </c>
      <c r="S15" s="7">
        <v>92</v>
      </c>
      <c r="T15" s="7">
        <v>149</v>
      </c>
      <c r="U15" s="7">
        <v>165</v>
      </c>
      <c r="V15" s="7">
        <v>195</v>
      </c>
      <c r="W15" s="7">
        <v>239</v>
      </c>
      <c r="X15" s="7"/>
      <c r="Y15" s="7">
        <v>310</v>
      </c>
      <c r="Z15" s="7">
        <v>298</v>
      </c>
      <c r="AA15" s="7">
        <v>255</v>
      </c>
      <c r="AB15" s="124">
        <v>107</v>
      </c>
      <c r="AC15" s="7">
        <f>84+15</f>
        <v>99</v>
      </c>
      <c r="AD15" s="7">
        <f>71+7</f>
        <v>78</v>
      </c>
      <c r="AE15" s="7">
        <v>89</v>
      </c>
      <c r="AF15" s="7">
        <v>207</v>
      </c>
      <c r="AG15" s="7">
        <v>210</v>
      </c>
      <c r="AH15" s="7">
        <v>190</v>
      </c>
      <c r="AI15" s="7">
        <v>136</v>
      </c>
      <c r="AJ15" s="7">
        <v>193</v>
      </c>
      <c r="AK15" s="7">
        <v>178</v>
      </c>
      <c r="AL15" s="7">
        <v>163</v>
      </c>
      <c r="AM15" s="7">
        <v>132</v>
      </c>
      <c r="AN15" s="7">
        <v>121</v>
      </c>
      <c r="AO15" s="7">
        <v>121</v>
      </c>
      <c r="AP15" s="7">
        <v>115</v>
      </c>
      <c r="AQ15" s="7">
        <v>111</v>
      </c>
      <c r="AR15" s="7">
        <v>107</v>
      </c>
      <c r="AS15" s="7">
        <v>100</v>
      </c>
      <c r="AT15" s="7">
        <v>103</v>
      </c>
      <c r="AU15" s="7">
        <v>139</v>
      </c>
      <c r="AV15" s="1">
        <v>161</v>
      </c>
      <c r="AW15" s="1">
        <v>186</v>
      </c>
      <c r="AY15" s="1">
        <v>234</v>
      </c>
      <c r="AZ15" s="7">
        <v>233</v>
      </c>
      <c r="BA15" s="7">
        <v>261</v>
      </c>
    </row>
    <row r="16" spans="1:53">
      <c r="A16" s="54" t="s">
        <v>20</v>
      </c>
      <c r="B16" s="7">
        <v>147</v>
      </c>
      <c r="C16" s="7">
        <f>107+82</f>
        <v>189</v>
      </c>
      <c r="D16" s="7">
        <f>89+70</f>
        <v>159</v>
      </c>
      <c r="E16" s="7">
        <v>230</v>
      </c>
      <c r="F16" s="7">
        <v>229</v>
      </c>
      <c r="G16" s="7">
        <v>280</v>
      </c>
      <c r="H16" s="7">
        <v>354</v>
      </c>
      <c r="I16" s="7">
        <v>360</v>
      </c>
      <c r="J16" s="7">
        <v>382</v>
      </c>
      <c r="K16" s="7">
        <v>437</v>
      </c>
      <c r="L16" s="7">
        <v>492</v>
      </c>
      <c r="M16" s="7">
        <v>601</v>
      </c>
      <c r="N16" s="7">
        <v>641</v>
      </c>
      <c r="O16" s="7">
        <v>747</v>
      </c>
      <c r="P16" s="7">
        <v>846</v>
      </c>
      <c r="Q16" s="7">
        <v>942</v>
      </c>
      <c r="R16" s="7">
        <v>980</v>
      </c>
      <c r="S16" s="7">
        <v>1209</v>
      </c>
      <c r="T16" s="7">
        <v>1369</v>
      </c>
      <c r="U16" s="7">
        <v>1574</v>
      </c>
      <c r="V16" s="7">
        <v>1810</v>
      </c>
      <c r="W16" s="7">
        <v>2225</v>
      </c>
      <c r="X16" s="7"/>
      <c r="Y16" s="7">
        <v>2448</v>
      </c>
      <c r="Z16" s="7">
        <v>2782</v>
      </c>
      <c r="AA16" s="7">
        <v>3135</v>
      </c>
      <c r="AB16" s="124">
        <v>395</v>
      </c>
      <c r="AC16" s="7">
        <f>214+106</f>
        <v>320</v>
      </c>
      <c r="AD16" s="7">
        <f>237+106</f>
        <v>343</v>
      </c>
      <c r="AE16" s="7">
        <v>260</v>
      </c>
      <c r="AF16" s="7">
        <v>346</v>
      </c>
      <c r="AG16" s="7">
        <v>398</v>
      </c>
      <c r="AH16" s="7">
        <v>456</v>
      </c>
      <c r="AI16" s="7">
        <v>421</v>
      </c>
      <c r="AJ16" s="7">
        <v>515</v>
      </c>
      <c r="AK16" s="7">
        <v>523</v>
      </c>
      <c r="AL16" s="7">
        <v>527</v>
      </c>
      <c r="AM16" s="7">
        <v>578</v>
      </c>
      <c r="AN16" s="7">
        <v>734</v>
      </c>
      <c r="AO16" s="7">
        <v>571</v>
      </c>
      <c r="AP16" s="7">
        <v>710</v>
      </c>
      <c r="AQ16" s="7">
        <v>546</v>
      </c>
      <c r="AR16" s="7">
        <v>658</v>
      </c>
      <c r="AS16" s="7">
        <v>600</v>
      </c>
      <c r="AT16" s="7">
        <v>769</v>
      </c>
      <c r="AU16" s="7">
        <v>871</v>
      </c>
      <c r="AV16" s="1">
        <v>940</v>
      </c>
      <c r="AW16" s="1">
        <v>948</v>
      </c>
      <c r="AY16" s="1">
        <v>1108</v>
      </c>
      <c r="AZ16" s="7">
        <v>1184</v>
      </c>
      <c r="BA16" s="7">
        <v>1355</v>
      </c>
    </row>
    <row r="17" spans="1:53">
      <c r="A17" s="54" t="s">
        <v>21</v>
      </c>
      <c r="B17" s="7">
        <v>114</v>
      </c>
      <c r="C17" s="7">
        <f>136+45</f>
        <v>181</v>
      </c>
      <c r="D17" s="7">
        <f>125+30</f>
        <v>155</v>
      </c>
      <c r="E17" s="7">
        <v>201</v>
      </c>
      <c r="F17" s="7">
        <v>212</v>
      </c>
      <c r="G17" s="7">
        <v>229</v>
      </c>
      <c r="H17" s="7">
        <v>273</v>
      </c>
      <c r="I17" s="7">
        <v>261</v>
      </c>
      <c r="J17" s="7">
        <v>293</v>
      </c>
      <c r="K17" s="7">
        <v>349</v>
      </c>
      <c r="L17" s="7">
        <v>374</v>
      </c>
      <c r="M17" s="7">
        <v>405</v>
      </c>
      <c r="N17" s="7">
        <v>469</v>
      </c>
      <c r="O17" s="7">
        <v>549</v>
      </c>
      <c r="P17" s="7">
        <v>559</v>
      </c>
      <c r="Q17" s="7">
        <v>548</v>
      </c>
      <c r="R17" s="7">
        <v>582</v>
      </c>
      <c r="S17" s="7">
        <v>645</v>
      </c>
      <c r="T17" s="7">
        <v>666</v>
      </c>
      <c r="U17" s="7">
        <v>695</v>
      </c>
      <c r="V17" s="7">
        <v>730</v>
      </c>
      <c r="W17" s="7">
        <v>854</v>
      </c>
      <c r="X17" s="7"/>
      <c r="Y17" s="7">
        <v>1187</v>
      </c>
      <c r="Z17" s="7">
        <v>1304</v>
      </c>
      <c r="AA17" s="7">
        <v>1436</v>
      </c>
      <c r="AB17" s="124">
        <v>784</v>
      </c>
      <c r="AC17" s="7">
        <f>610+154</f>
        <v>764</v>
      </c>
      <c r="AD17" s="7">
        <f>471+132</f>
        <v>603</v>
      </c>
      <c r="AE17" s="7">
        <v>575</v>
      </c>
      <c r="AF17" s="7">
        <v>641</v>
      </c>
      <c r="AG17" s="7">
        <v>833</v>
      </c>
      <c r="AH17" s="7">
        <v>979</v>
      </c>
      <c r="AI17" s="7">
        <v>1037</v>
      </c>
      <c r="AJ17" s="7">
        <v>1221</v>
      </c>
      <c r="AK17" s="7">
        <v>1392</v>
      </c>
      <c r="AL17" s="7">
        <v>1114</v>
      </c>
      <c r="AM17" s="7">
        <v>846</v>
      </c>
      <c r="AN17" s="7">
        <v>815</v>
      </c>
      <c r="AO17" s="7">
        <v>930</v>
      </c>
      <c r="AP17" s="7">
        <v>1029</v>
      </c>
      <c r="AQ17" s="7">
        <v>1008</v>
      </c>
      <c r="AR17" s="7">
        <v>871</v>
      </c>
      <c r="AS17" s="7">
        <v>914</v>
      </c>
      <c r="AT17" s="7">
        <v>760</v>
      </c>
      <c r="AU17" s="7">
        <v>817</v>
      </c>
      <c r="AV17" s="1">
        <v>927</v>
      </c>
      <c r="AW17" s="1">
        <v>999</v>
      </c>
      <c r="AY17" s="1">
        <v>1016</v>
      </c>
      <c r="AZ17" s="7">
        <v>1117</v>
      </c>
      <c r="BA17" s="7">
        <v>1198</v>
      </c>
    </row>
    <row r="18" spans="1:53">
      <c r="A18" s="54" t="s">
        <v>22</v>
      </c>
      <c r="B18" s="7">
        <v>60</v>
      </c>
      <c r="C18" s="7">
        <f>51+9</f>
        <v>60</v>
      </c>
      <c r="D18" s="7">
        <f>51+10</f>
        <v>61</v>
      </c>
      <c r="E18" s="7">
        <v>63</v>
      </c>
      <c r="F18" s="7">
        <v>81</v>
      </c>
      <c r="G18" s="7">
        <v>90</v>
      </c>
      <c r="H18" s="7">
        <v>112</v>
      </c>
      <c r="I18" s="7">
        <v>127</v>
      </c>
      <c r="J18" s="7">
        <v>119</v>
      </c>
      <c r="K18" s="7">
        <v>128</v>
      </c>
      <c r="L18" s="7">
        <v>144</v>
      </c>
      <c r="M18" s="7">
        <v>231</v>
      </c>
      <c r="N18" s="7">
        <v>192</v>
      </c>
      <c r="O18" s="7">
        <v>209</v>
      </c>
      <c r="P18" s="7">
        <v>257</v>
      </c>
      <c r="Q18" s="7">
        <v>250</v>
      </c>
      <c r="R18" s="7">
        <v>305</v>
      </c>
      <c r="S18" s="7">
        <v>336</v>
      </c>
      <c r="T18" s="7">
        <v>478</v>
      </c>
      <c r="U18" s="7">
        <v>480</v>
      </c>
      <c r="V18" s="7">
        <v>574</v>
      </c>
      <c r="W18" s="7">
        <v>608</v>
      </c>
      <c r="X18" s="7"/>
      <c r="Y18" s="7">
        <v>871</v>
      </c>
      <c r="Z18" s="7">
        <v>918</v>
      </c>
      <c r="AA18" s="7">
        <v>983</v>
      </c>
      <c r="AB18" s="124">
        <v>180</v>
      </c>
      <c r="AC18" s="7">
        <f>146+34</f>
        <v>180</v>
      </c>
      <c r="AD18" s="7">
        <f>167+27</f>
        <v>194</v>
      </c>
      <c r="AE18" s="7">
        <v>172</v>
      </c>
      <c r="AF18" s="7">
        <v>189</v>
      </c>
      <c r="AG18" s="7">
        <v>287</v>
      </c>
      <c r="AH18" s="7">
        <v>244</v>
      </c>
      <c r="AI18" s="7">
        <v>232</v>
      </c>
      <c r="AJ18" s="7">
        <v>241</v>
      </c>
      <c r="AK18" s="7">
        <v>248</v>
      </c>
      <c r="AL18" s="7">
        <v>309</v>
      </c>
      <c r="AM18" s="7">
        <v>401</v>
      </c>
      <c r="AN18" s="7">
        <v>401</v>
      </c>
      <c r="AO18" s="7">
        <v>360</v>
      </c>
      <c r="AP18" s="7">
        <v>328</v>
      </c>
      <c r="AQ18" s="7">
        <v>358</v>
      </c>
      <c r="AR18" s="7">
        <v>284</v>
      </c>
      <c r="AS18" s="7">
        <v>274</v>
      </c>
      <c r="AT18" s="7">
        <v>271</v>
      </c>
      <c r="AU18" s="7">
        <v>327</v>
      </c>
      <c r="AV18" s="1">
        <v>343</v>
      </c>
      <c r="AW18" s="1">
        <v>371</v>
      </c>
      <c r="AY18" s="1">
        <v>431</v>
      </c>
      <c r="AZ18" s="7">
        <v>427</v>
      </c>
      <c r="BA18" s="7">
        <v>434</v>
      </c>
    </row>
    <row r="19" spans="1:53">
      <c r="A19" s="54" t="s">
        <v>23</v>
      </c>
      <c r="B19" s="7">
        <v>79</v>
      </c>
      <c r="C19" s="7">
        <f>46+32</f>
        <v>78</v>
      </c>
      <c r="D19" s="7">
        <f>51+42</f>
        <v>93</v>
      </c>
      <c r="E19" s="7">
        <v>153</v>
      </c>
      <c r="F19" s="7">
        <v>127</v>
      </c>
      <c r="G19" s="7">
        <v>114</v>
      </c>
      <c r="H19" s="7">
        <v>186</v>
      </c>
      <c r="I19" s="7">
        <v>163</v>
      </c>
      <c r="J19" s="7">
        <v>177</v>
      </c>
      <c r="K19" s="7">
        <v>209</v>
      </c>
      <c r="L19" s="7">
        <v>269</v>
      </c>
      <c r="M19" s="7">
        <v>377</v>
      </c>
      <c r="N19" s="7">
        <v>352</v>
      </c>
      <c r="O19" s="7">
        <v>415</v>
      </c>
      <c r="P19" s="7">
        <v>429</v>
      </c>
      <c r="Q19" s="7">
        <v>470</v>
      </c>
      <c r="R19" s="7">
        <v>521</v>
      </c>
      <c r="S19" s="7">
        <v>576</v>
      </c>
      <c r="T19" s="7">
        <v>657</v>
      </c>
      <c r="U19" s="7">
        <v>773</v>
      </c>
      <c r="V19" s="7">
        <v>810</v>
      </c>
      <c r="W19" s="7">
        <v>969</v>
      </c>
      <c r="X19" s="7"/>
      <c r="Y19" s="7">
        <v>1039</v>
      </c>
      <c r="Z19" s="7">
        <v>1216</v>
      </c>
      <c r="AA19" s="7">
        <v>1317</v>
      </c>
      <c r="AB19" s="124">
        <v>365</v>
      </c>
      <c r="AC19" s="7">
        <f>136+90</f>
        <v>226</v>
      </c>
      <c r="AD19" s="7">
        <f>129+106</f>
        <v>235</v>
      </c>
      <c r="AE19" s="7">
        <v>219</v>
      </c>
      <c r="AF19" s="7">
        <v>219</v>
      </c>
      <c r="AG19" s="7">
        <v>281</v>
      </c>
      <c r="AH19" s="7">
        <v>424</v>
      </c>
      <c r="AI19" s="7">
        <v>393</v>
      </c>
      <c r="AJ19" s="7">
        <v>422</v>
      </c>
      <c r="AK19" s="7">
        <v>464</v>
      </c>
      <c r="AL19" s="7">
        <v>448</v>
      </c>
      <c r="AM19" s="7">
        <v>448</v>
      </c>
      <c r="AN19" s="7">
        <v>417</v>
      </c>
      <c r="AO19" s="7">
        <v>399</v>
      </c>
      <c r="AP19" s="7">
        <v>431</v>
      </c>
      <c r="AQ19" s="7">
        <v>435</v>
      </c>
      <c r="AR19" s="7">
        <v>436</v>
      </c>
      <c r="AS19" s="7">
        <v>450</v>
      </c>
      <c r="AT19" s="7">
        <v>474</v>
      </c>
      <c r="AU19" s="7">
        <v>442</v>
      </c>
      <c r="AV19" s="1">
        <v>529</v>
      </c>
      <c r="AW19" s="1">
        <v>510</v>
      </c>
      <c r="AY19" s="1">
        <v>684</v>
      </c>
      <c r="AZ19" s="7">
        <v>747</v>
      </c>
      <c r="BA19" s="7">
        <v>909</v>
      </c>
    </row>
    <row r="20" spans="1:53">
      <c r="A20" s="54" t="s">
        <v>24</v>
      </c>
      <c r="B20" s="7">
        <v>5087</v>
      </c>
      <c r="C20" s="7">
        <f>4540+913</f>
        <v>5453</v>
      </c>
      <c r="D20" s="7">
        <f>4974+955</f>
        <v>5929</v>
      </c>
      <c r="E20" s="7">
        <v>7110</v>
      </c>
      <c r="F20" s="7">
        <v>8055</v>
      </c>
      <c r="G20" s="7">
        <v>9065</v>
      </c>
      <c r="H20" s="7">
        <v>9923</v>
      </c>
      <c r="I20" s="7">
        <v>10505</v>
      </c>
      <c r="J20" s="7">
        <v>11191</v>
      </c>
      <c r="K20" s="7">
        <v>11562</v>
      </c>
      <c r="L20" s="7">
        <v>13108</v>
      </c>
      <c r="M20" s="7">
        <v>15110</v>
      </c>
      <c r="N20" s="7">
        <v>15953</v>
      </c>
      <c r="O20" s="7">
        <v>17060</v>
      </c>
      <c r="P20" s="7">
        <v>18146</v>
      </c>
      <c r="Q20" s="7">
        <v>19948</v>
      </c>
      <c r="R20" s="7">
        <v>20907</v>
      </c>
      <c r="S20" s="7">
        <v>22882</v>
      </c>
      <c r="T20" s="7">
        <v>24017</v>
      </c>
      <c r="U20" s="7">
        <v>25341</v>
      </c>
      <c r="V20" s="7">
        <v>26996</v>
      </c>
      <c r="W20" s="7">
        <v>28962</v>
      </c>
      <c r="X20" s="7"/>
      <c r="Y20" s="7">
        <v>33517</v>
      </c>
      <c r="Z20" s="7">
        <v>35966</v>
      </c>
      <c r="AA20" s="7">
        <v>38906</v>
      </c>
      <c r="AB20" s="124">
        <v>2344</v>
      </c>
      <c r="AC20" s="7">
        <f>1172+381</f>
        <v>1553</v>
      </c>
      <c r="AD20" s="7">
        <f>1390+324</f>
        <v>1714</v>
      </c>
      <c r="AE20" s="7">
        <v>1894</v>
      </c>
      <c r="AF20" s="7">
        <v>1650</v>
      </c>
      <c r="AG20" s="7">
        <v>1689</v>
      </c>
      <c r="AH20" s="7">
        <v>1977</v>
      </c>
      <c r="AI20" s="7">
        <v>1851</v>
      </c>
      <c r="AJ20" s="7">
        <v>1923</v>
      </c>
      <c r="AK20" s="7">
        <v>1970</v>
      </c>
      <c r="AL20" s="7">
        <v>1852</v>
      </c>
      <c r="AM20" s="7">
        <v>2121</v>
      </c>
      <c r="AN20" s="7">
        <v>2428</v>
      </c>
      <c r="AO20" s="7">
        <v>2693</v>
      </c>
      <c r="AP20" s="7">
        <v>2857</v>
      </c>
      <c r="AQ20" s="7">
        <v>2910</v>
      </c>
      <c r="AR20" s="7">
        <v>2662</v>
      </c>
      <c r="AS20" s="7">
        <v>2931</v>
      </c>
      <c r="AT20" s="7">
        <v>2748</v>
      </c>
      <c r="AU20" s="7">
        <v>3010</v>
      </c>
      <c r="AV20" s="1">
        <v>3111</v>
      </c>
      <c r="AW20" s="1">
        <v>3449</v>
      </c>
      <c r="AY20" s="1">
        <v>3967</v>
      </c>
      <c r="AZ20" s="7">
        <v>4086</v>
      </c>
      <c r="BA20" s="7">
        <v>4264</v>
      </c>
    </row>
    <row r="21" spans="1:53">
      <c r="A21" s="54" t="s">
        <v>25</v>
      </c>
      <c r="B21" s="7">
        <v>198</v>
      </c>
      <c r="C21" s="7">
        <f>204+38</f>
        <v>242</v>
      </c>
      <c r="D21" s="7">
        <f>225+31</f>
        <v>256</v>
      </c>
      <c r="E21" s="7">
        <v>362</v>
      </c>
      <c r="F21" s="7">
        <v>396</v>
      </c>
      <c r="G21" s="7">
        <v>508</v>
      </c>
      <c r="H21" s="7">
        <v>513</v>
      </c>
      <c r="I21" s="7">
        <v>538</v>
      </c>
      <c r="J21" s="7">
        <v>595</v>
      </c>
      <c r="K21" s="7">
        <v>650</v>
      </c>
      <c r="L21" s="7">
        <v>770</v>
      </c>
      <c r="M21" s="7">
        <v>794</v>
      </c>
      <c r="N21" s="7">
        <v>848</v>
      </c>
      <c r="O21" s="7">
        <v>967</v>
      </c>
      <c r="P21" s="7">
        <v>1100</v>
      </c>
      <c r="Q21" s="7">
        <v>1216</v>
      </c>
      <c r="R21" s="7">
        <v>1356</v>
      </c>
      <c r="S21" s="7">
        <v>1445</v>
      </c>
      <c r="T21" s="7">
        <v>1628</v>
      </c>
      <c r="U21" s="7">
        <v>1993</v>
      </c>
      <c r="V21" s="7">
        <v>2375</v>
      </c>
      <c r="W21" s="7">
        <v>2808</v>
      </c>
      <c r="X21" s="7"/>
      <c r="Y21" s="7">
        <v>3413</v>
      </c>
      <c r="Z21" s="7">
        <v>3732</v>
      </c>
      <c r="AA21" s="7">
        <v>3847</v>
      </c>
      <c r="AB21" s="124">
        <v>340</v>
      </c>
      <c r="AC21" s="7">
        <f>316+87</f>
        <v>403</v>
      </c>
      <c r="AD21" s="7">
        <f>317+164</f>
        <v>481</v>
      </c>
      <c r="AE21" s="7">
        <v>443</v>
      </c>
      <c r="AF21" s="7">
        <v>492</v>
      </c>
      <c r="AG21" s="7">
        <v>497</v>
      </c>
      <c r="AH21" s="7">
        <v>548</v>
      </c>
      <c r="AI21" s="7">
        <v>546</v>
      </c>
      <c r="AJ21" s="7">
        <v>531</v>
      </c>
      <c r="AK21" s="7">
        <v>495</v>
      </c>
      <c r="AL21" s="7">
        <v>659</v>
      </c>
      <c r="AM21" s="7">
        <v>941</v>
      </c>
      <c r="AN21" s="7">
        <v>980</v>
      </c>
      <c r="AO21" s="7">
        <v>945</v>
      </c>
      <c r="AP21" s="7">
        <v>930</v>
      </c>
      <c r="AQ21" s="7">
        <v>686</v>
      </c>
      <c r="AR21" s="7">
        <v>897</v>
      </c>
      <c r="AS21" s="7">
        <v>824</v>
      </c>
      <c r="AT21" s="7">
        <v>982</v>
      </c>
      <c r="AU21" s="7">
        <v>994</v>
      </c>
      <c r="AV21" s="1">
        <v>1206</v>
      </c>
      <c r="AW21" s="1">
        <v>1189</v>
      </c>
      <c r="AY21" s="1">
        <v>1277</v>
      </c>
      <c r="AZ21" s="7">
        <v>1635</v>
      </c>
      <c r="BA21" s="7">
        <v>1645</v>
      </c>
    </row>
    <row r="22" spans="1:53">
      <c r="A22" s="58" t="s">
        <v>26</v>
      </c>
      <c r="B22" s="8">
        <v>27</v>
      </c>
      <c r="C22" s="8">
        <f>26+3</f>
        <v>29</v>
      </c>
      <c r="D22" s="8">
        <f>22+8</f>
        <v>30</v>
      </c>
      <c r="E22" s="8">
        <v>32</v>
      </c>
      <c r="F22" s="8">
        <v>42</v>
      </c>
      <c r="G22" s="8">
        <v>67</v>
      </c>
      <c r="H22" s="8">
        <v>52</v>
      </c>
      <c r="I22" s="8">
        <v>49</v>
      </c>
      <c r="J22" s="8">
        <v>57</v>
      </c>
      <c r="K22" s="8">
        <v>65</v>
      </c>
      <c r="L22" s="8">
        <v>54</v>
      </c>
      <c r="M22" s="8">
        <v>94</v>
      </c>
      <c r="N22" s="8">
        <v>84</v>
      </c>
      <c r="O22" s="8">
        <v>103</v>
      </c>
      <c r="P22" s="8">
        <v>103</v>
      </c>
      <c r="Q22" s="8">
        <v>134</v>
      </c>
      <c r="R22" s="8">
        <v>195</v>
      </c>
      <c r="S22" s="8">
        <v>217</v>
      </c>
      <c r="T22" s="8">
        <v>343</v>
      </c>
      <c r="U22" s="8">
        <v>182</v>
      </c>
      <c r="V22" s="8">
        <v>189</v>
      </c>
      <c r="W22" s="8">
        <v>178</v>
      </c>
      <c r="X22" s="8"/>
      <c r="Y22" s="8">
        <v>217</v>
      </c>
      <c r="Z22" s="7">
        <v>261</v>
      </c>
      <c r="AA22" s="7">
        <v>314</v>
      </c>
      <c r="AB22" s="126">
        <v>161</v>
      </c>
      <c r="AC22" s="8">
        <f>143+26</f>
        <v>169</v>
      </c>
      <c r="AD22" s="8">
        <f>101+32</f>
        <v>133</v>
      </c>
      <c r="AE22" s="8">
        <v>157</v>
      </c>
      <c r="AF22" s="8">
        <v>144</v>
      </c>
      <c r="AG22" s="8">
        <v>234</v>
      </c>
      <c r="AH22" s="8">
        <v>217</v>
      </c>
      <c r="AI22" s="8">
        <v>193</v>
      </c>
      <c r="AJ22" s="8">
        <v>182</v>
      </c>
      <c r="AK22" s="8">
        <v>218</v>
      </c>
      <c r="AL22" s="8">
        <v>221</v>
      </c>
      <c r="AM22" s="8">
        <v>227</v>
      </c>
      <c r="AN22" s="8">
        <v>169</v>
      </c>
      <c r="AO22" s="8">
        <v>179</v>
      </c>
      <c r="AP22" s="8">
        <v>263</v>
      </c>
      <c r="AQ22" s="8">
        <v>128</v>
      </c>
      <c r="AR22" s="8">
        <v>156</v>
      </c>
      <c r="AS22" s="8">
        <v>176</v>
      </c>
      <c r="AT22" s="8">
        <v>202</v>
      </c>
      <c r="AU22" s="8">
        <v>225</v>
      </c>
      <c r="AV22" s="1">
        <v>266</v>
      </c>
      <c r="AW22" s="1">
        <v>223</v>
      </c>
      <c r="AY22" s="1">
        <v>283</v>
      </c>
      <c r="AZ22" s="7">
        <v>301</v>
      </c>
      <c r="BA22" s="7">
        <v>353</v>
      </c>
    </row>
    <row r="23" spans="1:53">
      <c r="A23" s="54" t="s">
        <v>245</v>
      </c>
      <c r="B23" s="86">
        <f>SUM(B25:B37)</f>
        <v>8888</v>
      </c>
      <c r="C23" s="7"/>
      <c r="D23" s="7"/>
      <c r="E23" s="86">
        <f t="shared" ref="E23:S23" si="53">SUM(E25:E37)</f>
        <v>13736</v>
      </c>
      <c r="F23" s="86">
        <f t="shared" si="53"/>
        <v>15484</v>
      </c>
      <c r="G23" s="86">
        <f t="shared" si="53"/>
        <v>17302</v>
      </c>
      <c r="H23" s="86">
        <f t="shared" si="53"/>
        <v>18664</v>
      </c>
      <c r="I23" s="86">
        <f t="shared" si="53"/>
        <v>20247</v>
      </c>
      <c r="J23" s="86">
        <f t="shared" si="53"/>
        <v>21935</v>
      </c>
      <c r="K23" s="86">
        <f t="shared" si="53"/>
        <v>23207</v>
      </c>
      <c r="L23" s="86">
        <f t="shared" si="53"/>
        <v>26888</v>
      </c>
      <c r="M23" s="86">
        <f t="shared" si="53"/>
        <v>30431</v>
      </c>
      <c r="N23" s="86">
        <f t="shared" si="53"/>
        <v>32063</v>
      </c>
      <c r="O23" s="86">
        <f t="shared" si="53"/>
        <v>34234</v>
      </c>
      <c r="P23" s="86">
        <f t="shared" si="53"/>
        <v>36168</v>
      </c>
      <c r="Q23" s="86">
        <f t="shared" si="53"/>
        <v>38689</v>
      </c>
      <c r="R23" s="86">
        <f t="shared" si="53"/>
        <v>41843</v>
      </c>
      <c r="S23" s="86">
        <f t="shared" si="53"/>
        <v>42206</v>
      </c>
      <c r="T23" s="86">
        <f t="shared" ref="T23:U23" si="54">SUM(T25:T37)</f>
        <v>43898</v>
      </c>
      <c r="U23" s="86">
        <f t="shared" si="54"/>
        <v>47841</v>
      </c>
      <c r="V23" s="86">
        <f t="shared" ref="V23:W23" si="55">SUM(V25:V37)</f>
        <v>54316</v>
      </c>
      <c r="W23" s="86">
        <f t="shared" si="55"/>
        <v>61653</v>
      </c>
      <c r="X23" s="86">
        <f t="shared" ref="X23:AA23" si="56">SUM(X25:X37)</f>
        <v>0</v>
      </c>
      <c r="Y23" s="86">
        <f t="shared" si="56"/>
        <v>73917</v>
      </c>
      <c r="Z23" s="55">
        <f t="shared" si="56"/>
        <v>81037</v>
      </c>
      <c r="AA23" s="55">
        <f t="shared" si="56"/>
        <v>87418</v>
      </c>
      <c r="AB23" s="142">
        <f t="shared" ref="AB23" si="57">SUM(AB25:AB37)</f>
        <v>7215</v>
      </c>
      <c r="AC23" s="7"/>
      <c r="AD23" s="7"/>
      <c r="AE23" s="86">
        <f t="shared" ref="AE23:AR23" si="58">SUM(AE25:AE37)</f>
        <v>7016</v>
      </c>
      <c r="AF23" s="86">
        <f t="shared" si="58"/>
        <v>8970</v>
      </c>
      <c r="AG23" s="86">
        <f t="shared" si="58"/>
        <v>8602</v>
      </c>
      <c r="AH23" s="86">
        <f t="shared" si="58"/>
        <v>9077</v>
      </c>
      <c r="AI23" s="86">
        <f t="shared" si="58"/>
        <v>8887</v>
      </c>
      <c r="AJ23" s="86">
        <f t="shared" si="58"/>
        <v>9341</v>
      </c>
      <c r="AK23" s="86">
        <f t="shared" si="58"/>
        <v>9559</v>
      </c>
      <c r="AL23" s="86">
        <f t="shared" si="58"/>
        <v>9116</v>
      </c>
      <c r="AM23" s="86">
        <f t="shared" si="58"/>
        <v>9934</v>
      </c>
      <c r="AN23" s="86">
        <f t="shared" si="58"/>
        <v>9992</v>
      </c>
      <c r="AO23" s="86">
        <f t="shared" si="58"/>
        <v>10936</v>
      </c>
      <c r="AP23" s="86">
        <f t="shared" si="58"/>
        <v>10866</v>
      </c>
      <c r="AQ23" s="86">
        <f t="shared" si="58"/>
        <v>12826</v>
      </c>
      <c r="AR23" s="86">
        <f t="shared" si="58"/>
        <v>11290</v>
      </c>
      <c r="AS23" s="86">
        <f>SUM(AS25:AS37)</f>
        <v>10775</v>
      </c>
      <c r="AT23" s="86">
        <f>SUM(AT25:AT37)</f>
        <v>11199</v>
      </c>
      <c r="AU23" s="86">
        <f>SUM(AU25:AU37)</f>
        <v>11327</v>
      </c>
      <c r="AV23" s="186">
        <f>SUM(AV25:AV37)</f>
        <v>13269</v>
      </c>
      <c r="AW23" s="186">
        <f>SUM(AW25:AW37)</f>
        <v>14419</v>
      </c>
      <c r="AX23" s="186">
        <f t="shared" ref="AX23:BA23" si="59">SUM(AX25:AX37)</f>
        <v>0</v>
      </c>
      <c r="AY23" s="186">
        <f t="shared" si="59"/>
        <v>17901</v>
      </c>
      <c r="AZ23" s="55">
        <f t="shared" si="59"/>
        <v>20496</v>
      </c>
      <c r="BA23" s="55">
        <f t="shared" si="59"/>
        <v>23752</v>
      </c>
    </row>
    <row r="24" spans="1:53">
      <c r="A24" s="56" t="s">
        <v>244</v>
      </c>
      <c r="B24" s="89">
        <f>(B23/B4)*100</f>
        <v>34.00803520183662</v>
      </c>
      <c r="E24" s="89">
        <f t="shared" ref="E24:S24" si="60">(E23/E4)*100</f>
        <v>34.243262782639043</v>
      </c>
      <c r="F24" s="89">
        <f t="shared" si="60"/>
        <v>34.939976532177994</v>
      </c>
      <c r="G24" s="89">
        <f t="shared" si="60"/>
        <v>35.287159406102134</v>
      </c>
      <c r="H24" s="89">
        <f t="shared" si="60"/>
        <v>35.384002881680473</v>
      </c>
      <c r="I24" s="89">
        <f t="shared" si="60"/>
        <v>35.68193433551275</v>
      </c>
      <c r="J24" s="89">
        <f t="shared" si="60"/>
        <v>36.112345861938394</v>
      </c>
      <c r="K24" s="89">
        <f t="shared" si="60"/>
        <v>36.263770607078676</v>
      </c>
      <c r="L24" s="89">
        <f t="shared" si="60"/>
        <v>37.281790324593388</v>
      </c>
      <c r="M24" s="89">
        <f t="shared" si="60"/>
        <v>36.207122205432675</v>
      </c>
      <c r="N24" s="89">
        <f t="shared" si="60"/>
        <v>36.148096370872274</v>
      </c>
      <c r="O24" s="89">
        <f t="shared" si="60"/>
        <v>36.262141578484645</v>
      </c>
      <c r="P24" s="89">
        <f t="shared" si="60"/>
        <v>36.273919845950175</v>
      </c>
      <c r="Q24" s="89">
        <f t="shared" si="60"/>
        <v>35.99244594946601</v>
      </c>
      <c r="R24" s="89">
        <f t="shared" si="60"/>
        <v>36.468301696037933</v>
      </c>
      <c r="S24" s="89">
        <f t="shared" si="60"/>
        <v>35.034448410392628</v>
      </c>
      <c r="T24" s="89">
        <f t="shared" ref="T24:U24" si="61">(T23/T4)*100</f>
        <v>33.944464635061053</v>
      </c>
      <c r="U24" s="89">
        <f t="shared" si="61"/>
        <v>34.10369187559256</v>
      </c>
      <c r="V24" s="89">
        <f t="shared" ref="V24:W24" si="62">(V23/V4)*100</f>
        <v>34.690527741053693</v>
      </c>
      <c r="W24" s="89">
        <f t="shared" si="62"/>
        <v>35.580396818984525</v>
      </c>
      <c r="X24" s="89" t="e">
        <f t="shared" ref="X24:AA24" si="63">(X23/X4)*100</f>
        <v>#DIV/0!</v>
      </c>
      <c r="Y24" s="89">
        <f t="shared" si="63"/>
        <v>36.286474492400735</v>
      </c>
      <c r="Z24" s="57">
        <f t="shared" si="63"/>
        <v>36.578121826265544</v>
      </c>
      <c r="AA24" s="57">
        <f t="shared" si="63"/>
        <v>36.671239140374944</v>
      </c>
      <c r="AB24" s="144">
        <f t="shared" ref="AB24" si="64">(AB23/AB4)*100</f>
        <v>25.274994745323337</v>
      </c>
      <c r="AE24" s="89">
        <f t="shared" ref="AE24" si="65">(AE23/AE4)*100</f>
        <v>24.667744884325995</v>
      </c>
      <c r="AF24" s="89">
        <f t="shared" ref="AF24" si="66">(AF23/AF4)*100</f>
        <v>27.797576621525305</v>
      </c>
      <c r="AG24" s="89">
        <f t="shared" ref="AG24" si="67">(AG23/AG4)*100</f>
        <v>25.188872620790629</v>
      </c>
      <c r="AH24" s="89">
        <f t="shared" ref="AH24" si="68">(AH23/AH4)*100</f>
        <v>24.597582786840821</v>
      </c>
      <c r="AI24" s="89">
        <f t="shared" ref="AI24" si="69">(AI23/AI4)*100</f>
        <v>23.605503612409688</v>
      </c>
      <c r="AJ24" s="89">
        <f t="shared" ref="AJ24" si="70">(AJ23/AJ4)*100</f>
        <v>24.020263320304462</v>
      </c>
      <c r="AK24" s="89">
        <f t="shared" ref="AK24" si="71">(AK23/AK4)*100</f>
        <v>24.390804011125002</v>
      </c>
      <c r="AL24" s="89">
        <f t="shared" ref="AL24" si="72">(AL23/AL4)*100</f>
        <v>23.35160612736308</v>
      </c>
      <c r="AM24" s="89">
        <f t="shared" ref="AM24" si="73">(AM23/AM4)*100</f>
        <v>23.014015985173174</v>
      </c>
      <c r="AN24" s="89">
        <f t="shared" ref="AN24" si="74">(AN23/AN4)*100</f>
        <v>22.330487641353418</v>
      </c>
      <c r="AO24" s="89">
        <f t="shared" ref="AO24" si="75">(AO23/AO4)*100</f>
        <v>24.13169160157112</v>
      </c>
      <c r="AP24" s="89">
        <f t="shared" ref="AP24" si="76">(AP23/AP4)*100</f>
        <v>24.049932493747374</v>
      </c>
      <c r="AQ24" s="89">
        <f t="shared" ref="AQ24" si="77">(AQ23/AQ4)*100</f>
        <v>27.968947620916744</v>
      </c>
      <c r="AR24" s="89">
        <f t="shared" ref="AR24" si="78">(AR23/AR4)*100</f>
        <v>25.501445608962776</v>
      </c>
      <c r="AS24" s="89">
        <f t="shared" ref="AS24:AT24" si="79">(AS23/AS4)*100</f>
        <v>23.504133673625198</v>
      </c>
      <c r="AT24" s="89">
        <f t="shared" si="79"/>
        <v>23.585779874478749</v>
      </c>
      <c r="AU24" s="89">
        <f t="shared" ref="AU24:AV24" si="80">(AU23/AU4)*100</f>
        <v>21.750902527075812</v>
      </c>
      <c r="AV24" s="89">
        <f t="shared" si="80"/>
        <v>22.403633477974573</v>
      </c>
      <c r="AW24" s="89">
        <f t="shared" ref="AW24:BA24" si="81">(AW23/AW4)*100</f>
        <v>22.332187219279497</v>
      </c>
      <c r="AX24" s="89" t="e">
        <f t="shared" si="81"/>
        <v>#DIV/0!</v>
      </c>
      <c r="AY24" s="89">
        <f t="shared" si="81"/>
        <v>23.765018254231663</v>
      </c>
      <c r="AZ24" s="57">
        <f t="shared" si="81"/>
        <v>24.420350291909926</v>
      </c>
      <c r="BA24" s="57">
        <f t="shared" si="81"/>
        <v>26.060147241148524</v>
      </c>
    </row>
    <row r="25" spans="1:53">
      <c r="A25" s="54" t="s">
        <v>167</v>
      </c>
      <c r="B25" s="7">
        <v>8</v>
      </c>
      <c r="C25" s="7"/>
      <c r="D25" s="7"/>
      <c r="E25" s="7">
        <v>15</v>
      </c>
      <c r="F25" s="7">
        <v>28</v>
      </c>
      <c r="G25" s="7">
        <v>31</v>
      </c>
      <c r="H25" s="7">
        <v>29</v>
      </c>
      <c r="I25" s="7">
        <v>28</v>
      </c>
      <c r="J25" s="7">
        <v>36</v>
      </c>
      <c r="K25" s="7">
        <v>40</v>
      </c>
      <c r="L25" s="7">
        <v>42</v>
      </c>
      <c r="M25" s="7">
        <v>43</v>
      </c>
      <c r="N25" s="7">
        <v>46</v>
      </c>
      <c r="O25" s="7">
        <v>52</v>
      </c>
      <c r="P25" s="7">
        <v>54</v>
      </c>
      <c r="Q25" s="7">
        <v>55</v>
      </c>
      <c r="R25" s="7">
        <v>46</v>
      </c>
      <c r="S25" s="7">
        <v>61</v>
      </c>
      <c r="T25" s="7">
        <v>67</v>
      </c>
      <c r="U25" s="7">
        <v>88</v>
      </c>
      <c r="V25" s="7">
        <v>93</v>
      </c>
      <c r="W25" s="7">
        <v>90</v>
      </c>
      <c r="X25" s="7"/>
      <c r="Y25" s="7">
        <v>129</v>
      </c>
      <c r="Z25" s="7">
        <v>122</v>
      </c>
      <c r="AA25" s="7">
        <v>114</v>
      </c>
      <c r="AB25" s="124">
        <v>26</v>
      </c>
      <c r="AC25" s="7"/>
      <c r="AD25" s="7"/>
      <c r="AE25" s="7">
        <v>19</v>
      </c>
      <c r="AF25" s="7">
        <v>38</v>
      </c>
      <c r="AG25" s="7">
        <v>56</v>
      </c>
      <c r="AH25" s="7">
        <v>43</v>
      </c>
      <c r="AI25" s="7">
        <v>82</v>
      </c>
      <c r="AJ25" s="7">
        <v>71</v>
      </c>
      <c r="AK25" s="7">
        <v>51</v>
      </c>
      <c r="AL25" s="7">
        <v>59</v>
      </c>
      <c r="AM25" s="7">
        <v>47</v>
      </c>
      <c r="AN25" s="7">
        <v>55</v>
      </c>
      <c r="AO25" s="7">
        <v>36</v>
      </c>
      <c r="AP25" s="7">
        <v>47</v>
      </c>
      <c r="AQ25" s="7">
        <v>39</v>
      </c>
      <c r="AR25" s="7">
        <v>37</v>
      </c>
      <c r="AS25" s="7">
        <v>61</v>
      </c>
      <c r="AT25" s="7">
        <v>55</v>
      </c>
      <c r="AU25" s="7">
        <v>79</v>
      </c>
      <c r="AV25" s="1">
        <v>57</v>
      </c>
      <c r="AW25" s="1">
        <v>61</v>
      </c>
      <c r="AY25" s="1">
        <v>41</v>
      </c>
      <c r="AZ25" s="7">
        <v>39</v>
      </c>
      <c r="BA25" s="7">
        <v>40</v>
      </c>
    </row>
    <row r="26" spans="1:53">
      <c r="A26" s="54" t="s">
        <v>168</v>
      </c>
      <c r="B26" s="7">
        <v>722</v>
      </c>
      <c r="C26" s="7"/>
      <c r="D26" s="7"/>
      <c r="E26" s="7">
        <v>1043</v>
      </c>
      <c r="F26" s="7">
        <v>1152</v>
      </c>
      <c r="G26" s="7">
        <v>1352</v>
      </c>
      <c r="H26" s="7">
        <v>1429</v>
      </c>
      <c r="I26" s="7">
        <v>1632</v>
      </c>
      <c r="J26" s="7">
        <v>1787</v>
      </c>
      <c r="K26" s="7">
        <v>1861</v>
      </c>
      <c r="L26" s="7">
        <v>2262</v>
      </c>
      <c r="M26" s="7">
        <v>2504</v>
      </c>
      <c r="N26" s="7">
        <v>2713</v>
      </c>
      <c r="O26" s="7">
        <v>2868</v>
      </c>
      <c r="P26" s="7">
        <v>2790</v>
      </c>
      <c r="Q26" s="7">
        <v>3707</v>
      </c>
      <c r="R26" s="7">
        <v>4201</v>
      </c>
      <c r="S26" s="7">
        <v>4217</v>
      </c>
      <c r="T26" s="7">
        <v>4739</v>
      </c>
      <c r="U26" s="7">
        <v>4109</v>
      </c>
      <c r="V26" s="7">
        <v>7242</v>
      </c>
      <c r="W26" s="7">
        <v>7941</v>
      </c>
      <c r="X26" s="7"/>
      <c r="Y26" s="7">
        <v>8760</v>
      </c>
      <c r="Z26" s="7">
        <v>9131</v>
      </c>
      <c r="AA26" s="7">
        <v>10050</v>
      </c>
      <c r="AB26" s="124">
        <v>714</v>
      </c>
      <c r="AC26" s="7"/>
      <c r="AD26" s="7"/>
      <c r="AE26" s="7">
        <v>563</v>
      </c>
      <c r="AF26" s="7">
        <v>532</v>
      </c>
      <c r="AG26" s="7">
        <v>682</v>
      </c>
      <c r="AH26" s="7">
        <v>703</v>
      </c>
      <c r="AI26" s="7">
        <v>591</v>
      </c>
      <c r="AJ26" s="7">
        <v>651</v>
      </c>
      <c r="AK26" s="7">
        <v>650</v>
      </c>
      <c r="AL26" s="7">
        <v>668</v>
      </c>
      <c r="AM26" s="7">
        <v>753</v>
      </c>
      <c r="AN26" s="7">
        <v>755</v>
      </c>
      <c r="AO26" s="7">
        <v>1084</v>
      </c>
      <c r="AP26" s="7">
        <v>746</v>
      </c>
      <c r="AQ26" s="7">
        <v>2506</v>
      </c>
      <c r="AR26" s="7">
        <v>1762</v>
      </c>
      <c r="AS26" s="7">
        <v>1241</v>
      </c>
      <c r="AT26" s="7">
        <v>1129</v>
      </c>
      <c r="AU26" s="7">
        <v>518</v>
      </c>
      <c r="AV26" s="1">
        <v>1314</v>
      </c>
      <c r="AW26" s="1">
        <v>1480</v>
      </c>
      <c r="AY26" s="1">
        <v>1356</v>
      </c>
      <c r="AZ26" s="7">
        <v>1620</v>
      </c>
      <c r="BA26" s="7">
        <v>2131</v>
      </c>
    </row>
    <row r="27" spans="1:53">
      <c r="A27" s="54" t="s">
        <v>169</v>
      </c>
      <c r="B27" s="7">
        <v>6030</v>
      </c>
      <c r="C27" s="7"/>
      <c r="D27" s="7"/>
      <c r="E27" s="7">
        <v>9578</v>
      </c>
      <c r="F27" s="7">
        <v>10660</v>
      </c>
      <c r="G27" s="7">
        <v>11930</v>
      </c>
      <c r="H27" s="7">
        <v>12792</v>
      </c>
      <c r="I27" s="7">
        <v>14040</v>
      </c>
      <c r="J27" s="7">
        <v>15252</v>
      </c>
      <c r="K27" s="7">
        <v>15973</v>
      </c>
      <c r="L27" s="7">
        <v>18655</v>
      </c>
      <c r="M27" s="7">
        <v>21327</v>
      </c>
      <c r="N27" s="7">
        <v>22295</v>
      </c>
      <c r="O27" s="7">
        <v>23831</v>
      </c>
      <c r="P27" s="7">
        <v>25267</v>
      </c>
      <c r="Q27" s="7">
        <v>26322</v>
      </c>
      <c r="R27" s="7">
        <v>28412</v>
      </c>
      <c r="S27" s="7">
        <v>28374</v>
      </c>
      <c r="T27" s="7">
        <v>28838</v>
      </c>
      <c r="U27" s="7">
        <v>32425</v>
      </c>
      <c r="V27" s="7">
        <v>34760</v>
      </c>
      <c r="W27" s="7">
        <v>40044</v>
      </c>
      <c r="X27" s="7"/>
      <c r="Y27" s="7">
        <v>49205</v>
      </c>
      <c r="Z27" s="7">
        <v>54120</v>
      </c>
      <c r="AA27" s="7">
        <v>58432</v>
      </c>
      <c r="AB27" s="124">
        <v>3934</v>
      </c>
      <c r="AC27" s="7"/>
      <c r="AD27" s="7"/>
      <c r="AE27" s="7">
        <v>3963</v>
      </c>
      <c r="AF27" s="7">
        <v>5239</v>
      </c>
      <c r="AG27" s="7">
        <v>4279</v>
      </c>
      <c r="AH27" s="7">
        <v>4281</v>
      </c>
      <c r="AI27" s="7">
        <v>4295</v>
      </c>
      <c r="AJ27" s="7">
        <v>4563</v>
      </c>
      <c r="AK27" s="7">
        <v>4763</v>
      </c>
      <c r="AL27" s="7">
        <v>4661</v>
      </c>
      <c r="AM27" s="7">
        <v>5603</v>
      </c>
      <c r="AN27" s="7">
        <v>5660</v>
      </c>
      <c r="AO27" s="7">
        <v>6127</v>
      </c>
      <c r="AP27" s="7">
        <v>6372</v>
      </c>
      <c r="AQ27" s="7">
        <v>6387</v>
      </c>
      <c r="AR27" s="7">
        <v>5743</v>
      </c>
      <c r="AS27" s="7">
        <v>5678</v>
      </c>
      <c r="AT27" s="7">
        <v>5931</v>
      </c>
      <c r="AU27" s="7">
        <v>6482</v>
      </c>
      <c r="AV27" s="1">
        <v>7132</v>
      </c>
      <c r="AW27" s="1">
        <v>7600</v>
      </c>
      <c r="AY27" s="1">
        <v>9867</v>
      </c>
      <c r="AZ27" s="7">
        <v>11432</v>
      </c>
      <c r="BA27" s="7">
        <v>13811</v>
      </c>
    </row>
    <row r="28" spans="1:53">
      <c r="A28" s="54" t="s">
        <v>170</v>
      </c>
      <c r="B28" s="7">
        <v>556</v>
      </c>
      <c r="C28" s="7"/>
      <c r="D28" s="7"/>
      <c r="E28" s="7">
        <v>843</v>
      </c>
      <c r="F28" s="7">
        <v>1003</v>
      </c>
      <c r="G28" s="7">
        <v>1116</v>
      </c>
      <c r="H28" s="7">
        <v>1252</v>
      </c>
      <c r="I28" s="7">
        <v>1233</v>
      </c>
      <c r="J28" s="7">
        <v>1283</v>
      </c>
      <c r="K28" s="7">
        <v>1364</v>
      </c>
      <c r="L28" s="7">
        <v>1437</v>
      </c>
      <c r="M28" s="7">
        <v>1549</v>
      </c>
      <c r="N28" s="7">
        <v>1649</v>
      </c>
      <c r="O28" s="7">
        <v>1833</v>
      </c>
      <c r="P28" s="7">
        <v>1978</v>
      </c>
      <c r="Q28" s="7">
        <v>2146</v>
      </c>
      <c r="R28" s="7">
        <v>2310</v>
      </c>
      <c r="S28" s="7">
        <v>2285</v>
      </c>
      <c r="T28" s="7">
        <v>2271</v>
      </c>
      <c r="U28" s="7">
        <v>2285</v>
      </c>
      <c r="V28" s="7">
        <v>2494</v>
      </c>
      <c r="W28" s="7">
        <v>2813</v>
      </c>
      <c r="X28" s="7"/>
      <c r="Y28" s="7">
        <v>3450</v>
      </c>
      <c r="Z28" s="7">
        <v>3911</v>
      </c>
      <c r="AA28" s="7">
        <v>4067</v>
      </c>
      <c r="AB28" s="124">
        <v>227</v>
      </c>
      <c r="AC28" s="7"/>
      <c r="AD28" s="7"/>
      <c r="AE28" s="7">
        <v>260</v>
      </c>
      <c r="AF28" s="7">
        <v>334</v>
      </c>
      <c r="AG28" s="7">
        <v>380</v>
      </c>
      <c r="AH28" s="7">
        <v>363</v>
      </c>
      <c r="AI28" s="7">
        <v>480</v>
      </c>
      <c r="AJ28" s="7">
        <v>578</v>
      </c>
      <c r="AK28" s="7">
        <v>645</v>
      </c>
      <c r="AL28" s="7">
        <v>480</v>
      </c>
      <c r="AM28" s="7">
        <v>628</v>
      </c>
      <c r="AN28" s="7">
        <v>518</v>
      </c>
      <c r="AO28" s="7">
        <v>532</v>
      </c>
      <c r="AP28" s="7">
        <v>419</v>
      </c>
      <c r="AQ28" s="7">
        <v>430</v>
      </c>
      <c r="AR28" s="7">
        <v>352</v>
      </c>
      <c r="AS28" s="7">
        <v>380</v>
      </c>
      <c r="AT28" s="7">
        <v>366</v>
      </c>
      <c r="AU28" s="7">
        <v>523</v>
      </c>
      <c r="AV28" s="1">
        <v>589</v>
      </c>
      <c r="AW28" s="1">
        <v>665</v>
      </c>
      <c r="AY28" s="1">
        <v>914</v>
      </c>
      <c r="AZ28" s="7">
        <v>919</v>
      </c>
      <c r="BA28" s="7">
        <v>1015</v>
      </c>
    </row>
    <row r="29" spans="1:53">
      <c r="A29" s="54" t="s">
        <v>173</v>
      </c>
      <c r="B29" s="7">
        <v>28</v>
      </c>
      <c r="C29" s="7"/>
      <c r="D29" s="7"/>
      <c r="E29" s="7">
        <v>55</v>
      </c>
      <c r="F29" s="7">
        <v>52</v>
      </c>
      <c r="G29" s="7">
        <v>43</v>
      </c>
      <c r="H29" s="7">
        <v>68</v>
      </c>
      <c r="I29" s="7">
        <v>87</v>
      </c>
      <c r="J29" s="7">
        <v>79</v>
      </c>
      <c r="K29" s="7">
        <v>77</v>
      </c>
      <c r="L29" s="7">
        <v>115</v>
      </c>
      <c r="M29" s="7">
        <v>119</v>
      </c>
      <c r="N29" s="7">
        <v>137</v>
      </c>
      <c r="O29" s="7">
        <v>176</v>
      </c>
      <c r="P29" s="7">
        <v>163</v>
      </c>
      <c r="Q29" s="7">
        <v>192</v>
      </c>
      <c r="R29" s="7">
        <v>221</v>
      </c>
      <c r="S29" s="7">
        <v>186</v>
      </c>
      <c r="T29" s="7">
        <v>256</v>
      </c>
      <c r="U29" s="7">
        <v>447</v>
      </c>
      <c r="V29" s="7">
        <v>433</v>
      </c>
      <c r="W29" s="7">
        <v>494</v>
      </c>
      <c r="X29" s="7"/>
      <c r="Y29" s="7">
        <v>584</v>
      </c>
      <c r="Z29" s="7">
        <v>622</v>
      </c>
      <c r="AA29" s="7">
        <v>688</v>
      </c>
      <c r="AB29" s="124">
        <v>309</v>
      </c>
      <c r="AC29" s="7"/>
      <c r="AD29" s="7"/>
      <c r="AE29" s="7">
        <v>209</v>
      </c>
      <c r="AF29" s="7">
        <v>448</v>
      </c>
      <c r="AG29" s="7">
        <v>508</v>
      </c>
      <c r="AH29" s="7">
        <v>563</v>
      </c>
      <c r="AI29" s="7">
        <v>536</v>
      </c>
      <c r="AJ29" s="7">
        <v>507</v>
      </c>
      <c r="AK29" s="7">
        <v>546</v>
      </c>
      <c r="AL29" s="7">
        <v>577</v>
      </c>
      <c r="AM29" s="7">
        <v>427</v>
      </c>
      <c r="AN29" s="7">
        <v>417</v>
      </c>
      <c r="AO29" s="7">
        <v>378</v>
      </c>
      <c r="AP29" s="7">
        <v>424</v>
      </c>
      <c r="AQ29" s="7">
        <v>632</v>
      </c>
      <c r="AR29" s="7">
        <v>636</v>
      </c>
      <c r="AS29" s="7">
        <v>691</v>
      </c>
      <c r="AT29" s="7">
        <v>601</v>
      </c>
      <c r="AU29" s="7">
        <v>549</v>
      </c>
      <c r="AV29" s="1">
        <v>465</v>
      </c>
      <c r="AW29" s="1">
        <v>385</v>
      </c>
      <c r="AY29" s="1">
        <v>528</v>
      </c>
      <c r="AZ29" s="7">
        <v>460</v>
      </c>
      <c r="BA29" s="7">
        <v>478</v>
      </c>
    </row>
    <row r="30" spans="1:53">
      <c r="A30" s="54" t="s">
        <v>175</v>
      </c>
      <c r="B30" s="7">
        <v>40</v>
      </c>
      <c r="C30" s="7"/>
      <c r="D30" s="7"/>
      <c r="E30" s="7">
        <v>67</v>
      </c>
      <c r="F30" s="7">
        <v>94</v>
      </c>
      <c r="G30" s="7">
        <v>76</v>
      </c>
      <c r="H30" s="7">
        <v>86</v>
      </c>
      <c r="I30" s="7">
        <v>111</v>
      </c>
      <c r="J30" s="7">
        <v>97</v>
      </c>
      <c r="K30" s="7">
        <v>124</v>
      </c>
      <c r="L30" s="7">
        <v>125</v>
      </c>
      <c r="M30" s="7">
        <v>156</v>
      </c>
      <c r="N30" s="7">
        <v>168</v>
      </c>
      <c r="O30" s="7">
        <v>189</v>
      </c>
      <c r="P30" s="7">
        <v>240</v>
      </c>
      <c r="Q30" s="7">
        <v>287</v>
      </c>
      <c r="R30" s="7">
        <v>305</v>
      </c>
      <c r="S30" s="7">
        <v>348</v>
      </c>
      <c r="T30" s="7">
        <v>383</v>
      </c>
      <c r="U30" s="7">
        <v>430</v>
      </c>
      <c r="V30" s="7">
        <v>509</v>
      </c>
      <c r="W30" s="7">
        <v>589</v>
      </c>
      <c r="X30" s="7"/>
      <c r="Y30" s="7">
        <v>628</v>
      </c>
      <c r="Z30" s="7">
        <v>755</v>
      </c>
      <c r="AA30" s="7">
        <v>794</v>
      </c>
      <c r="AB30" s="124">
        <v>47</v>
      </c>
      <c r="AC30" s="7"/>
      <c r="AD30" s="7"/>
      <c r="AE30" s="7">
        <v>79</v>
      </c>
      <c r="AF30" s="7">
        <v>97</v>
      </c>
      <c r="AG30" s="7">
        <v>130</v>
      </c>
      <c r="AH30" s="7">
        <v>130</v>
      </c>
      <c r="AI30" s="7">
        <v>120</v>
      </c>
      <c r="AJ30" s="7">
        <v>115</v>
      </c>
      <c r="AK30" s="7">
        <v>101</v>
      </c>
      <c r="AL30" s="7">
        <v>104</v>
      </c>
      <c r="AM30" s="7">
        <v>127</v>
      </c>
      <c r="AN30" s="7">
        <v>151</v>
      </c>
      <c r="AO30" s="7">
        <v>190</v>
      </c>
      <c r="AP30" s="7">
        <v>243</v>
      </c>
      <c r="AQ30" s="7">
        <v>258</v>
      </c>
      <c r="AR30" s="7">
        <v>234</v>
      </c>
      <c r="AS30" s="7">
        <v>245</v>
      </c>
      <c r="AT30" s="7">
        <v>276</v>
      </c>
      <c r="AU30" s="7">
        <v>175</v>
      </c>
      <c r="AV30" s="1">
        <v>235</v>
      </c>
      <c r="AW30" s="1">
        <v>283</v>
      </c>
      <c r="AY30" s="1">
        <v>366</v>
      </c>
      <c r="AZ30" s="7">
        <v>499</v>
      </c>
      <c r="BA30" s="7">
        <v>652</v>
      </c>
    </row>
    <row r="31" spans="1:53">
      <c r="A31" s="54" t="s">
        <v>184</v>
      </c>
      <c r="B31" s="7">
        <v>30</v>
      </c>
      <c r="C31" s="7"/>
      <c r="D31" s="7"/>
      <c r="E31" s="7">
        <v>25</v>
      </c>
      <c r="F31" s="7">
        <v>31</v>
      </c>
      <c r="G31" s="7">
        <v>36</v>
      </c>
      <c r="H31" s="7">
        <v>39</v>
      </c>
      <c r="I31" s="7">
        <v>52</v>
      </c>
      <c r="J31" s="7">
        <v>49</v>
      </c>
      <c r="K31" s="7">
        <v>44</v>
      </c>
      <c r="L31" s="7">
        <v>175</v>
      </c>
      <c r="M31" s="7">
        <v>60</v>
      </c>
      <c r="N31" s="7">
        <v>59</v>
      </c>
      <c r="O31" s="7">
        <v>68</v>
      </c>
      <c r="P31" s="7">
        <v>69</v>
      </c>
      <c r="Q31" s="7">
        <v>68</v>
      </c>
      <c r="R31" s="7">
        <v>80</v>
      </c>
      <c r="S31" s="7">
        <v>85</v>
      </c>
      <c r="T31" s="7">
        <v>84</v>
      </c>
      <c r="U31" s="7">
        <v>158</v>
      </c>
      <c r="V31" s="7">
        <v>158</v>
      </c>
      <c r="W31" s="7">
        <v>166</v>
      </c>
      <c r="X31" s="7"/>
      <c r="Y31" s="7">
        <v>166</v>
      </c>
      <c r="Z31" s="7">
        <v>210</v>
      </c>
      <c r="AA31" s="7">
        <v>205</v>
      </c>
      <c r="AB31" s="124">
        <v>137</v>
      </c>
      <c r="AC31" s="7"/>
      <c r="AD31" s="7"/>
      <c r="AE31" s="7">
        <v>108</v>
      </c>
      <c r="AF31" s="7">
        <v>145</v>
      </c>
      <c r="AG31" s="7">
        <v>157</v>
      </c>
      <c r="AH31" s="7">
        <v>188</v>
      </c>
      <c r="AI31" s="7">
        <v>151</v>
      </c>
      <c r="AJ31" s="7">
        <v>145</v>
      </c>
      <c r="AK31" s="7">
        <v>122</v>
      </c>
      <c r="AL31" s="7">
        <v>142</v>
      </c>
      <c r="AM31" s="7">
        <v>103</v>
      </c>
      <c r="AN31" s="7">
        <v>115</v>
      </c>
      <c r="AO31" s="7">
        <v>116</v>
      </c>
      <c r="AP31" s="7">
        <v>108</v>
      </c>
      <c r="AQ31" s="7">
        <v>107</v>
      </c>
      <c r="AR31" s="7">
        <v>139</v>
      </c>
      <c r="AS31" s="7">
        <v>123</v>
      </c>
      <c r="AT31" s="7">
        <v>97</v>
      </c>
      <c r="AU31" s="7">
        <v>159</v>
      </c>
      <c r="AV31" s="1">
        <v>137</v>
      </c>
      <c r="AW31" s="1">
        <v>195</v>
      </c>
      <c r="AY31" s="1">
        <v>166</v>
      </c>
      <c r="AZ31" s="7">
        <v>235</v>
      </c>
      <c r="BA31" s="7">
        <v>227</v>
      </c>
    </row>
    <row r="32" spans="1:53">
      <c r="A32" s="54" t="s">
        <v>190</v>
      </c>
      <c r="B32" s="7">
        <v>32</v>
      </c>
      <c r="C32" s="7"/>
      <c r="D32" s="7"/>
      <c r="E32" s="7">
        <v>88</v>
      </c>
      <c r="F32" s="7">
        <v>116</v>
      </c>
      <c r="G32" s="7">
        <v>116</v>
      </c>
      <c r="H32" s="7">
        <v>146</v>
      </c>
      <c r="I32" s="7">
        <v>139</v>
      </c>
      <c r="J32" s="7">
        <v>166</v>
      </c>
      <c r="K32" s="7">
        <v>199</v>
      </c>
      <c r="L32" s="7">
        <v>286</v>
      </c>
      <c r="M32" s="7">
        <v>357</v>
      </c>
      <c r="N32" s="7">
        <v>369</v>
      </c>
      <c r="O32" s="7">
        <v>444</v>
      </c>
      <c r="P32" s="7">
        <v>542</v>
      </c>
      <c r="Q32" s="7">
        <v>544</v>
      </c>
      <c r="R32" s="7">
        <v>570</v>
      </c>
      <c r="S32" s="7">
        <v>747</v>
      </c>
      <c r="T32" s="7">
        <v>861</v>
      </c>
      <c r="U32" s="7">
        <v>987</v>
      </c>
      <c r="V32" s="7">
        <v>985</v>
      </c>
      <c r="W32" s="7">
        <v>1030</v>
      </c>
      <c r="X32" s="7"/>
      <c r="Y32" s="7">
        <v>1388</v>
      </c>
      <c r="Z32" s="7">
        <v>1587</v>
      </c>
      <c r="AA32" s="7">
        <v>1811</v>
      </c>
      <c r="AB32" s="124">
        <v>63</v>
      </c>
      <c r="AC32" s="7"/>
      <c r="AD32" s="7"/>
      <c r="AE32" s="7">
        <v>55</v>
      </c>
      <c r="AF32" s="7">
        <v>115</v>
      </c>
      <c r="AG32" s="7">
        <v>197</v>
      </c>
      <c r="AH32" s="7">
        <v>201</v>
      </c>
      <c r="AI32" s="7">
        <v>220</v>
      </c>
      <c r="AJ32" s="7">
        <v>263</v>
      </c>
      <c r="AK32" s="7">
        <v>298</v>
      </c>
      <c r="AL32" s="7">
        <v>275</v>
      </c>
      <c r="AM32" s="7">
        <v>313</v>
      </c>
      <c r="AN32" s="7">
        <v>341</v>
      </c>
      <c r="AO32" s="7">
        <v>322</v>
      </c>
      <c r="AP32" s="7">
        <v>303</v>
      </c>
      <c r="AQ32" s="7">
        <v>369</v>
      </c>
      <c r="AR32" s="7">
        <v>386</v>
      </c>
      <c r="AS32" s="7">
        <v>360</v>
      </c>
      <c r="AT32" s="7">
        <v>303</v>
      </c>
      <c r="AU32" s="7">
        <v>305</v>
      </c>
      <c r="AV32" s="1">
        <v>328</v>
      </c>
      <c r="AW32" s="1">
        <v>521</v>
      </c>
      <c r="AY32" s="1">
        <v>346</v>
      </c>
      <c r="AZ32" s="7">
        <v>418</v>
      </c>
      <c r="BA32" s="7">
        <v>290</v>
      </c>
    </row>
    <row r="33" spans="1:53">
      <c r="A33" s="54" t="s">
        <v>189</v>
      </c>
      <c r="B33" s="7">
        <v>1034</v>
      </c>
      <c r="C33" s="7"/>
      <c r="D33" s="7"/>
      <c r="E33" s="7">
        <v>1245</v>
      </c>
      <c r="F33" s="7">
        <v>1379</v>
      </c>
      <c r="G33" s="7">
        <v>1590</v>
      </c>
      <c r="H33" s="7">
        <v>1693</v>
      </c>
      <c r="I33" s="7">
        <v>1661</v>
      </c>
      <c r="J33" s="7">
        <v>1842</v>
      </c>
      <c r="K33" s="7">
        <v>1967</v>
      </c>
      <c r="L33" s="7">
        <v>2122</v>
      </c>
      <c r="M33" s="7">
        <v>2407</v>
      </c>
      <c r="N33" s="7">
        <v>2617</v>
      </c>
      <c r="O33" s="7">
        <v>2683</v>
      </c>
      <c r="P33" s="7">
        <v>2711</v>
      </c>
      <c r="Q33" s="7">
        <v>2840</v>
      </c>
      <c r="R33" s="7">
        <v>2940</v>
      </c>
      <c r="S33" s="7">
        <v>2959</v>
      </c>
      <c r="T33" s="7">
        <v>2998</v>
      </c>
      <c r="U33" s="7">
        <v>3255</v>
      </c>
      <c r="V33" s="7">
        <v>3314</v>
      </c>
      <c r="W33" s="7">
        <v>3462</v>
      </c>
      <c r="X33" s="7"/>
      <c r="Y33" s="7">
        <v>3832</v>
      </c>
      <c r="Z33" s="7">
        <v>4055</v>
      </c>
      <c r="AA33" s="7">
        <v>4154</v>
      </c>
      <c r="AB33" s="124">
        <v>164</v>
      </c>
      <c r="AC33" s="7"/>
      <c r="AD33" s="7"/>
      <c r="AE33" s="7">
        <v>79</v>
      </c>
      <c r="AF33" s="7">
        <v>74</v>
      </c>
      <c r="AG33" s="7">
        <v>48</v>
      </c>
      <c r="AH33" s="7">
        <v>98</v>
      </c>
      <c r="AI33" s="7">
        <v>112</v>
      </c>
      <c r="AJ33" s="7">
        <v>119</v>
      </c>
      <c r="AK33" s="7">
        <v>103</v>
      </c>
      <c r="AL33" s="7">
        <v>78</v>
      </c>
      <c r="AM33" s="7">
        <v>74</v>
      </c>
      <c r="AN33" s="7">
        <v>82</v>
      </c>
      <c r="AO33" s="7">
        <v>127</v>
      </c>
      <c r="AP33" s="7">
        <v>161</v>
      </c>
      <c r="AQ33" s="7">
        <v>277</v>
      </c>
      <c r="AR33" s="7">
        <v>221</v>
      </c>
      <c r="AS33" s="7">
        <v>201</v>
      </c>
      <c r="AT33" s="7">
        <v>207</v>
      </c>
      <c r="AU33" s="7">
        <v>211</v>
      </c>
      <c r="AV33" s="1">
        <v>235</v>
      </c>
      <c r="AW33" s="1">
        <v>253</v>
      </c>
      <c r="AY33" s="1">
        <v>326</v>
      </c>
      <c r="AZ33" s="7">
        <v>303</v>
      </c>
      <c r="BA33" s="7">
        <v>314</v>
      </c>
    </row>
    <row r="34" spans="1:53">
      <c r="A34" s="54" t="s">
        <v>193</v>
      </c>
      <c r="B34" s="7">
        <v>145</v>
      </c>
      <c r="C34" s="7"/>
      <c r="D34" s="7"/>
      <c r="E34" s="7">
        <v>213</v>
      </c>
      <c r="F34" s="7">
        <v>270</v>
      </c>
      <c r="G34" s="7">
        <v>252</v>
      </c>
      <c r="H34" s="7">
        <v>286</v>
      </c>
      <c r="I34" s="7">
        <v>288</v>
      </c>
      <c r="J34" s="7">
        <v>336</v>
      </c>
      <c r="K34" s="7">
        <v>381</v>
      </c>
      <c r="L34" s="7">
        <v>403</v>
      </c>
      <c r="M34" s="7">
        <v>500</v>
      </c>
      <c r="N34" s="7">
        <v>538</v>
      </c>
      <c r="O34" s="7">
        <v>531</v>
      </c>
      <c r="P34" s="7">
        <v>589</v>
      </c>
      <c r="Q34" s="7">
        <v>616</v>
      </c>
      <c r="R34" s="7">
        <v>662</v>
      </c>
      <c r="S34" s="7">
        <v>694</v>
      </c>
      <c r="T34" s="7">
        <v>888</v>
      </c>
      <c r="U34" s="7">
        <v>904</v>
      </c>
      <c r="V34" s="7">
        <v>1182</v>
      </c>
      <c r="W34" s="7">
        <v>1405</v>
      </c>
      <c r="X34" s="7"/>
      <c r="Y34" s="7">
        <v>1652</v>
      </c>
      <c r="Z34" s="7">
        <v>1980</v>
      </c>
      <c r="AA34" s="7">
        <v>2172</v>
      </c>
      <c r="AB34" s="124">
        <v>573</v>
      </c>
      <c r="AC34" s="7"/>
      <c r="AD34" s="7"/>
      <c r="AE34" s="7">
        <v>627</v>
      </c>
      <c r="AF34" s="7">
        <v>633</v>
      </c>
      <c r="AG34" s="7">
        <v>628</v>
      </c>
      <c r="AH34" s="7">
        <v>761</v>
      </c>
      <c r="AI34" s="7">
        <v>741</v>
      </c>
      <c r="AJ34" s="7">
        <v>792</v>
      </c>
      <c r="AK34" s="7">
        <v>787</v>
      </c>
      <c r="AL34" s="7">
        <v>698</v>
      </c>
      <c r="AM34" s="7">
        <v>607</v>
      </c>
      <c r="AN34" s="7">
        <v>612</v>
      </c>
      <c r="AO34" s="7">
        <v>567</v>
      </c>
      <c r="AP34" s="7">
        <v>555</v>
      </c>
      <c r="AQ34" s="7">
        <v>485</v>
      </c>
      <c r="AR34" s="7">
        <v>500</v>
      </c>
      <c r="AS34" s="7">
        <v>431</v>
      </c>
      <c r="AT34" s="7">
        <v>494</v>
      </c>
      <c r="AU34" s="7">
        <v>650</v>
      </c>
      <c r="AV34" s="1">
        <v>811</v>
      </c>
      <c r="AW34" s="1">
        <v>872</v>
      </c>
      <c r="AY34" s="1">
        <v>1193</v>
      </c>
      <c r="AZ34" s="7">
        <v>1310</v>
      </c>
      <c r="BA34" s="7">
        <v>1496</v>
      </c>
    </row>
    <row r="35" spans="1:53">
      <c r="A35" s="54" t="s">
        <v>197</v>
      </c>
      <c r="B35" s="7">
        <v>73</v>
      </c>
      <c r="C35" s="7"/>
      <c r="D35" s="7"/>
      <c r="E35" s="7">
        <v>153</v>
      </c>
      <c r="F35" s="7">
        <v>173</v>
      </c>
      <c r="G35" s="7">
        <v>226</v>
      </c>
      <c r="H35" s="7">
        <v>247</v>
      </c>
      <c r="I35" s="7">
        <v>281</v>
      </c>
      <c r="J35" s="7">
        <v>291</v>
      </c>
      <c r="K35" s="7">
        <v>339</v>
      </c>
      <c r="L35" s="7">
        <v>359</v>
      </c>
      <c r="M35" s="7">
        <v>436</v>
      </c>
      <c r="N35" s="7">
        <v>422</v>
      </c>
      <c r="O35" s="7">
        <v>503</v>
      </c>
      <c r="P35" s="7">
        <v>578</v>
      </c>
      <c r="Q35" s="7">
        <v>615</v>
      </c>
      <c r="R35" s="7">
        <v>749</v>
      </c>
      <c r="S35" s="7">
        <v>705</v>
      </c>
      <c r="T35" s="7">
        <v>802</v>
      </c>
      <c r="U35" s="7">
        <v>856</v>
      </c>
      <c r="V35" s="7">
        <v>1094</v>
      </c>
      <c r="W35" s="7">
        <v>1323</v>
      </c>
      <c r="X35" s="7"/>
      <c r="Y35" s="7">
        <v>1396</v>
      </c>
      <c r="Z35" s="7">
        <v>1451</v>
      </c>
      <c r="AA35" s="7">
        <v>1536</v>
      </c>
      <c r="AB35" s="124">
        <v>258</v>
      </c>
      <c r="AC35" s="7"/>
      <c r="AD35" s="7"/>
      <c r="AE35" s="7">
        <v>481</v>
      </c>
      <c r="AF35" s="7">
        <v>603</v>
      </c>
      <c r="AG35" s="7">
        <v>657</v>
      </c>
      <c r="AH35" s="7">
        <v>752</v>
      </c>
      <c r="AI35" s="7">
        <v>611</v>
      </c>
      <c r="AJ35" s="7">
        <v>581</v>
      </c>
      <c r="AK35" s="7">
        <v>579</v>
      </c>
      <c r="AL35" s="7">
        <v>524</v>
      </c>
      <c r="AM35" s="7">
        <v>435</v>
      </c>
      <c r="AN35" s="7">
        <v>503</v>
      </c>
      <c r="AO35" s="7">
        <v>581</v>
      </c>
      <c r="AP35" s="7">
        <v>625</v>
      </c>
      <c r="AQ35" s="7">
        <v>497</v>
      </c>
      <c r="AR35" s="7">
        <v>478</v>
      </c>
      <c r="AS35" s="7">
        <v>510</v>
      </c>
      <c r="AT35" s="7">
        <v>693</v>
      </c>
      <c r="AU35" s="7">
        <v>546</v>
      </c>
      <c r="AV35" s="1">
        <v>659</v>
      </c>
      <c r="AW35" s="1">
        <v>693</v>
      </c>
      <c r="AY35" s="1">
        <v>773</v>
      </c>
      <c r="AZ35" s="7">
        <v>992</v>
      </c>
      <c r="BA35" s="7">
        <v>871</v>
      </c>
    </row>
    <row r="36" spans="1:53">
      <c r="A36" s="54" t="s">
        <v>76</v>
      </c>
      <c r="B36" s="7">
        <v>190</v>
      </c>
      <c r="C36" s="7"/>
      <c r="D36" s="7"/>
      <c r="E36" s="7">
        <v>376</v>
      </c>
      <c r="F36" s="7">
        <v>482</v>
      </c>
      <c r="G36" s="7">
        <v>484</v>
      </c>
      <c r="H36" s="7">
        <v>557</v>
      </c>
      <c r="I36" s="7">
        <v>640</v>
      </c>
      <c r="J36" s="7">
        <v>667</v>
      </c>
      <c r="K36" s="7">
        <v>758</v>
      </c>
      <c r="L36" s="7">
        <v>839</v>
      </c>
      <c r="M36" s="7">
        <v>910</v>
      </c>
      <c r="N36" s="7">
        <v>993</v>
      </c>
      <c r="O36" s="7">
        <v>1006</v>
      </c>
      <c r="P36" s="7">
        <v>1127</v>
      </c>
      <c r="Q36" s="7">
        <v>1247</v>
      </c>
      <c r="R36" s="7">
        <v>1299</v>
      </c>
      <c r="S36" s="7">
        <v>1482</v>
      </c>
      <c r="T36" s="7">
        <v>1649</v>
      </c>
      <c r="U36" s="7">
        <v>1828</v>
      </c>
      <c r="V36" s="7">
        <v>1972</v>
      </c>
      <c r="W36" s="7">
        <v>2202</v>
      </c>
      <c r="X36" s="7"/>
      <c r="Y36" s="7">
        <v>2616</v>
      </c>
      <c r="Z36" s="7">
        <v>2963</v>
      </c>
      <c r="AA36" s="7">
        <v>3264</v>
      </c>
      <c r="AB36" s="124">
        <v>763</v>
      </c>
      <c r="AC36" s="7"/>
      <c r="AD36" s="7"/>
      <c r="AE36" s="7">
        <v>536</v>
      </c>
      <c r="AF36" s="7">
        <v>666</v>
      </c>
      <c r="AG36" s="7">
        <v>838</v>
      </c>
      <c r="AH36" s="7">
        <v>958</v>
      </c>
      <c r="AI36" s="7">
        <v>907</v>
      </c>
      <c r="AJ36" s="7">
        <v>938</v>
      </c>
      <c r="AK36" s="7">
        <v>897</v>
      </c>
      <c r="AL36" s="7">
        <v>828</v>
      </c>
      <c r="AM36" s="7">
        <v>798</v>
      </c>
      <c r="AN36" s="7">
        <v>758</v>
      </c>
      <c r="AO36" s="7">
        <v>858</v>
      </c>
      <c r="AP36" s="7">
        <v>840</v>
      </c>
      <c r="AQ36" s="7">
        <v>808</v>
      </c>
      <c r="AR36" s="7">
        <v>765</v>
      </c>
      <c r="AS36" s="7">
        <v>822</v>
      </c>
      <c r="AT36" s="7">
        <v>1009</v>
      </c>
      <c r="AU36" s="7">
        <v>1075</v>
      </c>
      <c r="AV36" s="1">
        <v>1232</v>
      </c>
      <c r="AW36" s="1">
        <v>1339</v>
      </c>
      <c r="AY36" s="1">
        <v>1957</v>
      </c>
      <c r="AZ36" s="7">
        <v>2182</v>
      </c>
      <c r="BA36" s="7">
        <v>2341</v>
      </c>
    </row>
    <row r="37" spans="1:53">
      <c r="A37" s="58" t="s">
        <v>200</v>
      </c>
      <c r="B37" s="8">
        <v>0</v>
      </c>
      <c r="C37" s="8"/>
      <c r="D37" s="8"/>
      <c r="E37" s="8">
        <v>35</v>
      </c>
      <c r="F37" s="8">
        <v>44</v>
      </c>
      <c r="G37" s="8">
        <v>50</v>
      </c>
      <c r="H37" s="8">
        <v>40</v>
      </c>
      <c r="I37" s="8">
        <v>55</v>
      </c>
      <c r="J37" s="8">
        <v>50</v>
      </c>
      <c r="K37" s="8">
        <v>80</v>
      </c>
      <c r="L37" s="8">
        <v>68</v>
      </c>
      <c r="M37" s="8">
        <v>63</v>
      </c>
      <c r="N37" s="8">
        <v>57</v>
      </c>
      <c r="O37" s="8">
        <v>50</v>
      </c>
      <c r="P37" s="8">
        <v>60</v>
      </c>
      <c r="Q37" s="8">
        <v>50</v>
      </c>
      <c r="R37" s="8">
        <v>48</v>
      </c>
      <c r="S37" s="8">
        <v>63</v>
      </c>
      <c r="T37" s="8">
        <v>62</v>
      </c>
      <c r="U37" s="8">
        <v>69</v>
      </c>
      <c r="V37" s="8">
        <v>80</v>
      </c>
      <c r="W37" s="8">
        <v>94</v>
      </c>
      <c r="X37" s="8"/>
      <c r="Y37" s="8">
        <v>111</v>
      </c>
      <c r="Z37" s="7">
        <v>130</v>
      </c>
      <c r="AA37" s="7">
        <v>131</v>
      </c>
      <c r="AB37" s="126">
        <v>0</v>
      </c>
      <c r="AC37" s="8"/>
      <c r="AD37" s="8"/>
      <c r="AE37" s="8">
        <v>37</v>
      </c>
      <c r="AF37" s="8">
        <v>46</v>
      </c>
      <c r="AG37" s="8">
        <v>42</v>
      </c>
      <c r="AH37" s="8">
        <v>36</v>
      </c>
      <c r="AI37" s="8">
        <v>41</v>
      </c>
      <c r="AJ37" s="8">
        <v>18</v>
      </c>
      <c r="AK37" s="8">
        <v>17</v>
      </c>
      <c r="AL37" s="8">
        <v>22</v>
      </c>
      <c r="AM37" s="8">
        <v>19</v>
      </c>
      <c r="AN37" s="8">
        <v>25</v>
      </c>
      <c r="AO37" s="8">
        <v>18</v>
      </c>
      <c r="AP37" s="8">
        <v>23</v>
      </c>
      <c r="AQ37" s="8">
        <v>31</v>
      </c>
      <c r="AR37" s="8">
        <v>37</v>
      </c>
      <c r="AS37" s="8">
        <v>32</v>
      </c>
      <c r="AT37" s="8">
        <v>38</v>
      </c>
      <c r="AU37" s="8">
        <v>55</v>
      </c>
      <c r="AV37" s="1">
        <v>75</v>
      </c>
      <c r="AW37" s="1">
        <v>72</v>
      </c>
      <c r="AY37" s="1">
        <v>68</v>
      </c>
      <c r="AZ37" s="7">
        <v>87</v>
      </c>
      <c r="BA37" s="7">
        <v>86</v>
      </c>
    </row>
    <row r="38" spans="1:53">
      <c r="A38" s="54" t="s">
        <v>246</v>
      </c>
      <c r="B38" s="86">
        <f>SUM(B40:B51)</f>
        <v>2809</v>
      </c>
      <c r="C38" s="7"/>
      <c r="D38" s="7"/>
      <c r="E38" s="86">
        <f t="shared" ref="E38:S38" si="82">SUM(E40:E51)</f>
        <v>4389</v>
      </c>
      <c r="F38" s="86">
        <f t="shared" si="82"/>
        <v>4693</v>
      </c>
      <c r="G38" s="86">
        <f t="shared" si="82"/>
        <v>5279</v>
      </c>
      <c r="H38" s="86">
        <f t="shared" si="82"/>
        <v>5627</v>
      </c>
      <c r="I38" s="86">
        <f t="shared" si="82"/>
        <v>6000</v>
      </c>
      <c r="J38" s="86">
        <f t="shared" si="82"/>
        <v>6397</v>
      </c>
      <c r="K38" s="86">
        <f t="shared" si="82"/>
        <v>6897</v>
      </c>
      <c r="L38" s="86">
        <f t="shared" si="82"/>
        <v>7491</v>
      </c>
      <c r="M38" s="86">
        <f t="shared" si="82"/>
        <v>9255</v>
      </c>
      <c r="N38" s="86">
        <f t="shared" si="82"/>
        <v>9498</v>
      </c>
      <c r="O38" s="86">
        <f t="shared" si="82"/>
        <v>9840</v>
      </c>
      <c r="P38" s="86">
        <f t="shared" si="82"/>
        <v>10358</v>
      </c>
      <c r="Q38" s="86">
        <f t="shared" si="82"/>
        <v>11571</v>
      </c>
      <c r="R38" s="86">
        <f t="shared" si="82"/>
        <v>12327</v>
      </c>
      <c r="S38" s="86">
        <f t="shared" si="82"/>
        <v>13121</v>
      </c>
      <c r="T38" s="86">
        <f t="shared" ref="T38:U38" si="83">SUM(T40:T51)</f>
        <v>14384</v>
      </c>
      <c r="U38" s="86">
        <f t="shared" si="83"/>
        <v>15990</v>
      </c>
      <c r="V38" s="86">
        <f t="shared" ref="V38:W38" si="84">SUM(V40:V51)</f>
        <v>17890</v>
      </c>
      <c r="W38" s="86">
        <f t="shared" si="84"/>
        <v>19034</v>
      </c>
      <c r="X38" s="86">
        <f t="shared" ref="X38:AA38" si="85">SUM(X40:X51)</f>
        <v>0</v>
      </c>
      <c r="Y38" s="86">
        <f t="shared" si="85"/>
        <v>21485</v>
      </c>
      <c r="Z38" s="55">
        <f t="shared" si="85"/>
        <v>23679</v>
      </c>
      <c r="AA38" s="55">
        <f t="shared" si="85"/>
        <v>25382</v>
      </c>
      <c r="AB38" s="142">
        <f t="shared" ref="AB38" si="86">SUM(AB40:AB51)</f>
        <v>7028</v>
      </c>
      <c r="AC38" s="7"/>
      <c r="AD38" s="7"/>
      <c r="AE38" s="86">
        <f t="shared" ref="AE38:AS38" si="87">SUM(AE40:AE51)</f>
        <v>6449</v>
      </c>
      <c r="AF38" s="86">
        <f t="shared" si="87"/>
        <v>7458</v>
      </c>
      <c r="AG38" s="86">
        <f t="shared" si="87"/>
        <v>8547</v>
      </c>
      <c r="AH38" s="86">
        <f t="shared" si="87"/>
        <v>9150</v>
      </c>
      <c r="AI38" s="86">
        <f t="shared" si="87"/>
        <v>9303</v>
      </c>
      <c r="AJ38" s="86">
        <f t="shared" si="87"/>
        <v>9272</v>
      </c>
      <c r="AK38" s="86">
        <f t="shared" si="87"/>
        <v>9343</v>
      </c>
      <c r="AL38" s="86">
        <f t="shared" si="87"/>
        <v>8725</v>
      </c>
      <c r="AM38" s="86">
        <f t="shared" si="87"/>
        <v>9437</v>
      </c>
      <c r="AN38" s="86">
        <f t="shared" si="87"/>
        <v>9877</v>
      </c>
      <c r="AO38" s="86">
        <f t="shared" si="87"/>
        <v>9981</v>
      </c>
      <c r="AP38" s="86">
        <f t="shared" si="87"/>
        <v>9654</v>
      </c>
      <c r="AQ38" s="86">
        <f t="shared" si="87"/>
        <v>9234</v>
      </c>
      <c r="AR38" s="86">
        <f t="shared" si="87"/>
        <v>9184</v>
      </c>
      <c r="AS38" s="86">
        <f t="shared" si="87"/>
        <v>10064</v>
      </c>
      <c r="AT38" s="86">
        <f t="shared" ref="AT38:AU38" si="88">SUM(AT40:AT51)</f>
        <v>10905</v>
      </c>
      <c r="AU38" s="86">
        <f t="shared" si="88"/>
        <v>12661</v>
      </c>
      <c r="AV38" s="186">
        <f t="shared" ref="AV38:AW38" si="89">SUM(AV40:AV51)</f>
        <v>15229</v>
      </c>
      <c r="AW38" s="186">
        <f t="shared" si="89"/>
        <v>17345</v>
      </c>
      <c r="AX38" s="186">
        <f t="shared" ref="AX38:BA38" si="90">SUM(AX40:AX51)</f>
        <v>0</v>
      </c>
      <c r="AY38" s="186">
        <f t="shared" si="90"/>
        <v>19763</v>
      </c>
      <c r="AZ38" s="55">
        <f t="shared" si="90"/>
        <v>21675</v>
      </c>
      <c r="BA38" s="55">
        <f t="shared" si="90"/>
        <v>22542</v>
      </c>
    </row>
    <row r="39" spans="1:53">
      <c r="A39" s="56" t="s">
        <v>244</v>
      </c>
      <c r="B39" s="89">
        <f>(B38/B4)*100</f>
        <v>10.748039028123205</v>
      </c>
      <c r="E39" s="89">
        <f t="shared" ref="E39:S39" si="91">(E38/E4)*100</f>
        <v>10.941590008226759</v>
      </c>
      <c r="F39" s="89">
        <f t="shared" si="91"/>
        <v>10.589854680025274</v>
      </c>
      <c r="G39" s="89">
        <f t="shared" si="91"/>
        <v>10.766438244411813</v>
      </c>
      <c r="H39" s="89">
        <f t="shared" si="91"/>
        <v>10.667905283712818</v>
      </c>
      <c r="I39" s="89">
        <f t="shared" si="91"/>
        <v>10.573991505560157</v>
      </c>
      <c r="J39" s="89">
        <f t="shared" si="91"/>
        <v>10.531601389506266</v>
      </c>
      <c r="K39" s="89">
        <f t="shared" si="91"/>
        <v>10.77740448472537</v>
      </c>
      <c r="L39" s="89">
        <f t="shared" si="91"/>
        <v>10.386711221419558</v>
      </c>
      <c r="M39" s="89">
        <f t="shared" si="91"/>
        <v>11.011695836853189</v>
      </c>
      <c r="N39" s="89">
        <f t="shared" si="91"/>
        <v>10.708125232527987</v>
      </c>
      <c r="O39" s="89">
        <f t="shared" si="91"/>
        <v>10.422955924878451</v>
      </c>
      <c r="P39" s="89">
        <f t="shared" si="91"/>
        <v>10.388333935090465</v>
      </c>
      <c r="Q39" s="89">
        <f t="shared" si="91"/>
        <v>10.764522010940349</v>
      </c>
      <c r="R39" s="89">
        <f t="shared" si="91"/>
        <v>10.743607174606495</v>
      </c>
      <c r="S39" s="89">
        <f t="shared" si="91"/>
        <v>10.891508259317673</v>
      </c>
      <c r="T39" s="89">
        <f t="shared" ref="T39:U39" si="92">(T38/T4)*100</f>
        <v>11.122538140933941</v>
      </c>
      <c r="U39" s="89">
        <f t="shared" si="92"/>
        <v>11.398550053107691</v>
      </c>
      <c r="V39" s="89">
        <f t="shared" ref="V39:W39" si="93">(V38/V4)*100</f>
        <v>11.425980213702234</v>
      </c>
      <c r="W39" s="89">
        <f t="shared" si="93"/>
        <v>10.984660487771096</v>
      </c>
      <c r="X39" s="89" t="e">
        <f t="shared" ref="X39:AA39" si="94">(X38/X4)*100</f>
        <v>#DIV/0!</v>
      </c>
      <c r="Y39" s="89">
        <f t="shared" si="94"/>
        <v>10.547166476848762</v>
      </c>
      <c r="Z39" s="57">
        <f t="shared" si="94"/>
        <v>10.688122051953327</v>
      </c>
      <c r="AA39" s="57">
        <f t="shared" si="94"/>
        <v>10.647571345272103</v>
      </c>
      <c r="AB39" s="144">
        <f t="shared" ref="AB39" si="95">(AB38/AB4)*100</f>
        <v>24.619911721432075</v>
      </c>
      <c r="AE39" s="89">
        <f t="shared" ref="AE39" si="96">(AE38/AE4)*100</f>
        <v>22.674214190281976</v>
      </c>
      <c r="AF39" s="89">
        <f t="shared" ref="AF39" si="97">(AF38/AF4)*100</f>
        <v>23.111965043850134</v>
      </c>
      <c r="AG39" s="89">
        <f t="shared" ref="AG39" si="98">(AG38/AG4)*100</f>
        <v>25.027818448023424</v>
      </c>
      <c r="AH39" s="89">
        <f t="shared" ref="AH39" si="99">(AH38/AH4)*100</f>
        <v>24.795404043141293</v>
      </c>
      <c r="AI39" s="89">
        <f t="shared" ref="AI39" si="100">(AI38/AI4)*100</f>
        <v>24.710475988100296</v>
      </c>
      <c r="AJ39" s="89">
        <f t="shared" ref="AJ39" si="101">(AJ38/AJ4)*100</f>
        <v>23.84283069327299</v>
      </c>
      <c r="AK39" s="89">
        <f t="shared" ref="AK39" si="102">(AK38/AK4)*100</f>
        <v>23.839657064121862</v>
      </c>
      <c r="AL39" s="89">
        <f t="shared" ref="AL39" si="103">(AL38/AL4)*100</f>
        <v>22.350017931246477</v>
      </c>
      <c r="AM39" s="89">
        <f t="shared" ref="AM39" si="104">(AM38/AM4)*100</f>
        <v>21.862620178385267</v>
      </c>
      <c r="AN39" s="89">
        <f t="shared" ref="AN39" si="105">(AN38/AN4)*100</f>
        <v>22.073481428507577</v>
      </c>
      <c r="AO39" s="89">
        <f t="shared" ref="AO39" si="106">(AO38/AO4)*100</f>
        <v>22.024361180987686</v>
      </c>
      <c r="AP39" s="89">
        <f t="shared" ref="AP39" si="107">(AP38/AP4)*100</f>
        <v>21.367388946681125</v>
      </c>
      <c r="AQ39" s="89">
        <f t="shared" ref="AQ39" si="108">(AQ38/AQ4)*100</f>
        <v>20.136072222949103</v>
      </c>
      <c r="AR39" s="89">
        <f t="shared" ref="AR39" si="109">(AR38/AR4)*100</f>
        <v>20.744488615829418</v>
      </c>
      <c r="AS39" s="89">
        <f t="shared" ref="AS39:AT39" si="110">(AS38/AS4)*100</f>
        <v>21.953188054882968</v>
      </c>
      <c r="AT39" s="89">
        <f t="shared" si="110"/>
        <v>22.966597868666021</v>
      </c>
      <c r="AU39" s="89">
        <f t="shared" ref="AU39:AV39" si="111">(AU38/AU4)*100</f>
        <v>24.312543206083419</v>
      </c>
      <c r="AV39" s="89">
        <f t="shared" si="111"/>
        <v>25.712934978979181</v>
      </c>
      <c r="AW39" s="89">
        <f t="shared" ref="AW39:BA39" si="112">(AW38/AW4)*100</f>
        <v>26.863984140259578</v>
      </c>
      <c r="AX39" s="89" t="e">
        <f t="shared" si="112"/>
        <v>#DIV/0!</v>
      </c>
      <c r="AY39" s="89">
        <f t="shared" si="112"/>
        <v>26.236973116495189</v>
      </c>
      <c r="AZ39" s="57">
        <f t="shared" si="112"/>
        <v>25.825092338853807</v>
      </c>
      <c r="BA39" s="57">
        <f t="shared" si="112"/>
        <v>24.732563115104835</v>
      </c>
    </row>
    <row r="40" spans="1:53">
      <c r="A40" s="54" t="s">
        <v>176</v>
      </c>
      <c r="B40" s="7">
        <v>1043</v>
      </c>
      <c r="C40" s="7"/>
      <c r="D40" s="7"/>
      <c r="E40" s="7">
        <v>1604</v>
      </c>
      <c r="F40" s="7">
        <v>1610</v>
      </c>
      <c r="G40" s="7">
        <v>1896</v>
      </c>
      <c r="H40" s="7">
        <v>2132</v>
      </c>
      <c r="I40" s="7">
        <v>2211</v>
      </c>
      <c r="J40" s="7">
        <v>2428</v>
      </c>
      <c r="K40" s="7">
        <v>2635</v>
      </c>
      <c r="L40" s="7">
        <v>2873</v>
      </c>
      <c r="M40" s="7">
        <v>3804</v>
      </c>
      <c r="N40" s="7">
        <v>3688</v>
      </c>
      <c r="O40" s="7">
        <v>3765</v>
      </c>
      <c r="P40" s="7">
        <v>3939</v>
      </c>
      <c r="Q40" s="7">
        <v>4787</v>
      </c>
      <c r="R40" s="7">
        <v>5037</v>
      </c>
      <c r="S40" s="7">
        <v>5020</v>
      </c>
      <c r="T40" s="7">
        <v>5410</v>
      </c>
      <c r="U40" s="7">
        <v>5595</v>
      </c>
      <c r="V40" s="7">
        <v>6190</v>
      </c>
      <c r="W40" s="7">
        <v>6561</v>
      </c>
      <c r="X40" s="7"/>
      <c r="Y40" s="7">
        <v>7352</v>
      </c>
      <c r="Z40" s="7">
        <v>8354</v>
      </c>
      <c r="AA40" s="7">
        <v>9184</v>
      </c>
      <c r="AB40" s="124">
        <v>1050</v>
      </c>
      <c r="AC40" s="7"/>
      <c r="AD40" s="7"/>
      <c r="AE40" s="7">
        <v>898</v>
      </c>
      <c r="AF40" s="7">
        <v>988</v>
      </c>
      <c r="AG40" s="7">
        <v>1255</v>
      </c>
      <c r="AH40" s="7">
        <v>1189</v>
      </c>
      <c r="AI40" s="7">
        <v>1196</v>
      </c>
      <c r="AJ40" s="7">
        <v>1269</v>
      </c>
      <c r="AK40" s="7">
        <v>1251</v>
      </c>
      <c r="AL40" s="7">
        <v>1124</v>
      </c>
      <c r="AM40" s="7">
        <v>1338</v>
      </c>
      <c r="AN40" s="7">
        <v>1509</v>
      </c>
      <c r="AO40" s="7">
        <v>1759</v>
      </c>
      <c r="AP40" s="7">
        <v>1605</v>
      </c>
      <c r="AQ40" s="7">
        <v>1449</v>
      </c>
      <c r="AR40" s="7">
        <v>1348</v>
      </c>
      <c r="AS40" s="7">
        <v>1524</v>
      </c>
      <c r="AT40" s="7">
        <v>1525</v>
      </c>
      <c r="AU40" s="7">
        <v>1715</v>
      </c>
      <c r="AV40" s="1">
        <v>2061</v>
      </c>
      <c r="AW40" s="1">
        <v>2219</v>
      </c>
      <c r="AY40" s="1">
        <v>2838</v>
      </c>
      <c r="AZ40" s="7">
        <v>3100</v>
      </c>
      <c r="BA40" s="7">
        <v>3319</v>
      </c>
    </row>
    <row r="41" spans="1:53">
      <c r="A41" s="54" t="s">
        <v>177</v>
      </c>
      <c r="B41" s="7">
        <v>281</v>
      </c>
      <c r="C41" s="7"/>
      <c r="D41" s="7"/>
      <c r="E41" s="7">
        <v>408</v>
      </c>
      <c r="F41" s="7">
        <v>461</v>
      </c>
      <c r="G41" s="7">
        <v>534</v>
      </c>
      <c r="H41" s="7">
        <v>555</v>
      </c>
      <c r="I41" s="7">
        <v>596</v>
      </c>
      <c r="J41" s="7">
        <v>599</v>
      </c>
      <c r="K41" s="7">
        <v>634</v>
      </c>
      <c r="L41" s="7">
        <v>762</v>
      </c>
      <c r="M41" s="7">
        <v>841</v>
      </c>
      <c r="N41" s="7">
        <v>856</v>
      </c>
      <c r="O41" s="7">
        <v>883</v>
      </c>
      <c r="P41" s="7">
        <v>971</v>
      </c>
      <c r="Q41" s="7">
        <v>1035</v>
      </c>
      <c r="R41" s="7">
        <v>1036</v>
      </c>
      <c r="S41" s="7">
        <v>1144</v>
      </c>
      <c r="T41" s="7">
        <v>1293</v>
      </c>
      <c r="U41" s="7">
        <v>1429</v>
      </c>
      <c r="V41" s="7">
        <v>1590</v>
      </c>
      <c r="W41" s="7">
        <v>1789</v>
      </c>
      <c r="X41" s="7"/>
      <c r="Y41" s="7">
        <v>2100</v>
      </c>
      <c r="Z41" s="7">
        <v>2327</v>
      </c>
      <c r="AA41" s="7">
        <v>2529</v>
      </c>
      <c r="AB41" s="124">
        <v>741</v>
      </c>
      <c r="AC41" s="7"/>
      <c r="AD41" s="7"/>
      <c r="AE41" s="7">
        <v>641</v>
      </c>
      <c r="AF41" s="7">
        <v>662</v>
      </c>
      <c r="AG41" s="7">
        <v>691</v>
      </c>
      <c r="AH41" s="7">
        <v>720</v>
      </c>
      <c r="AI41" s="7">
        <v>751</v>
      </c>
      <c r="AJ41" s="7">
        <v>767</v>
      </c>
      <c r="AK41" s="7">
        <v>804</v>
      </c>
      <c r="AL41" s="7">
        <v>992</v>
      </c>
      <c r="AM41" s="7">
        <v>1114</v>
      </c>
      <c r="AN41" s="7">
        <v>1135</v>
      </c>
      <c r="AO41" s="7">
        <v>1223</v>
      </c>
      <c r="AP41" s="7">
        <v>1213</v>
      </c>
      <c r="AQ41" s="7">
        <v>1142</v>
      </c>
      <c r="AR41" s="7">
        <v>1106</v>
      </c>
      <c r="AS41" s="7">
        <v>1162</v>
      </c>
      <c r="AT41" s="7">
        <v>1419</v>
      </c>
      <c r="AU41" s="7">
        <v>1772</v>
      </c>
      <c r="AV41" s="1">
        <v>1969</v>
      </c>
      <c r="AW41" s="1">
        <v>2460</v>
      </c>
      <c r="AY41" s="1">
        <v>3292</v>
      </c>
      <c r="AZ41" s="7">
        <v>3468</v>
      </c>
      <c r="BA41" s="7">
        <v>3413</v>
      </c>
    </row>
    <row r="42" spans="1:53">
      <c r="A42" s="54" t="s">
        <v>174</v>
      </c>
      <c r="B42" s="7">
        <v>81</v>
      </c>
      <c r="C42" s="7"/>
      <c r="D42" s="7"/>
      <c r="E42" s="7">
        <v>138</v>
      </c>
      <c r="F42" s="7">
        <v>171</v>
      </c>
      <c r="G42" s="7">
        <v>199</v>
      </c>
      <c r="H42" s="7">
        <v>181</v>
      </c>
      <c r="I42" s="7">
        <v>219</v>
      </c>
      <c r="J42" s="7">
        <v>239</v>
      </c>
      <c r="K42" s="7">
        <v>265</v>
      </c>
      <c r="L42" s="7">
        <v>252</v>
      </c>
      <c r="M42" s="7">
        <v>355</v>
      </c>
      <c r="N42" s="7">
        <v>382</v>
      </c>
      <c r="O42" s="7">
        <v>393</v>
      </c>
      <c r="P42" s="7">
        <v>383</v>
      </c>
      <c r="Q42" s="7">
        <v>419</v>
      </c>
      <c r="R42" s="7">
        <v>516</v>
      </c>
      <c r="S42" s="7">
        <v>610</v>
      </c>
      <c r="T42" s="7">
        <v>921</v>
      </c>
      <c r="U42" s="7">
        <v>1352</v>
      </c>
      <c r="V42" s="7">
        <v>1806</v>
      </c>
      <c r="W42" s="7">
        <v>2170</v>
      </c>
      <c r="X42" s="7"/>
      <c r="Y42" s="7">
        <v>1294</v>
      </c>
      <c r="Z42" s="7">
        <v>1503</v>
      </c>
      <c r="AA42" s="7">
        <v>1609</v>
      </c>
      <c r="AB42" s="124">
        <v>564</v>
      </c>
      <c r="AC42" s="7"/>
      <c r="AD42" s="7"/>
      <c r="AE42" s="7">
        <v>490</v>
      </c>
      <c r="AF42" s="7">
        <v>577</v>
      </c>
      <c r="AG42" s="7">
        <v>739</v>
      </c>
      <c r="AH42" s="7">
        <v>868</v>
      </c>
      <c r="AI42" s="7">
        <v>822</v>
      </c>
      <c r="AJ42" s="7">
        <v>626</v>
      </c>
      <c r="AK42" s="7">
        <v>640</v>
      </c>
      <c r="AL42" s="7">
        <v>610</v>
      </c>
      <c r="AM42" s="7">
        <v>587</v>
      </c>
      <c r="AN42" s="7">
        <v>642</v>
      </c>
      <c r="AO42" s="7">
        <v>544</v>
      </c>
      <c r="AP42" s="7">
        <v>460</v>
      </c>
      <c r="AQ42" s="7">
        <v>442</v>
      </c>
      <c r="AR42" s="7">
        <v>502</v>
      </c>
      <c r="AS42" s="7">
        <v>667</v>
      </c>
      <c r="AT42" s="7">
        <v>584</v>
      </c>
      <c r="AU42" s="7">
        <v>716</v>
      </c>
      <c r="AV42" s="1">
        <v>918</v>
      </c>
      <c r="AW42" s="1">
        <v>1156</v>
      </c>
      <c r="AY42" s="1">
        <v>1444</v>
      </c>
      <c r="AZ42" s="7">
        <v>1471</v>
      </c>
      <c r="BA42" s="7">
        <v>1496</v>
      </c>
    </row>
    <row r="43" spans="1:53">
      <c r="A43" s="54" t="s">
        <v>178</v>
      </c>
      <c r="B43" s="7">
        <v>159</v>
      </c>
      <c r="C43" s="7"/>
      <c r="D43" s="7"/>
      <c r="E43" s="7">
        <v>252</v>
      </c>
      <c r="F43" s="7">
        <v>279</v>
      </c>
      <c r="G43" s="7">
        <v>276</v>
      </c>
      <c r="H43" s="7">
        <v>286</v>
      </c>
      <c r="I43" s="7">
        <v>323</v>
      </c>
      <c r="J43" s="7">
        <v>370</v>
      </c>
      <c r="K43" s="7">
        <v>326</v>
      </c>
      <c r="L43" s="7">
        <v>355</v>
      </c>
      <c r="M43" s="7">
        <v>422</v>
      </c>
      <c r="N43" s="7">
        <v>433</v>
      </c>
      <c r="O43" s="7">
        <v>434</v>
      </c>
      <c r="P43" s="7">
        <v>523</v>
      </c>
      <c r="Q43" s="7">
        <v>491</v>
      </c>
      <c r="R43" s="7">
        <v>537</v>
      </c>
      <c r="S43" s="7">
        <v>710</v>
      </c>
      <c r="T43" s="7">
        <v>665</v>
      </c>
      <c r="U43" s="7">
        <v>778</v>
      </c>
      <c r="V43" s="7">
        <v>837</v>
      </c>
      <c r="W43" s="7">
        <v>884</v>
      </c>
      <c r="X43" s="7"/>
      <c r="Y43" s="7">
        <v>1075</v>
      </c>
      <c r="Z43" s="7">
        <v>1201</v>
      </c>
      <c r="AA43" s="7">
        <v>1264</v>
      </c>
      <c r="AB43" s="124">
        <v>396</v>
      </c>
      <c r="AC43" s="7"/>
      <c r="AD43" s="7"/>
      <c r="AE43" s="7">
        <v>441</v>
      </c>
      <c r="AF43" s="7">
        <v>532</v>
      </c>
      <c r="AG43" s="7">
        <v>662</v>
      </c>
      <c r="AH43" s="7">
        <v>726</v>
      </c>
      <c r="AI43" s="7">
        <v>718</v>
      </c>
      <c r="AJ43" s="7">
        <v>651</v>
      </c>
      <c r="AK43" s="7">
        <v>523</v>
      </c>
      <c r="AL43" s="7">
        <v>386</v>
      </c>
      <c r="AM43" s="7">
        <v>470</v>
      </c>
      <c r="AN43" s="7">
        <v>460</v>
      </c>
      <c r="AO43" s="7">
        <v>389</v>
      </c>
      <c r="AP43" s="7">
        <v>465</v>
      </c>
      <c r="AQ43" s="7">
        <v>398</v>
      </c>
      <c r="AR43" s="7">
        <v>912</v>
      </c>
      <c r="AS43" s="7">
        <v>1274</v>
      </c>
      <c r="AT43" s="7">
        <v>1361</v>
      </c>
      <c r="AU43" s="7">
        <v>1437</v>
      </c>
      <c r="AV43" s="1">
        <v>1860</v>
      </c>
      <c r="AW43" s="1">
        <v>2167</v>
      </c>
      <c r="AY43" s="1">
        <v>1810</v>
      </c>
      <c r="AZ43" s="7">
        <v>1748</v>
      </c>
      <c r="BA43" s="7">
        <v>1678</v>
      </c>
    </row>
    <row r="44" spans="1:53">
      <c r="A44" s="54" t="s">
        <v>181</v>
      </c>
      <c r="B44" s="7">
        <v>354</v>
      </c>
      <c r="C44" s="7"/>
      <c r="D44" s="7"/>
      <c r="E44" s="7">
        <v>550</v>
      </c>
      <c r="F44" s="7">
        <v>667</v>
      </c>
      <c r="G44" s="7">
        <v>653</v>
      </c>
      <c r="H44" s="7">
        <v>747</v>
      </c>
      <c r="I44" s="7">
        <v>764</v>
      </c>
      <c r="J44" s="7">
        <v>806</v>
      </c>
      <c r="K44" s="7">
        <v>855</v>
      </c>
      <c r="L44" s="7">
        <v>892</v>
      </c>
      <c r="M44" s="7">
        <v>983</v>
      </c>
      <c r="N44" s="7">
        <v>1043</v>
      </c>
      <c r="O44" s="7">
        <v>1087</v>
      </c>
      <c r="P44" s="7">
        <v>1195</v>
      </c>
      <c r="Q44" s="7">
        <v>1219</v>
      </c>
      <c r="R44" s="7">
        <v>1264</v>
      </c>
      <c r="S44" s="7">
        <v>1380</v>
      </c>
      <c r="T44" s="7">
        <v>1527</v>
      </c>
      <c r="U44" s="7">
        <v>1573</v>
      </c>
      <c r="V44" s="7">
        <v>1704</v>
      </c>
      <c r="W44" s="7">
        <v>1724</v>
      </c>
      <c r="X44" s="7"/>
      <c r="Y44" s="7">
        <v>2081</v>
      </c>
      <c r="Z44" s="7">
        <v>2154</v>
      </c>
      <c r="AA44" s="7">
        <v>2323</v>
      </c>
      <c r="AB44" s="124">
        <v>1141</v>
      </c>
      <c r="AC44" s="7"/>
      <c r="AD44" s="7"/>
      <c r="AE44" s="7">
        <v>1220</v>
      </c>
      <c r="AF44" s="7">
        <v>1417</v>
      </c>
      <c r="AG44" s="7">
        <v>1565</v>
      </c>
      <c r="AH44" s="7">
        <v>1550</v>
      </c>
      <c r="AI44" s="7">
        <v>1573</v>
      </c>
      <c r="AJ44" s="7">
        <v>1699</v>
      </c>
      <c r="AK44" s="7">
        <v>1678</v>
      </c>
      <c r="AL44" s="7">
        <v>1524</v>
      </c>
      <c r="AM44" s="7">
        <v>1847</v>
      </c>
      <c r="AN44" s="7">
        <v>1666</v>
      </c>
      <c r="AO44" s="7">
        <v>1593</v>
      </c>
      <c r="AP44" s="7">
        <v>1597</v>
      </c>
      <c r="AQ44" s="7">
        <v>1538</v>
      </c>
      <c r="AR44" s="7">
        <v>1485</v>
      </c>
      <c r="AS44" s="7">
        <v>1392</v>
      </c>
      <c r="AT44" s="7">
        <v>1553</v>
      </c>
      <c r="AU44" s="7">
        <v>1938</v>
      </c>
      <c r="AV44" s="1">
        <v>2121</v>
      </c>
      <c r="AW44" s="1">
        <v>2296</v>
      </c>
      <c r="AY44" s="1">
        <v>2545</v>
      </c>
      <c r="AZ44" s="7">
        <v>3053</v>
      </c>
      <c r="BA44" s="7">
        <v>3342</v>
      </c>
    </row>
    <row r="45" spans="1:53">
      <c r="A45" s="54" t="s">
        <v>182</v>
      </c>
      <c r="B45" s="7">
        <v>106</v>
      </c>
      <c r="C45" s="7"/>
      <c r="D45" s="7"/>
      <c r="E45" s="7">
        <v>160</v>
      </c>
      <c r="F45" s="7">
        <v>175</v>
      </c>
      <c r="G45" s="7">
        <v>182</v>
      </c>
      <c r="H45" s="7">
        <v>213</v>
      </c>
      <c r="I45" s="7">
        <v>241</v>
      </c>
      <c r="J45" s="7">
        <v>245</v>
      </c>
      <c r="K45" s="7">
        <v>245</v>
      </c>
      <c r="L45" s="7">
        <v>267</v>
      </c>
      <c r="M45" s="7">
        <v>292</v>
      </c>
      <c r="N45" s="7">
        <v>336</v>
      </c>
      <c r="O45" s="7">
        <v>360</v>
      </c>
      <c r="P45" s="7">
        <v>373</v>
      </c>
      <c r="Q45" s="7">
        <v>401</v>
      </c>
      <c r="R45" s="7">
        <v>486</v>
      </c>
      <c r="S45" s="7">
        <v>550</v>
      </c>
      <c r="T45" s="7">
        <v>596</v>
      </c>
      <c r="U45" s="7">
        <v>721</v>
      </c>
      <c r="V45" s="7">
        <v>787</v>
      </c>
      <c r="W45" s="7">
        <v>841</v>
      </c>
      <c r="X45" s="7"/>
      <c r="Y45" s="7">
        <v>956</v>
      </c>
      <c r="Z45" s="7">
        <v>1052</v>
      </c>
      <c r="AA45" s="7">
        <v>1122</v>
      </c>
      <c r="AB45" s="124">
        <v>428</v>
      </c>
      <c r="AC45" s="7"/>
      <c r="AD45" s="7"/>
      <c r="AE45" s="7">
        <v>521</v>
      </c>
      <c r="AF45" s="7">
        <v>528</v>
      </c>
      <c r="AG45" s="7">
        <v>610</v>
      </c>
      <c r="AH45" s="7">
        <v>688</v>
      </c>
      <c r="AI45" s="7">
        <v>664</v>
      </c>
      <c r="AJ45" s="7">
        <v>708</v>
      </c>
      <c r="AK45" s="7">
        <v>739</v>
      </c>
      <c r="AL45" s="7">
        <v>678</v>
      </c>
      <c r="AM45" s="7">
        <v>834</v>
      </c>
      <c r="AN45" s="7">
        <v>968</v>
      </c>
      <c r="AO45" s="7">
        <v>916</v>
      </c>
      <c r="AP45" s="7">
        <v>927</v>
      </c>
      <c r="AQ45" s="7">
        <v>842</v>
      </c>
      <c r="AR45" s="7">
        <v>816</v>
      </c>
      <c r="AS45" s="7">
        <v>782</v>
      </c>
      <c r="AT45" s="7">
        <v>972</v>
      </c>
      <c r="AU45" s="7">
        <v>995</v>
      </c>
      <c r="AV45" s="1">
        <v>1416</v>
      </c>
      <c r="AW45" s="1">
        <v>1592</v>
      </c>
      <c r="AY45" s="1">
        <v>1619</v>
      </c>
      <c r="AZ45" s="7">
        <v>1879</v>
      </c>
      <c r="BA45" s="7">
        <v>1862</v>
      </c>
    </row>
    <row r="46" spans="1:53">
      <c r="A46" s="54" t="s">
        <v>183</v>
      </c>
      <c r="B46" s="7">
        <v>243</v>
      </c>
      <c r="C46" s="7"/>
      <c r="D46" s="7"/>
      <c r="E46" s="7">
        <v>433</v>
      </c>
      <c r="F46" s="7">
        <v>472</v>
      </c>
      <c r="G46" s="7">
        <v>522</v>
      </c>
      <c r="H46" s="7">
        <v>452</v>
      </c>
      <c r="I46" s="7">
        <v>502</v>
      </c>
      <c r="J46" s="7">
        <v>527</v>
      </c>
      <c r="K46" s="7">
        <v>565</v>
      </c>
      <c r="L46" s="7">
        <v>736</v>
      </c>
      <c r="M46" s="7">
        <v>940</v>
      </c>
      <c r="N46" s="7">
        <v>983</v>
      </c>
      <c r="O46" s="7">
        <v>1023</v>
      </c>
      <c r="P46" s="7">
        <v>1069</v>
      </c>
      <c r="Q46" s="7">
        <v>1151</v>
      </c>
      <c r="R46" s="7">
        <v>1129</v>
      </c>
      <c r="S46" s="7">
        <v>1304</v>
      </c>
      <c r="T46" s="7">
        <v>1285</v>
      </c>
      <c r="U46" s="7">
        <v>1455</v>
      </c>
      <c r="V46" s="7">
        <v>1599</v>
      </c>
      <c r="W46" s="7">
        <v>1375</v>
      </c>
      <c r="X46" s="7"/>
      <c r="Y46" s="7">
        <v>1666</v>
      </c>
      <c r="Z46" s="7">
        <v>1786</v>
      </c>
      <c r="AA46" s="7">
        <v>1849</v>
      </c>
      <c r="AB46" s="124">
        <v>661</v>
      </c>
      <c r="AC46" s="7"/>
      <c r="AD46" s="7"/>
      <c r="AE46" s="7">
        <v>495</v>
      </c>
      <c r="AF46" s="7">
        <v>557</v>
      </c>
      <c r="AG46" s="7">
        <v>674</v>
      </c>
      <c r="AH46" s="7">
        <v>797</v>
      </c>
      <c r="AI46" s="7">
        <v>887</v>
      </c>
      <c r="AJ46" s="7">
        <v>876</v>
      </c>
      <c r="AK46" s="7">
        <v>951</v>
      </c>
      <c r="AL46" s="7">
        <v>982</v>
      </c>
      <c r="AM46" s="7">
        <v>989</v>
      </c>
      <c r="AN46" s="7">
        <v>1122</v>
      </c>
      <c r="AO46" s="7">
        <v>1186</v>
      </c>
      <c r="AP46" s="7">
        <v>1107</v>
      </c>
      <c r="AQ46" s="7">
        <v>1162</v>
      </c>
      <c r="AR46" s="7">
        <v>994</v>
      </c>
      <c r="AS46" s="7">
        <v>1139</v>
      </c>
      <c r="AT46" s="7">
        <v>971</v>
      </c>
      <c r="AU46" s="7">
        <v>1178</v>
      </c>
      <c r="AV46" s="1">
        <v>1386</v>
      </c>
      <c r="AW46" s="1">
        <v>1515</v>
      </c>
      <c r="AY46" s="1">
        <v>1675</v>
      </c>
      <c r="AZ46" s="7">
        <v>1842</v>
      </c>
      <c r="BA46" s="7">
        <v>1865</v>
      </c>
    </row>
    <row r="47" spans="1:53">
      <c r="A47" s="54" t="s">
        <v>186</v>
      </c>
      <c r="B47" s="7">
        <v>58</v>
      </c>
      <c r="C47" s="7"/>
      <c r="D47" s="7"/>
      <c r="E47" s="7">
        <v>102</v>
      </c>
      <c r="F47" s="7">
        <v>110</v>
      </c>
      <c r="G47" s="7">
        <v>112</v>
      </c>
      <c r="H47" s="7">
        <v>154</v>
      </c>
      <c r="I47" s="7">
        <v>146</v>
      </c>
      <c r="J47" s="7">
        <v>145</v>
      </c>
      <c r="K47" s="7">
        <v>164</v>
      </c>
      <c r="L47" s="7">
        <v>184</v>
      </c>
      <c r="M47" s="7">
        <v>232</v>
      </c>
      <c r="N47" s="7">
        <v>236</v>
      </c>
      <c r="O47" s="7">
        <v>262</v>
      </c>
      <c r="P47" s="7">
        <v>275</v>
      </c>
      <c r="Q47" s="7">
        <v>247</v>
      </c>
      <c r="R47" s="7">
        <v>316</v>
      </c>
      <c r="S47" s="7">
        <v>352</v>
      </c>
      <c r="T47" s="7">
        <v>409</v>
      </c>
      <c r="U47" s="7">
        <v>490</v>
      </c>
      <c r="V47" s="7">
        <v>515</v>
      </c>
      <c r="W47" s="7">
        <v>504</v>
      </c>
      <c r="X47" s="7"/>
      <c r="Y47" s="7">
        <v>1000</v>
      </c>
      <c r="Z47" s="7">
        <v>1051</v>
      </c>
      <c r="AA47" s="7">
        <v>1045</v>
      </c>
      <c r="AB47" s="124">
        <v>79</v>
      </c>
      <c r="AC47" s="7"/>
      <c r="AD47" s="7"/>
      <c r="AE47" s="7">
        <v>146</v>
      </c>
      <c r="AF47" s="7">
        <v>247</v>
      </c>
      <c r="AG47" s="7">
        <v>276</v>
      </c>
      <c r="AH47" s="7">
        <v>266</v>
      </c>
      <c r="AI47" s="7">
        <v>282</v>
      </c>
      <c r="AJ47" s="7">
        <v>262</v>
      </c>
      <c r="AK47" s="7">
        <v>320</v>
      </c>
      <c r="AL47" s="7">
        <v>274</v>
      </c>
      <c r="AM47" s="7">
        <v>293</v>
      </c>
      <c r="AN47" s="7">
        <v>312</v>
      </c>
      <c r="AO47" s="7">
        <v>306</v>
      </c>
      <c r="AP47" s="7">
        <v>278</v>
      </c>
      <c r="AQ47" s="7">
        <v>273</v>
      </c>
      <c r="AR47" s="7">
        <v>225</v>
      </c>
      <c r="AS47" s="7">
        <v>194</v>
      </c>
      <c r="AT47" s="7">
        <v>177</v>
      </c>
      <c r="AU47" s="7">
        <v>330</v>
      </c>
      <c r="AV47" s="1">
        <v>371</v>
      </c>
      <c r="AW47" s="1">
        <v>445</v>
      </c>
      <c r="AY47" s="1">
        <v>433</v>
      </c>
      <c r="AZ47" s="7">
        <v>484</v>
      </c>
      <c r="BA47" s="7">
        <v>487</v>
      </c>
    </row>
    <row r="48" spans="1:53">
      <c r="A48" s="54" t="s">
        <v>185</v>
      </c>
      <c r="B48" s="7">
        <v>14</v>
      </c>
      <c r="C48" s="7"/>
      <c r="D48" s="7"/>
      <c r="E48" s="7">
        <v>33</v>
      </c>
      <c r="F48" s="7">
        <v>21</v>
      </c>
      <c r="G48" s="7">
        <v>23</v>
      </c>
      <c r="H48" s="7">
        <v>22</v>
      </c>
      <c r="I48" s="7">
        <v>27</v>
      </c>
      <c r="J48" s="7">
        <v>19</v>
      </c>
      <c r="K48" s="7">
        <v>34</v>
      </c>
      <c r="L48" s="7">
        <v>31</v>
      </c>
      <c r="M48" s="7">
        <v>38</v>
      </c>
      <c r="N48" s="7">
        <v>34</v>
      </c>
      <c r="O48" s="7">
        <v>33</v>
      </c>
      <c r="P48" s="7">
        <v>43</v>
      </c>
      <c r="Q48" s="7">
        <v>51</v>
      </c>
      <c r="R48" s="7">
        <v>54</v>
      </c>
      <c r="S48" s="7">
        <v>44</v>
      </c>
      <c r="T48" s="7">
        <v>61</v>
      </c>
      <c r="U48" s="7">
        <v>59</v>
      </c>
      <c r="V48" s="7">
        <v>57</v>
      </c>
      <c r="W48" s="7">
        <v>104</v>
      </c>
      <c r="X48" s="7"/>
      <c r="Y48" s="7">
        <v>131</v>
      </c>
      <c r="Z48" s="7">
        <v>149</v>
      </c>
      <c r="AA48" s="7">
        <v>166</v>
      </c>
      <c r="AB48" s="124">
        <v>52</v>
      </c>
      <c r="AC48" s="7"/>
      <c r="AD48" s="7"/>
      <c r="AE48" s="7">
        <v>100</v>
      </c>
      <c r="AF48" s="7">
        <v>104</v>
      </c>
      <c r="AG48" s="7">
        <v>152</v>
      </c>
      <c r="AH48" s="7">
        <v>105</v>
      </c>
      <c r="AI48" s="7">
        <v>216</v>
      </c>
      <c r="AJ48" s="7">
        <v>254</v>
      </c>
      <c r="AK48" s="7">
        <v>207</v>
      </c>
      <c r="AL48" s="7">
        <v>162</v>
      </c>
      <c r="AM48" s="7">
        <v>134</v>
      </c>
      <c r="AN48" s="7">
        <v>135</v>
      </c>
      <c r="AO48" s="7">
        <v>130</v>
      </c>
      <c r="AP48" s="7">
        <v>137</v>
      </c>
      <c r="AQ48" s="7">
        <v>162</v>
      </c>
      <c r="AR48" s="7">
        <v>239</v>
      </c>
      <c r="AS48" s="7">
        <v>315</v>
      </c>
      <c r="AT48" s="7">
        <v>445</v>
      </c>
      <c r="AU48" s="7">
        <v>362</v>
      </c>
      <c r="AV48" s="1">
        <v>318</v>
      </c>
      <c r="AW48" s="1">
        <v>307</v>
      </c>
      <c r="AY48" s="1">
        <v>302</v>
      </c>
      <c r="AZ48" s="7">
        <v>270</v>
      </c>
      <c r="BA48" s="7">
        <v>285</v>
      </c>
    </row>
    <row r="49" spans="1:53">
      <c r="A49" s="54" t="s">
        <v>192</v>
      </c>
      <c r="B49" s="7">
        <v>280</v>
      </c>
      <c r="C49" s="7"/>
      <c r="D49" s="7"/>
      <c r="E49" s="7">
        <v>434</v>
      </c>
      <c r="F49" s="7">
        <v>439</v>
      </c>
      <c r="G49" s="7">
        <v>508</v>
      </c>
      <c r="H49" s="7">
        <v>513</v>
      </c>
      <c r="I49" s="7">
        <v>551</v>
      </c>
      <c r="J49" s="7">
        <v>580</v>
      </c>
      <c r="K49" s="7">
        <v>677</v>
      </c>
      <c r="L49" s="7">
        <v>675</v>
      </c>
      <c r="M49" s="7">
        <v>811</v>
      </c>
      <c r="N49" s="7">
        <v>837</v>
      </c>
      <c r="O49" s="7">
        <v>907</v>
      </c>
      <c r="P49" s="7">
        <v>928</v>
      </c>
      <c r="Q49" s="7">
        <v>1027</v>
      </c>
      <c r="R49" s="7">
        <v>1200</v>
      </c>
      <c r="S49" s="7">
        <v>1178</v>
      </c>
      <c r="T49" s="7">
        <v>1308</v>
      </c>
      <c r="U49" s="7">
        <v>1469</v>
      </c>
      <c r="V49" s="7">
        <v>1630</v>
      </c>
      <c r="W49" s="7">
        <v>1759</v>
      </c>
      <c r="X49" s="7"/>
      <c r="Y49" s="7">
        <v>2217</v>
      </c>
      <c r="Z49" s="7">
        <v>2324</v>
      </c>
      <c r="AA49" s="7">
        <v>2456</v>
      </c>
      <c r="AB49" s="124">
        <v>1215</v>
      </c>
      <c r="AC49" s="7"/>
      <c r="AD49" s="7"/>
      <c r="AE49" s="7">
        <v>963</v>
      </c>
      <c r="AF49" s="7">
        <v>1151</v>
      </c>
      <c r="AG49" s="7">
        <v>1194</v>
      </c>
      <c r="AH49" s="7">
        <v>1391</v>
      </c>
      <c r="AI49" s="7">
        <v>1311</v>
      </c>
      <c r="AJ49" s="7">
        <v>1329</v>
      </c>
      <c r="AK49" s="7">
        <v>1347</v>
      </c>
      <c r="AL49" s="7">
        <v>1266</v>
      </c>
      <c r="AM49" s="7">
        <v>1145</v>
      </c>
      <c r="AN49" s="7">
        <v>1191</v>
      </c>
      <c r="AO49" s="7">
        <v>1227</v>
      </c>
      <c r="AP49" s="7">
        <v>1198</v>
      </c>
      <c r="AQ49" s="7">
        <v>1137</v>
      </c>
      <c r="AR49" s="7">
        <v>987</v>
      </c>
      <c r="AS49" s="7">
        <v>1024</v>
      </c>
      <c r="AT49" s="7">
        <v>1183</v>
      </c>
      <c r="AU49" s="7">
        <v>1403</v>
      </c>
      <c r="AV49" s="1">
        <v>1753</v>
      </c>
      <c r="AW49" s="1">
        <v>2062</v>
      </c>
      <c r="AY49" s="1">
        <v>2666</v>
      </c>
      <c r="AZ49" s="7">
        <v>2946</v>
      </c>
      <c r="BA49" s="7">
        <v>3391</v>
      </c>
    </row>
    <row r="50" spans="1:53">
      <c r="A50" s="54" t="s">
        <v>196</v>
      </c>
      <c r="B50" s="7">
        <v>9</v>
      </c>
      <c r="C50" s="7"/>
      <c r="D50" s="7"/>
      <c r="E50" s="7">
        <v>4</v>
      </c>
      <c r="F50" s="7">
        <v>17</v>
      </c>
      <c r="G50" s="7">
        <v>17</v>
      </c>
      <c r="H50" s="7">
        <v>19</v>
      </c>
      <c r="I50" s="7">
        <v>18</v>
      </c>
      <c r="J50" s="7">
        <v>20</v>
      </c>
      <c r="K50" s="7">
        <v>17</v>
      </c>
      <c r="L50" s="7">
        <v>18</v>
      </c>
      <c r="M50" s="7">
        <v>25</v>
      </c>
      <c r="N50" s="7">
        <v>42</v>
      </c>
      <c r="O50" s="7">
        <v>42</v>
      </c>
      <c r="P50" s="7">
        <v>45</v>
      </c>
      <c r="Q50" s="7">
        <v>43</v>
      </c>
      <c r="R50" s="7">
        <v>47</v>
      </c>
      <c r="S50" s="7">
        <v>61</v>
      </c>
      <c r="T50" s="7">
        <v>44</v>
      </c>
      <c r="U50" s="7">
        <v>62</v>
      </c>
      <c r="V50" s="7">
        <v>86</v>
      </c>
      <c r="W50" s="7">
        <v>70</v>
      </c>
      <c r="X50" s="7"/>
      <c r="Y50" s="7">
        <v>130</v>
      </c>
      <c r="Z50" s="7">
        <v>161</v>
      </c>
      <c r="AA50" s="7">
        <v>171</v>
      </c>
      <c r="AB50" s="124">
        <v>128</v>
      </c>
      <c r="AC50" s="7"/>
      <c r="AD50" s="7"/>
      <c r="AE50" s="7">
        <v>51</v>
      </c>
      <c r="AF50" s="7">
        <v>65</v>
      </c>
      <c r="AG50" s="7">
        <v>67</v>
      </c>
      <c r="AH50" s="7">
        <v>94</v>
      </c>
      <c r="AI50" s="7">
        <v>100</v>
      </c>
      <c r="AJ50" s="7">
        <v>61</v>
      </c>
      <c r="AK50" s="7">
        <v>77</v>
      </c>
      <c r="AL50" s="7">
        <v>53</v>
      </c>
      <c r="AM50" s="7">
        <v>28</v>
      </c>
      <c r="AN50" s="7">
        <v>24</v>
      </c>
      <c r="AO50" s="7">
        <v>30</v>
      </c>
      <c r="AP50" s="7">
        <v>22</v>
      </c>
      <c r="AQ50" s="7">
        <v>26</v>
      </c>
      <c r="AR50" s="7">
        <v>22</v>
      </c>
      <c r="AS50" s="7">
        <v>23</v>
      </c>
      <c r="AT50" s="7">
        <v>35</v>
      </c>
      <c r="AU50" s="7">
        <v>47</v>
      </c>
      <c r="AV50" s="1">
        <v>62</v>
      </c>
      <c r="AW50" s="1">
        <v>85</v>
      </c>
      <c r="AY50" s="1">
        <v>82</v>
      </c>
      <c r="AZ50" s="7">
        <v>89</v>
      </c>
      <c r="BA50" s="7">
        <v>123</v>
      </c>
    </row>
    <row r="51" spans="1:53">
      <c r="A51" s="58" t="s">
        <v>199</v>
      </c>
      <c r="B51" s="8">
        <v>181</v>
      </c>
      <c r="C51" s="8"/>
      <c r="D51" s="8"/>
      <c r="E51" s="8">
        <v>271</v>
      </c>
      <c r="F51" s="8">
        <v>271</v>
      </c>
      <c r="G51" s="8">
        <v>357</v>
      </c>
      <c r="H51" s="8">
        <v>353</v>
      </c>
      <c r="I51" s="8">
        <v>402</v>
      </c>
      <c r="J51" s="8">
        <v>419</v>
      </c>
      <c r="K51" s="8">
        <v>480</v>
      </c>
      <c r="L51" s="8">
        <v>446</v>
      </c>
      <c r="M51" s="8">
        <v>512</v>
      </c>
      <c r="N51" s="8">
        <v>628</v>
      </c>
      <c r="O51" s="8">
        <v>651</v>
      </c>
      <c r="P51" s="8">
        <v>614</v>
      </c>
      <c r="Q51" s="8">
        <v>700</v>
      </c>
      <c r="R51" s="8">
        <v>705</v>
      </c>
      <c r="S51" s="8">
        <v>768</v>
      </c>
      <c r="T51" s="8">
        <v>865</v>
      </c>
      <c r="U51" s="8">
        <v>1007</v>
      </c>
      <c r="V51" s="8">
        <v>1089</v>
      </c>
      <c r="W51" s="8">
        <v>1253</v>
      </c>
      <c r="X51" s="8"/>
      <c r="Y51" s="8">
        <v>1483</v>
      </c>
      <c r="Z51" s="7">
        <v>1617</v>
      </c>
      <c r="AA51" s="7">
        <v>1664</v>
      </c>
      <c r="AB51" s="126">
        <v>573</v>
      </c>
      <c r="AC51" s="8"/>
      <c r="AD51" s="8"/>
      <c r="AE51" s="8">
        <v>483</v>
      </c>
      <c r="AF51" s="8">
        <v>630</v>
      </c>
      <c r="AG51" s="8">
        <v>662</v>
      </c>
      <c r="AH51" s="8">
        <v>756</v>
      </c>
      <c r="AI51" s="8">
        <v>783</v>
      </c>
      <c r="AJ51" s="8">
        <v>770</v>
      </c>
      <c r="AK51" s="8">
        <v>806</v>
      </c>
      <c r="AL51" s="8">
        <v>674</v>
      </c>
      <c r="AM51" s="8">
        <v>658</v>
      </c>
      <c r="AN51" s="8">
        <v>713</v>
      </c>
      <c r="AO51" s="8">
        <v>678</v>
      </c>
      <c r="AP51" s="8">
        <v>645</v>
      </c>
      <c r="AQ51" s="8">
        <v>663</v>
      </c>
      <c r="AR51" s="8">
        <v>548</v>
      </c>
      <c r="AS51" s="8">
        <v>568</v>
      </c>
      <c r="AT51" s="8">
        <v>680</v>
      </c>
      <c r="AU51" s="8">
        <v>768</v>
      </c>
      <c r="AV51" s="1">
        <v>994</v>
      </c>
      <c r="AW51" s="1">
        <v>1041</v>
      </c>
      <c r="AY51" s="1">
        <v>1057</v>
      </c>
      <c r="AZ51" s="7">
        <v>1325</v>
      </c>
      <c r="BA51" s="7">
        <v>1281</v>
      </c>
    </row>
    <row r="52" spans="1:53">
      <c r="A52" s="54" t="s">
        <v>247</v>
      </c>
      <c r="B52" s="86">
        <f>SUM(B54:B62)</f>
        <v>4980</v>
      </c>
      <c r="C52" s="7"/>
      <c r="D52" s="7"/>
      <c r="E52" s="86">
        <f t="shared" ref="E52:S52" si="113">SUM(E54:E62)</f>
        <v>8493</v>
      </c>
      <c r="F52" s="86">
        <f t="shared" si="113"/>
        <v>9123</v>
      </c>
      <c r="G52" s="86">
        <f t="shared" si="113"/>
        <v>9850</v>
      </c>
      <c r="H52" s="86">
        <f t="shared" si="113"/>
        <v>10289</v>
      </c>
      <c r="I52" s="86">
        <f t="shared" si="113"/>
        <v>11269</v>
      </c>
      <c r="J52" s="86">
        <f t="shared" si="113"/>
        <v>11820</v>
      </c>
      <c r="K52" s="86">
        <f t="shared" si="113"/>
        <v>12351</v>
      </c>
      <c r="L52" s="86">
        <f t="shared" si="113"/>
        <v>13424</v>
      </c>
      <c r="M52" s="86">
        <f t="shared" si="113"/>
        <v>15749</v>
      </c>
      <c r="N52" s="86">
        <f t="shared" si="113"/>
        <v>16564</v>
      </c>
      <c r="O52" s="86">
        <f t="shared" si="113"/>
        <v>17530</v>
      </c>
      <c r="P52" s="86">
        <f t="shared" si="113"/>
        <v>18062</v>
      </c>
      <c r="Q52" s="86">
        <f t="shared" si="113"/>
        <v>18738</v>
      </c>
      <c r="R52" s="86">
        <f t="shared" si="113"/>
        <v>19857</v>
      </c>
      <c r="S52" s="86">
        <f t="shared" si="113"/>
        <v>20824</v>
      </c>
      <c r="T52" s="86">
        <f t="shared" ref="T52:U52" si="114">SUM(T54:T62)</f>
        <v>22921</v>
      </c>
      <c r="U52" s="86">
        <f t="shared" si="114"/>
        <v>24216</v>
      </c>
      <c r="V52" s="86">
        <f t="shared" ref="V52:W52" si="115">SUM(V54:V62)</f>
        <v>27464</v>
      </c>
      <c r="W52" s="86">
        <f t="shared" si="115"/>
        <v>29810</v>
      </c>
      <c r="X52" s="86">
        <f t="shared" ref="X52:AA52" si="116">SUM(X54:X62)</f>
        <v>0</v>
      </c>
      <c r="Y52" s="86">
        <f t="shared" si="116"/>
        <v>35674</v>
      </c>
      <c r="Z52" s="55">
        <f t="shared" si="116"/>
        <v>38289</v>
      </c>
      <c r="AA52" s="55">
        <f t="shared" si="116"/>
        <v>41055</v>
      </c>
      <c r="AB52" s="142">
        <f t="shared" ref="AB52" si="117">SUM(AB54:AB62)</f>
        <v>4958</v>
      </c>
      <c r="AC52" s="7"/>
      <c r="AD52" s="7"/>
      <c r="AE52" s="86">
        <f t="shared" ref="AE52:AS52" si="118">SUM(AE54:AE62)</f>
        <v>7066</v>
      </c>
      <c r="AF52" s="86">
        <f t="shared" si="118"/>
        <v>7662</v>
      </c>
      <c r="AG52" s="86">
        <f t="shared" si="118"/>
        <v>8113</v>
      </c>
      <c r="AH52" s="86">
        <f t="shared" si="118"/>
        <v>8624</v>
      </c>
      <c r="AI52" s="86">
        <f t="shared" si="118"/>
        <v>9119</v>
      </c>
      <c r="AJ52" s="86">
        <f t="shared" si="118"/>
        <v>9417</v>
      </c>
      <c r="AK52" s="86">
        <f t="shared" si="118"/>
        <v>9096</v>
      </c>
      <c r="AL52" s="86">
        <f t="shared" si="118"/>
        <v>9940</v>
      </c>
      <c r="AM52" s="86">
        <f t="shared" si="118"/>
        <v>11356</v>
      </c>
      <c r="AN52" s="86">
        <f t="shared" si="118"/>
        <v>12121</v>
      </c>
      <c r="AO52" s="86">
        <f t="shared" si="118"/>
        <v>11538</v>
      </c>
      <c r="AP52" s="86">
        <f t="shared" si="118"/>
        <v>11481</v>
      </c>
      <c r="AQ52" s="86">
        <f t="shared" si="118"/>
        <v>11483</v>
      </c>
      <c r="AR52" s="86">
        <f t="shared" si="118"/>
        <v>11808</v>
      </c>
      <c r="AS52" s="86">
        <f t="shared" si="118"/>
        <v>12674</v>
      </c>
      <c r="AT52" s="86">
        <f t="shared" ref="AT52:AU52" si="119">SUM(AT54:AT62)</f>
        <v>12684</v>
      </c>
      <c r="AU52" s="86">
        <f t="shared" si="119"/>
        <v>14390</v>
      </c>
      <c r="AV52" s="186">
        <f t="shared" ref="AV52:AW52" si="120">SUM(AV54:AV62)</f>
        <v>15765</v>
      </c>
      <c r="AW52" s="186">
        <f t="shared" si="120"/>
        <v>17023</v>
      </c>
      <c r="AX52" s="186">
        <f t="shared" ref="AX52:BA52" si="121">SUM(AX54:AX62)</f>
        <v>0</v>
      </c>
      <c r="AY52" s="186">
        <f t="shared" si="121"/>
        <v>19853</v>
      </c>
      <c r="AZ52" s="55">
        <f t="shared" si="121"/>
        <v>22014</v>
      </c>
      <c r="BA52" s="55">
        <f t="shared" si="121"/>
        <v>23648</v>
      </c>
    </row>
    <row r="53" spans="1:53">
      <c r="A53" s="56" t="s">
        <v>244</v>
      </c>
      <c r="B53" s="89">
        <f>(B52/B4)*100</f>
        <v>19.054907212550219</v>
      </c>
      <c r="E53" s="89">
        <f t="shared" ref="E53:S53" si="122">(E52/E4)*100</f>
        <v>21.172687158776458</v>
      </c>
      <c r="F53" s="89">
        <f t="shared" si="122"/>
        <v>20.586244245870567</v>
      </c>
      <c r="G53" s="89">
        <f t="shared" si="122"/>
        <v>20.088921520639584</v>
      </c>
      <c r="H53" s="89">
        <f t="shared" si="122"/>
        <v>19.506322634462624</v>
      </c>
      <c r="I53" s="89">
        <f t="shared" si="122"/>
        <v>19.85971837935957</v>
      </c>
      <c r="J53" s="89">
        <f t="shared" si="122"/>
        <v>19.459673037980934</v>
      </c>
      <c r="K53" s="89">
        <f t="shared" si="122"/>
        <v>19.299945308227208</v>
      </c>
      <c r="L53" s="89">
        <f t="shared" si="122"/>
        <v>18.613163988297448</v>
      </c>
      <c r="M53" s="89">
        <f t="shared" si="122"/>
        <v>18.738324984829916</v>
      </c>
      <c r="N53" s="89">
        <f t="shared" si="122"/>
        <v>18.674393172414572</v>
      </c>
      <c r="O53" s="89">
        <f t="shared" si="122"/>
        <v>18.568538349910494</v>
      </c>
      <c r="P53" s="89">
        <f t="shared" si="122"/>
        <v>18.114895494844944</v>
      </c>
      <c r="Q53" s="89">
        <f t="shared" si="122"/>
        <v>17.431994939158262</v>
      </c>
      <c r="R53" s="89">
        <f t="shared" si="122"/>
        <v>17.306384981435968</v>
      </c>
      <c r="S53" s="89">
        <f t="shared" si="122"/>
        <v>17.285631277496471</v>
      </c>
      <c r="T53" s="89">
        <f t="shared" ref="T53:U53" si="123">(T52/T4)*100</f>
        <v>17.723838760313324</v>
      </c>
      <c r="U53" s="89">
        <f t="shared" si="123"/>
        <v>17.26249456448129</v>
      </c>
      <c r="V53" s="89">
        <f t="shared" ref="V53:W53" si="124">(V52/V4)*100</f>
        <v>17.540699865238579</v>
      </c>
      <c r="W53" s="89">
        <f t="shared" si="124"/>
        <v>17.203568831588544</v>
      </c>
      <c r="X53" s="89" t="e">
        <f t="shared" ref="X53:AA53" si="125">(X52/X4)*100</f>
        <v>#DIV/0!</v>
      </c>
      <c r="Y53" s="89">
        <f t="shared" si="125"/>
        <v>17.512665436123001</v>
      </c>
      <c r="Z53" s="57">
        <f t="shared" si="125"/>
        <v>17.282719086415852</v>
      </c>
      <c r="AA53" s="57">
        <f t="shared" si="125"/>
        <v>17.222285146172336</v>
      </c>
      <c r="AB53" s="144">
        <f t="shared" ref="AB53" si="126">(AB52/AB4)*100</f>
        <v>17.368457927555525</v>
      </c>
      <c r="AE53" s="89">
        <f t="shared" ref="AE53" si="127">(AE52/AE4)*100</f>
        <v>24.84354124182547</v>
      </c>
      <c r="AF53" s="89">
        <f t="shared" ref="AF53" si="128">(AF52/AF4)*100</f>
        <v>23.744150732901549</v>
      </c>
      <c r="AG53" s="89">
        <f t="shared" ref="AG53" si="129">(AG52/AG4)*100</f>
        <v>23.756954612005856</v>
      </c>
      <c r="AH53" s="89">
        <f t="shared" ref="AH53" si="130">(AH52/AH4)*100</f>
        <v>23.370007045688581</v>
      </c>
      <c r="AI53" s="89">
        <f t="shared" ref="AI53" si="131">(AI52/AI4)*100</f>
        <v>24.221738206544835</v>
      </c>
      <c r="AJ53" s="89">
        <f t="shared" ref="AJ53" si="132">(AJ52/AJ4)*100</f>
        <v>24.215696358773915</v>
      </c>
      <c r="AK53" s="89">
        <f t="shared" ref="AK53" si="133">(AK52/AK4)*100</f>
        <v>23.209410323798831</v>
      </c>
      <c r="AL53" s="89">
        <f t="shared" ref="AL53" si="134">(AL52/AL4)*100</f>
        <v>25.462369998463036</v>
      </c>
      <c r="AM53" s="89">
        <f t="shared" ref="AM53" si="135">(AM52/AM4)*100</f>
        <v>26.308351673809799</v>
      </c>
      <c r="AN53" s="89">
        <f t="shared" ref="AN53" si="136">(AN52/AN4)*100</f>
        <v>27.088454833951637</v>
      </c>
      <c r="AO53" s="89">
        <f t="shared" ref="AO53" si="137">(AO52/AO4)*100</f>
        <v>25.460082086588109</v>
      </c>
      <c r="AP53" s="89">
        <f t="shared" ref="AP53" si="138">(AP52/AP4)*100</f>
        <v>25.411124145105248</v>
      </c>
      <c r="AQ53" s="89">
        <f t="shared" ref="AQ53" si="139">(AQ52/AQ4)*100</f>
        <v>25.040341925073051</v>
      </c>
      <c r="AR53" s="89">
        <f t="shared" ref="AR53" si="140">(AR52/AR4)*100</f>
        <v>26.671485363209253</v>
      </c>
      <c r="AS53" s="89">
        <f t="shared" ref="AS53:AT53" si="141">(AS52/AS4)*100</f>
        <v>27.646532731278494</v>
      </c>
      <c r="AT53" s="89">
        <f t="shared" si="141"/>
        <v>26.713280822206308</v>
      </c>
      <c r="AU53" s="89">
        <f t="shared" ref="AU53:AV53" si="142">(AU52/AU4)*100</f>
        <v>27.632690682848143</v>
      </c>
      <c r="AV53" s="89">
        <f t="shared" si="142"/>
        <v>26.617927634355954</v>
      </c>
      <c r="AW53" s="89">
        <f t="shared" ref="AW53:BA53" si="143">(AW52/AW4)*100</f>
        <v>26.365269646563206</v>
      </c>
      <c r="AX53" s="89" t="e">
        <f t="shared" si="143"/>
        <v>#DIV/0!</v>
      </c>
      <c r="AY53" s="89">
        <f t="shared" si="143"/>
        <v>26.356455360106207</v>
      </c>
      <c r="AZ53" s="57">
        <f t="shared" si="143"/>
        <v>26.229000357440725</v>
      </c>
      <c r="BA53" s="57">
        <f t="shared" si="143"/>
        <v>25.946040836926588</v>
      </c>
    </row>
    <row r="54" spans="1:53">
      <c r="A54" s="54" t="s">
        <v>171</v>
      </c>
      <c r="B54" s="7">
        <v>211</v>
      </c>
      <c r="C54" s="7"/>
      <c r="D54" s="7"/>
      <c r="E54" s="7">
        <v>342</v>
      </c>
      <c r="F54" s="7">
        <v>444</v>
      </c>
      <c r="G54" s="7">
        <v>381</v>
      </c>
      <c r="H54" s="7">
        <v>427</v>
      </c>
      <c r="I54" s="7">
        <v>457</v>
      </c>
      <c r="J54" s="7">
        <v>464</v>
      </c>
      <c r="K54" s="7">
        <v>523</v>
      </c>
      <c r="L54" s="7">
        <v>691</v>
      </c>
      <c r="M54" s="7">
        <v>701</v>
      </c>
      <c r="N54" s="7">
        <v>794</v>
      </c>
      <c r="O54" s="7">
        <v>824</v>
      </c>
      <c r="P54" s="7">
        <v>865</v>
      </c>
      <c r="Q54" s="7">
        <v>963</v>
      </c>
      <c r="R54" s="7">
        <v>1058</v>
      </c>
      <c r="S54" s="7">
        <v>1166</v>
      </c>
      <c r="T54" s="7">
        <v>1231</v>
      </c>
      <c r="U54" s="7">
        <v>1284</v>
      </c>
      <c r="V54" s="7">
        <v>1475</v>
      </c>
      <c r="W54" s="7">
        <v>1578</v>
      </c>
      <c r="X54" s="7"/>
      <c r="Y54" s="7">
        <v>1891</v>
      </c>
      <c r="Z54" s="7">
        <v>2078</v>
      </c>
      <c r="AA54" s="7">
        <v>2285</v>
      </c>
      <c r="AB54" s="124">
        <v>397</v>
      </c>
      <c r="AC54" s="7"/>
      <c r="AD54" s="7"/>
      <c r="AE54" s="7">
        <v>405</v>
      </c>
      <c r="AF54" s="7">
        <v>384</v>
      </c>
      <c r="AG54" s="7">
        <v>348</v>
      </c>
      <c r="AH54" s="7">
        <v>381</v>
      </c>
      <c r="AI54" s="7">
        <v>396</v>
      </c>
      <c r="AJ54" s="7">
        <v>473</v>
      </c>
      <c r="AK54" s="7">
        <v>447</v>
      </c>
      <c r="AL54" s="7">
        <v>435</v>
      </c>
      <c r="AM54" s="7">
        <v>489</v>
      </c>
      <c r="AN54" s="7">
        <v>467</v>
      </c>
      <c r="AO54" s="7">
        <v>523</v>
      </c>
      <c r="AP54" s="7">
        <v>511</v>
      </c>
      <c r="AQ54" s="7">
        <v>469</v>
      </c>
      <c r="AR54" s="7">
        <v>423</v>
      </c>
      <c r="AS54" s="7">
        <v>402</v>
      </c>
      <c r="AT54" s="7">
        <v>450</v>
      </c>
      <c r="AU54" s="7">
        <v>484</v>
      </c>
      <c r="AV54" s="1">
        <v>514</v>
      </c>
      <c r="AW54" s="1">
        <v>496</v>
      </c>
      <c r="AY54" s="1">
        <v>664</v>
      </c>
      <c r="AZ54" s="7">
        <v>882</v>
      </c>
      <c r="BA54" s="7">
        <v>893</v>
      </c>
    </row>
    <row r="55" spans="1:53">
      <c r="A55" s="54" t="s">
        <v>180</v>
      </c>
      <c r="B55" s="7">
        <v>16</v>
      </c>
      <c r="C55" s="7"/>
      <c r="D55" s="7"/>
      <c r="E55" s="7">
        <v>25</v>
      </c>
      <c r="F55" s="7">
        <v>40</v>
      </c>
      <c r="G55" s="7">
        <v>80</v>
      </c>
      <c r="H55" s="7">
        <v>31</v>
      </c>
      <c r="I55" s="7">
        <v>38</v>
      </c>
      <c r="J55" s="7">
        <v>43</v>
      </c>
      <c r="K55" s="7">
        <v>36</v>
      </c>
      <c r="L55" s="7">
        <v>65</v>
      </c>
      <c r="M55" s="7">
        <v>38</v>
      </c>
      <c r="N55" s="7">
        <v>47</v>
      </c>
      <c r="O55" s="7">
        <v>66</v>
      </c>
      <c r="P55" s="7">
        <v>84</v>
      </c>
      <c r="Q55" s="7">
        <v>87</v>
      </c>
      <c r="R55" s="7">
        <v>91</v>
      </c>
      <c r="S55" s="7">
        <v>93</v>
      </c>
      <c r="T55" s="7">
        <v>82</v>
      </c>
      <c r="U55" s="7">
        <v>151</v>
      </c>
      <c r="V55" s="7">
        <v>161</v>
      </c>
      <c r="W55" s="7">
        <v>149</v>
      </c>
      <c r="X55" s="7"/>
      <c r="Y55" s="7">
        <v>206</v>
      </c>
      <c r="Z55" s="7">
        <v>227</v>
      </c>
      <c r="AA55" s="7">
        <v>212</v>
      </c>
      <c r="AB55" s="124">
        <v>36</v>
      </c>
      <c r="AC55" s="7"/>
      <c r="AD55" s="7"/>
      <c r="AE55" s="7">
        <v>58</v>
      </c>
      <c r="AF55" s="7">
        <v>125</v>
      </c>
      <c r="AG55" s="7">
        <v>146</v>
      </c>
      <c r="AH55" s="7">
        <v>227</v>
      </c>
      <c r="AI55" s="7">
        <v>192</v>
      </c>
      <c r="AJ55" s="7">
        <v>217</v>
      </c>
      <c r="AK55" s="7">
        <v>238</v>
      </c>
      <c r="AL55" s="7">
        <v>246</v>
      </c>
      <c r="AM55" s="7">
        <v>307</v>
      </c>
      <c r="AN55" s="7">
        <v>375</v>
      </c>
      <c r="AO55" s="7">
        <v>513</v>
      </c>
      <c r="AP55" s="7">
        <v>415</v>
      </c>
      <c r="AQ55" s="7">
        <v>382</v>
      </c>
      <c r="AR55" s="7">
        <v>394</v>
      </c>
      <c r="AS55" s="7">
        <v>411</v>
      </c>
      <c r="AT55" s="7">
        <v>320</v>
      </c>
      <c r="AU55" s="7">
        <v>270</v>
      </c>
      <c r="AV55" s="1">
        <v>226</v>
      </c>
      <c r="AW55" s="1">
        <v>214</v>
      </c>
      <c r="AY55" s="1">
        <v>245</v>
      </c>
      <c r="AZ55" s="7">
        <v>251</v>
      </c>
      <c r="BA55" s="7">
        <v>267</v>
      </c>
    </row>
    <row r="56" spans="1:53">
      <c r="A56" s="54" t="s">
        <v>179</v>
      </c>
      <c r="B56" s="7">
        <v>733</v>
      </c>
      <c r="C56" s="7"/>
      <c r="D56" s="7"/>
      <c r="E56" s="7">
        <v>1158</v>
      </c>
      <c r="F56" s="7">
        <v>1085</v>
      </c>
      <c r="G56" s="7">
        <v>1187</v>
      </c>
      <c r="H56" s="7">
        <v>1218</v>
      </c>
      <c r="I56" s="7">
        <v>1325</v>
      </c>
      <c r="J56" s="7">
        <v>1405</v>
      </c>
      <c r="K56" s="7">
        <v>1479</v>
      </c>
      <c r="L56" s="7">
        <v>1682</v>
      </c>
      <c r="M56" s="7">
        <v>1984</v>
      </c>
      <c r="N56" s="7">
        <v>1933</v>
      </c>
      <c r="O56" s="7">
        <v>1965</v>
      </c>
      <c r="P56" s="7">
        <v>2132</v>
      </c>
      <c r="Q56" s="7">
        <v>2183</v>
      </c>
      <c r="R56" s="7">
        <v>2461</v>
      </c>
      <c r="S56" s="7">
        <v>2552</v>
      </c>
      <c r="T56" s="7">
        <v>2846</v>
      </c>
      <c r="U56" s="7">
        <v>3090</v>
      </c>
      <c r="V56" s="7">
        <v>3468</v>
      </c>
      <c r="W56" s="7">
        <v>3936</v>
      </c>
      <c r="X56" s="7"/>
      <c r="Y56" s="7">
        <v>4629</v>
      </c>
      <c r="Z56" s="7">
        <v>4785</v>
      </c>
      <c r="AA56" s="7">
        <v>5065</v>
      </c>
      <c r="AB56" s="124">
        <v>1498</v>
      </c>
      <c r="AC56" s="7"/>
      <c r="AD56" s="7"/>
      <c r="AE56" s="7">
        <v>1937</v>
      </c>
      <c r="AF56" s="7">
        <v>1949</v>
      </c>
      <c r="AG56" s="7">
        <v>2032</v>
      </c>
      <c r="AH56" s="7">
        <v>2191</v>
      </c>
      <c r="AI56" s="7">
        <v>2356</v>
      </c>
      <c r="AJ56" s="7">
        <v>2430</v>
      </c>
      <c r="AK56" s="7">
        <v>2397</v>
      </c>
      <c r="AL56" s="7">
        <v>2468</v>
      </c>
      <c r="AM56" s="7">
        <v>2477</v>
      </c>
      <c r="AN56" s="7">
        <v>2484</v>
      </c>
      <c r="AO56" s="7">
        <v>2209</v>
      </c>
      <c r="AP56" s="7">
        <v>2184</v>
      </c>
      <c r="AQ56" s="7">
        <v>2188</v>
      </c>
      <c r="AR56" s="7">
        <v>2050</v>
      </c>
      <c r="AS56" s="7">
        <v>2095</v>
      </c>
      <c r="AT56" s="7">
        <v>2053</v>
      </c>
      <c r="AU56" s="7">
        <v>2347</v>
      </c>
      <c r="AV56" s="1">
        <v>2989</v>
      </c>
      <c r="AW56" s="1">
        <v>3359</v>
      </c>
      <c r="AY56" s="1">
        <v>4220</v>
      </c>
      <c r="AZ56" s="7">
        <v>4779</v>
      </c>
      <c r="BA56" s="7">
        <v>5358</v>
      </c>
    </row>
    <row r="57" spans="1:53">
      <c r="A57" s="54" t="s">
        <v>187</v>
      </c>
      <c r="B57" s="7">
        <v>56</v>
      </c>
      <c r="C57" s="7"/>
      <c r="D57" s="7"/>
      <c r="E57" s="7">
        <v>65</v>
      </c>
      <c r="F57" s="7">
        <v>70</v>
      </c>
      <c r="G57" s="7">
        <v>76</v>
      </c>
      <c r="H57" s="7">
        <v>90</v>
      </c>
      <c r="I57" s="7">
        <v>105</v>
      </c>
      <c r="J57" s="7">
        <v>107</v>
      </c>
      <c r="K57" s="7">
        <v>115</v>
      </c>
      <c r="L57" s="7">
        <v>123</v>
      </c>
      <c r="M57" s="7">
        <v>159</v>
      </c>
      <c r="N57" s="7">
        <v>155</v>
      </c>
      <c r="O57" s="7">
        <v>165</v>
      </c>
      <c r="P57" s="7">
        <v>160</v>
      </c>
      <c r="Q57" s="7">
        <v>189</v>
      </c>
      <c r="R57" s="7">
        <v>163</v>
      </c>
      <c r="S57" s="7">
        <v>189</v>
      </c>
      <c r="T57" s="7">
        <v>204</v>
      </c>
      <c r="U57" s="7">
        <v>227</v>
      </c>
      <c r="V57" s="7">
        <v>267</v>
      </c>
      <c r="W57" s="7">
        <v>309</v>
      </c>
      <c r="X57" s="7"/>
      <c r="Y57" s="7">
        <v>342</v>
      </c>
      <c r="Z57" s="7">
        <v>404</v>
      </c>
      <c r="AA57" s="7">
        <v>558</v>
      </c>
      <c r="AB57" s="124">
        <v>133</v>
      </c>
      <c r="AC57" s="7"/>
      <c r="AD57" s="7"/>
      <c r="AE57" s="7">
        <v>123</v>
      </c>
      <c r="AF57" s="7">
        <v>130</v>
      </c>
      <c r="AG57" s="7">
        <v>146</v>
      </c>
      <c r="AH57" s="7">
        <v>154</v>
      </c>
      <c r="AI57" s="7">
        <v>419</v>
      </c>
      <c r="AJ57" s="7">
        <v>454</v>
      </c>
      <c r="AK57" s="7">
        <v>190</v>
      </c>
      <c r="AL57" s="7">
        <v>202</v>
      </c>
      <c r="AM57" s="7">
        <v>240</v>
      </c>
      <c r="AN57" s="7">
        <v>224</v>
      </c>
      <c r="AO57" s="7">
        <v>162</v>
      </c>
      <c r="AP57" s="7">
        <v>266</v>
      </c>
      <c r="AQ57" s="7">
        <v>190</v>
      </c>
      <c r="AR57" s="7">
        <v>204</v>
      </c>
      <c r="AS57" s="7">
        <v>248</v>
      </c>
      <c r="AT57" s="7">
        <v>200</v>
      </c>
      <c r="AU57" s="7">
        <v>210</v>
      </c>
      <c r="AV57" s="1">
        <v>211</v>
      </c>
      <c r="AW57" s="1">
        <v>225</v>
      </c>
      <c r="AY57" s="1">
        <v>277</v>
      </c>
      <c r="AZ57" s="7">
        <v>381</v>
      </c>
      <c r="BA57" s="7">
        <v>387</v>
      </c>
    </row>
    <row r="58" spans="1:53">
      <c r="A58" s="54" t="s">
        <v>188</v>
      </c>
      <c r="B58" s="7">
        <v>988</v>
      </c>
      <c r="C58" s="7"/>
      <c r="D58" s="7"/>
      <c r="E58" s="7">
        <v>1160</v>
      </c>
      <c r="F58" s="7">
        <v>1319</v>
      </c>
      <c r="G58" s="7">
        <v>1447</v>
      </c>
      <c r="H58" s="7">
        <v>1544</v>
      </c>
      <c r="I58" s="7">
        <v>1786</v>
      </c>
      <c r="J58" s="7">
        <v>1872</v>
      </c>
      <c r="K58" s="7">
        <v>1940</v>
      </c>
      <c r="L58" s="7">
        <v>2238</v>
      </c>
      <c r="M58" s="7">
        <v>2570</v>
      </c>
      <c r="N58" s="7">
        <v>2821</v>
      </c>
      <c r="O58" s="7">
        <v>2992</v>
      </c>
      <c r="P58" s="7">
        <v>3157</v>
      </c>
      <c r="Q58" s="7">
        <v>3258</v>
      </c>
      <c r="R58" s="7">
        <v>3547</v>
      </c>
      <c r="S58" s="7">
        <v>3675</v>
      </c>
      <c r="T58" s="7">
        <v>4172</v>
      </c>
      <c r="U58" s="7">
        <v>4519</v>
      </c>
      <c r="V58" s="7">
        <v>5144</v>
      </c>
      <c r="W58" s="7">
        <v>5482</v>
      </c>
      <c r="X58" s="7"/>
      <c r="Y58" s="7">
        <v>6361</v>
      </c>
      <c r="Z58" s="7">
        <v>6594</v>
      </c>
      <c r="AA58" s="7">
        <v>7149</v>
      </c>
      <c r="AB58" s="124">
        <v>336</v>
      </c>
      <c r="AC58" s="7"/>
      <c r="AD58" s="7"/>
      <c r="AE58" s="7">
        <v>646</v>
      </c>
      <c r="AF58" s="7">
        <v>685</v>
      </c>
      <c r="AG58" s="7">
        <v>745</v>
      </c>
      <c r="AH58" s="7">
        <v>770</v>
      </c>
      <c r="AI58" s="7">
        <v>704</v>
      </c>
      <c r="AJ58" s="7">
        <v>741</v>
      </c>
      <c r="AK58" s="7">
        <v>720</v>
      </c>
      <c r="AL58" s="7">
        <v>1029</v>
      </c>
      <c r="AM58" s="7">
        <v>1019</v>
      </c>
      <c r="AN58" s="7">
        <v>1102</v>
      </c>
      <c r="AO58" s="7">
        <v>940</v>
      </c>
      <c r="AP58" s="7">
        <v>943</v>
      </c>
      <c r="AQ58" s="7">
        <v>803</v>
      </c>
      <c r="AR58" s="7">
        <v>933</v>
      </c>
      <c r="AS58" s="7">
        <v>838</v>
      </c>
      <c r="AT58" s="7">
        <v>884</v>
      </c>
      <c r="AU58" s="7">
        <v>902</v>
      </c>
      <c r="AV58" s="1">
        <v>913</v>
      </c>
      <c r="AW58" s="1">
        <v>956</v>
      </c>
      <c r="AY58" s="1">
        <v>968</v>
      </c>
      <c r="AZ58" s="7">
        <v>1079</v>
      </c>
      <c r="BA58" s="7">
        <v>1379</v>
      </c>
    </row>
    <row r="59" spans="1:53">
      <c r="A59" s="54" t="s">
        <v>191</v>
      </c>
      <c r="B59" s="7">
        <v>2404</v>
      </c>
      <c r="C59" s="7"/>
      <c r="D59" s="7"/>
      <c r="E59" s="7">
        <v>4893</v>
      </c>
      <c r="F59" s="7">
        <v>5158</v>
      </c>
      <c r="G59" s="7">
        <v>5605</v>
      </c>
      <c r="H59" s="7">
        <v>5933</v>
      </c>
      <c r="I59" s="7">
        <v>6466</v>
      </c>
      <c r="J59" s="7">
        <v>6714</v>
      </c>
      <c r="K59" s="7">
        <v>6831</v>
      </c>
      <c r="L59" s="7">
        <v>7027</v>
      </c>
      <c r="M59" s="7">
        <v>8395</v>
      </c>
      <c r="N59" s="7">
        <v>8811</v>
      </c>
      <c r="O59" s="7">
        <v>9399</v>
      </c>
      <c r="P59" s="7">
        <v>9340</v>
      </c>
      <c r="Q59" s="7">
        <v>9644</v>
      </c>
      <c r="R59" s="7">
        <v>9867</v>
      </c>
      <c r="S59" s="7">
        <v>10357</v>
      </c>
      <c r="T59" s="7">
        <v>11159</v>
      </c>
      <c r="U59" s="7">
        <v>11430</v>
      </c>
      <c r="V59" s="7">
        <v>12932</v>
      </c>
      <c r="W59" s="7">
        <v>13979</v>
      </c>
      <c r="X59" s="7"/>
      <c r="Y59" s="7">
        <v>16755</v>
      </c>
      <c r="Z59" s="7">
        <v>18395</v>
      </c>
      <c r="AA59" s="7">
        <v>19617</v>
      </c>
      <c r="AB59" s="124">
        <v>1587</v>
      </c>
      <c r="AC59" s="7"/>
      <c r="AD59" s="7"/>
      <c r="AE59" s="7">
        <v>2593</v>
      </c>
      <c r="AF59" s="7">
        <v>2778</v>
      </c>
      <c r="AG59" s="7">
        <v>2973</v>
      </c>
      <c r="AH59" s="7">
        <v>2986</v>
      </c>
      <c r="AI59" s="7">
        <v>3234</v>
      </c>
      <c r="AJ59" s="7">
        <v>3232</v>
      </c>
      <c r="AK59" s="7">
        <v>3245</v>
      </c>
      <c r="AL59" s="7">
        <v>3531</v>
      </c>
      <c r="AM59" s="7">
        <v>4498</v>
      </c>
      <c r="AN59" s="7">
        <v>5092</v>
      </c>
      <c r="AO59" s="7">
        <v>4860</v>
      </c>
      <c r="AP59" s="7">
        <v>4835</v>
      </c>
      <c r="AQ59" s="7">
        <v>5209</v>
      </c>
      <c r="AR59" s="7">
        <v>5514</v>
      </c>
      <c r="AS59" s="7">
        <v>6340</v>
      </c>
      <c r="AT59" s="7">
        <v>6422</v>
      </c>
      <c r="AU59" s="7">
        <v>7532</v>
      </c>
      <c r="AV59" s="1">
        <v>7904</v>
      </c>
      <c r="AW59" s="1">
        <v>8389</v>
      </c>
      <c r="AY59" s="1">
        <v>9312</v>
      </c>
      <c r="AZ59" s="7">
        <v>9750</v>
      </c>
      <c r="BA59" s="7">
        <v>9999</v>
      </c>
    </row>
    <row r="60" spans="1:53">
      <c r="A60" s="54" t="s">
        <v>194</v>
      </c>
      <c r="B60" s="7">
        <v>455</v>
      </c>
      <c r="C60" s="7"/>
      <c r="D60" s="7"/>
      <c r="E60" s="7">
        <v>645</v>
      </c>
      <c r="F60" s="7">
        <v>740</v>
      </c>
      <c r="G60" s="7">
        <v>804</v>
      </c>
      <c r="H60" s="7">
        <v>789</v>
      </c>
      <c r="I60" s="7">
        <v>855</v>
      </c>
      <c r="J60" s="7">
        <v>923</v>
      </c>
      <c r="K60" s="7">
        <v>1091</v>
      </c>
      <c r="L60" s="7">
        <v>1235</v>
      </c>
      <c r="M60" s="7">
        <v>1458</v>
      </c>
      <c r="N60" s="7">
        <v>1549</v>
      </c>
      <c r="O60" s="7">
        <v>1664</v>
      </c>
      <c r="P60" s="7">
        <v>1812</v>
      </c>
      <c r="Q60" s="7">
        <v>1891</v>
      </c>
      <c r="R60" s="7">
        <v>2122</v>
      </c>
      <c r="S60" s="7">
        <v>2221</v>
      </c>
      <c r="T60" s="7">
        <v>2575</v>
      </c>
      <c r="U60" s="7">
        <v>2774</v>
      </c>
      <c r="V60" s="7">
        <v>3181</v>
      </c>
      <c r="W60" s="7">
        <v>3530</v>
      </c>
      <c r="X60" s="7"/>
      <c r="Y60" s="7">
        <v>4345</v>
      </c>
      <c r="Z60" s="7">
        <v>4544</v>
      </c>
      <c r="AA60" s="7">
        <v>4755</v>
      </c>
      <c r="AB60" s="124">
        <v>747</v>
      </c>
      <c r="AC60" s="7"/>
      <c r="AD60" s="7"/>
      <c r="AE60" s="7">
        <v>940</v>
      </c>
      <c r="AF60" s="7">
        <v>1208</v>
      </c>
      <c r="AG60" s="7">
        <v>1273</v>
      </c>
      <c r="AH60" s="7">
        <v>1439</v>
      </c>
      <c r="AI60" s="7">
        <v>1309</v>
      </c>
      <c r="AJ60" s="7">
        <v>1351</v>
      </c>
      <c r="AK60" s="7">
        <v>1347</v>
      </c>
      <c r="AL60" s="7">
        <v>1440</v>
      </c>
      <c r="AM60" s="7">
        <v>1722</v>
      </c>
      <c r="AN60" s="7">
        <v>1923</v>
      </c>
      <c r="AO60" s="7">
        <v>1967</v>
      </c>
      <c r="AP60" s="7">
        <v>1910</v>
      </c>
      <c r="AQ60" s="7">
        <v>1844</v>
      </c>
      <c r="AR60" s="7">
        <v>1883</v>
      </c>
      <c r="AS60" s="7">
        <v>1904</v>
      </c>
      <c r="AT60" s="7">
        <v>1895</v>
      </c>
      <c r="AU60" s="7">
        <v>2093</v>
      </c>
      <c r="AV60" s="1">
        <v>2354</v>
      </c>
      <c r="AW60" s="1">
        <v>2730</v>
      </c>
      <c r="AY60" s="1">
        <v>3380</v>
      </c>
      <c r="AZ60" s="7">
        <v>4034</v>
      </c>
      <c r="BA60" s="7">
        <v>4491</v>
      </c>
    </row>
    <row r="61" spans="1:53">
      <c r="A61" s="54" t="s">
        <v>195</v>
      </c>
      <c r="B61" s="7">
        <v>88</v>
      </c>
      <c r="C61" s="7"/>
      <c r="D61" s="7"/>
      <c r="E61" s="7">
        <v>161</v>
      </c>
      <c r="F61" s="7">
        <v>195</v>
      </c>
      <c r="G61" s="7">
        <v>204</v>
      </c>
      <c r="H61" s="7">
        <v>203</v>
      </c>
      <c r="I61" s="7">
        <v>190</v>
      </c>
      <c r="J61" s="7">
        <v>232</v>
      </c>
      <c r="K61" s="7">
        <v>266</v>
      </c>
      <c r="L61" s="7">
        <v>273</v>
      </c>
      <c r="M61" s="7">
        <v>357</v>
      </c>
      <c r="N61" s="7">
        <v>365</v>
      </c>
      <c r="O61" s="7">
        <v>354</v>
      </c>
      <c r="P61" s="7">
        <v>436</v>
      </c>
      <c r="Q61" s="7">
        <v>413</v>
      </c>
      <c r="R61" s="7">
        <v>443</v>
      </c>
      <c r="S61" s="7">
        <v>438</v>
      </c>
      <c r="T61" s="7">
        <v>512</v>
      </c>
      <c r="U61" s="7">
        <v>562</v>
      </c>
      <c r="V61" s="7">
        <v>657</v>
      </c>
      <c r="W61" s="7">
        <v>617</v>
      </c>
      <c r="X61" s="7"/>
      <c r="Y61" s="7">
        <v>887</v>
      </c>
      <c r="Z61" s="7">
        <v>1009</v>
      </c>
      <c r="AA61" s="7">
        <v>1098</v>
      </c>
      <c r="AB61" s="124">
        <v>149</v>
      </c>
      <c r="AC61" s="7"/>
      <c r="AD61" s="7"/>
      <c r="AE61" s="7">
        <v>264</v>
      </c>
      <c r="AF61" s="7">
        <v>295</v>
      </c>
      <c r="AG61" s="7">
        <v>325</v>
      </c>
      <c r="AH61" s="7">
        <v>375</v>
      </c>
      <c r="AI61" s="7">
        <v>408</v>
      </c>
      <c r="AJ61" s="7">
        <v>403</v>
      </c>
      <c r="AK61" s="7">
        <v>400</v>
      </c>
      <c r="AL61" s="7">
        <v>470</v>
      </c>
      <c r="AM61" s="7">
        <v>464</v>
      </c>
      <c r="AN61" s="7">
        <v>354</v>
      </c>
      <c r="AO61" s="7">
        <v>265</v>
      </c>
      <c r="AP61" s="7">
        <v>325</v>
      </c>
      <c r="AQ61" s="7">
        <v>305</v>
      </c>
      <c r="AR61" s="7">
        <v>336</v>
      </c>
      <c r="AS61" s="7">
        <v>342</v>
      </c>
      <c r="AT61" s="7">
        <v>354</v>
      </c>
      <c r="AU61" s="7">
        <v>423</v>
      </c>
      <c r="AV61" s="1">
        <v>497</v>
      </c>
      <c r="AW61" s="1">
        <v>541</v>
      </c>
      <c r="AY61" s="1">
        <v>626</v>
      </c>
      <c r="AZ61" s="7">
        <v>678</v>
      </c>
      <c r="BA61" s="7">
        <v>686</v>
      </c>
    </row>
    <row r="62" spans="1:53">
      <c r="A62" s="54" t="s">
        <v>198</v>
      </c>
      <c r="B62" s="7">
        <v>29</v>
      </c>
      <c r="C62" s="7"/>
      <c r="D62" s="7"/>
      <c r="E62" s="7">
        <v>44</v>
      </c>
      <c r="F62" s="7">
        <v>72</v>
      </c>
      <c r="G62" s="7">
        <v>66</v>
      </c>
      <c r="H62" s="7">
        <v>54</v>
      </c>
      <c r="I62" s="7">
        <v>47</v>
      </c>
      <c r="J62" s="7">
        <v>60</v>
      </c>
      <c r="K62" s="7">
        <v>70</v>
      </c>
      <c r="L62" s="7">
        <v>90</v>
      </c>
      <c r="M62" s="7">
        <v>87</v>
      </c>
      <c r="N62" s="7">
        <v>89</v>
      </c>
      <c r="O62" s="7">
        <v>101</v>
      </c>
      <c r="P62" s="7">
        <v>76</v>
      </c>
      <c r="Q62" s="7">
        <v>110</v>
      </c>
      <c r="R62" s="7">
        <v>105</v>
      </c>
      <c r="S62" s="7">
        <v>133</v>
      </c>
      <c r="T62" s="7">
        <v>140</v>
      </c>
      <c r="U62" s="7">
        <v>179</v>
      </c>
      <c r="V62" s="7">
        <v>179</v>
      </c>
      <c r="W62" s="7">
        <v>230</v>
      </c>
      <c r="X62" s="7"/>
      <c r="Y62" s="7">
        <v>258</v>
      </c>
      <c r="Z62" s="7">
        <v>253</v>
      </c>
      <c r="AA62" s="7">
        <v>316</v>
      </c>
      <c r="AB62" s="124">
        <v>75</v>
      </c>
      <c r="AC62" s="7"/>
      <c r="AD62" s="7"/>
      <c r="AE62" s="7">
        <v>100</v>
      </c>
      <c r="AF62" s="7">
        <v>108</v>
      </c>
      <c r="AG62" s="7">
        <v>125</v>
      </c>
      <c r="AH62" s="7">
        <v>101</v>
      </c>
      <c r="AI62" s="7">
        <v>101</v>
      </c>
      <c r="AJ62" s="7">
        <v>116</v>
      </c>
      <c r="AK62" s="7">
        <v>112</v>
      </c>
      <c r="AL62" s="7">
        <v>119</v>
      </c>
      <c r="AM62" s="7">
        <v>140</v>
      </c>
      <c r="AN62" s="7">
        <v>100</v>
      </c>
      <c r="AO62" s="7">
        <v>99</v>
      </c>
      <c r="AP62" s="7">
        <v>92</v>
      </c>
      <c r="AQ62" s="7">
        <v>93</v>
      </c>
      <c r="AR62" s="7">
        <v>71</v>
      </c>
      <c r="AS62" s="7">
        <v>94</v>
      </c>
      <c r="AT62" s="7">
        <v>106</v>
      </c>
      <c r="AU62" s="7">
        <v>129</v>
      </c>
      <c r="AV62" s="5">
        <v>157</v>
      </c>
      <c r="AW62" s="1">
        <v>113</v>
      </c>
      <c r="AY62" s="1">
        <v>161</v>
      </c>
      <c r="AZ62" s="7">
        <v>180</v>
      </c>
      <c r="BA62" s="7">
        <v>188</v>
      </c>
    </row>
    <row r="63" spans="1:53">
      <c r="A63" s="59" t="s">
        <v>172</v>
      </c>
      <c r="B63" s="91">
        <v>185</v>
      </c>
      <c r="C63" s="91"/>
      <c r="D63" s="91"/>
      <c r="E63" s="91">
        <v>256</v>
      </c>
      <c r="F63" s="91">
        <v>251</v>
      </c>
      <c r="G63" s="91">
        <v>264</v>
      </c>
      <c r="H63" s="91">
        <v>265</v>
      </c>
      <c r="I63" s="91">
        <v>294</v>
      </c>
      <c r="J63" s="91">
        <v>282</v>
      </c>
      <c r="K63" s="91">
        <v>284</v>
      </c>
      <c r="L63" s="91">
        <v>282</v>
      </c>
      <c r="M63" s="91">
        <v>397</v>
      </c>
      <c r="N63" s="91">
        <v>383</v>
      </c>
      <c r="O63" s="91">
        <v>378</v>
      </c>
      <c r="P63" s="91">
        <v>409</v>
      </c>
      <c r="Q63" s="91">
        <v>392</v>
      </c>
      <c r="R63" s="91">
        <v>496</v>
      </c>
      <c r="S63" s="91">
        <v>543</v>
      </c>
      <c r="T63" s="91">
        <v>459</v>
      </c>
      <c r="U63" s="91">
        <v>432</v>
      </c>
      <c r="V63" s="91">
        <v>512</v>
      </c>
      <c r="W63" s="91">
        <v>625</v>
      </c>
      <c r="X63" s="91"/>
      <c r="Y63" s="91">
        <v>731</v>
      </c>
      <c r="Z63" s="91">
        <v>696</v>
      </c>
      <c r="AA63" s="91">
        <v>782</v>
      </c>
      <c r="AB63" s="145">
        <v>622</v>
      </c>
      <c r="AC63" s="91"/>
      <c r="AD63" s="91"/>
      <c r="AE63" s="91">
        <v>798</v>
      </c>
      <c r="AF63" s="91">
        <v>715</v>
      </c>
      <c r="AG63" s="91">
        <v>647</v>
      </c>
      <c r="AH63" s="91">
        <v>673</v>
      </c>
      <c r="AI63" s="91">
        <v>681</v>
      </c>
      <c r="AJ63" s="91">
        <v>720</v>
      </c>
      <c r="AK63" s="91">
        <v>719</v>
      </c>
      <c r="AL63" s="91">
        <v>652</v>
      </c>
      <c r="AM63" s="91">
        <v>710</v>
      </c>
      <c r="AN63" s="91">
        <v>598</v>
      </c>
      <c r="AO63" s="91">
        <v>519</v>
      </c>
      <c r="AP63" s="91">
        <v>513</v>
      </c>
      <c r="AQ63" s="91">
        <v>503</v>
      </c>
      <c r="AR63" s="91">
        <v>398</v>
      </c>
      <c r="AS63" s="91">
        <v>439</v>
      </c>
      <c r="AT63" s="91">
        <v>386</v>
      </c>
      <c r="AU63" s="91">
        <v>356</v>
      </c>
      <c r="AV63" s="5">
        <v>411</v>
      </c>
      <c r="AW63" s="66">
        <v>438</v>
      </c>
      <c r="AX63" s="66"/>
      <c r="AY63" s="66">
        <v>514</v>
      </c>
      <c r="AZ63" s="91">
        <v>673</v>
      </c>
      <c r="BA63" s="91">
        <v>829</v>
      </c>
    </row>
    <row r="64" spans="1:53">
      <c r="Z64" s="7"/>
      <c r="AA64" s="7"/>
      <c r="AZ64" s="7"/>
      <c r="BA64" s="7"/>
    </row>
    <row r="65" spans="2:47">
      <c r="B65" s="10" t="s">
        <v>108</v>
      </c>
      <c r="E65" s="1" t="s">
        <v>108</v>
      </c>
      <c r="F65" s="1" t="s">
        <v>108</v>
      </c>
      <c r="G65" s="1" t="s">
        <v>108</v>
      </c>
      <c r="H65" s="1" t="s">
        <v>108</v>
      </c>
      <c r="I65" s="1" t="s">
        <v>108</v>
      </c>
      <c r="J65" s="1" t="s">
        <v>108</v>
      </c>
      <c r="K65" s="1" t="s">
        <v>108</v>
      </c>
      <c r="L65" s="1" t="s">
        <v>108</v>
      </c>
      <c r="M65" s="3" t="s">
        <v>81</v>
      </c>
      <c r="P65" s="3"/>
      <c r="Q65" s="3"/>
      <c r="S65" s="3" t="s">
        <v>81</v>
      </c>
      <c r="T65" s="3"/>
      <c r="U65" s="3"/>
      <c r="V65" s="3"/>
      <c r="W65" s="3"/>
      <c r="X65" s="3"/>
      <c r="Y65" s="3"/>
      <c r="AB65" s="10" t="s">
        <v>108</v>
      </c>
      <c r="AE65" s="1" t="s">
        <v>108</v>
      </c>
      <c r="AF65" s="1" t="s">
        <v>108</v>
      </c>
      <c r="AG65" s="1" t="s">
        <v>108</v>
      </c>
      <c r="AH65" s="1" t="s">
        <v>108</v>
      </c>
      <c r="AI65" s="1" t="s">
        <v>108</v>
      </c>
      <c r="AJ65" s="1" t="s">
        <v>108</v>
      </c>
      <c r="AK65" s="1" t="s">
        <v>108</v>
      </c>
      <c r="AL65" s="1" t="s">
        <v>108</v>
      </c>
      <c r="AM65" s="3" t="s">
        <v>81</v>
      </c>
      <c r="AP65" s="3"/>
      <c r="AQ65" s="3"/>
      <c r="AS65" s="3" t="s">
        <v>81</v>
      </c>
      <c r="AT65" s="3"/>
      <c r="AU65" s="3"/>
    </row>
    <row r="66" spans="2:47">
      <c r="B66" s="10" t="s">
        <v>29</v>
      </c>
      <c r="E66" s="1" t="s">
        <v>29</v>
      </c>
      <c r="F66" s="1" t="s">
        <v>29</v>
      </c>
      <c r="G66" s="1" t="s">
        <v>29</v>
      </c>
      <c r="H66" s="1" t="s">
        <v>29</v>
      </c>
      <c r="I66" s="1" t="s">
        <v>29</v>
      </c>
      <c r="J66" s="1" t="s">
        <v>29</v>
      </c>
      <c r="K66" s="1" t="s">
        <v>29</v>
      </c>
      <c r="L66" s="1" t="s">
        <v>29</v>
      </c>
      <c r="M66" s="1" t="s">
        <v>211</v>
      </c>
      <c r="S66" s="1" t="s">
        <v>211</v>
      </c>
      <c r="AB66" s="10" t="s">
        <v>29</v>
      </c>
      <c r="AE66" s="1" t="s">
        <v>29</v>
      </c>
      <c r="AF66" s="1" t="s">
        <v>29</v>
      </c>
      <c r="AG66" s="1" t="s">
        <v>29</v>
      </c>
      <c r="AH66" s="1" t="s">
        <v>29</v>
      </c>
      <c r="AI66" s="1" t="s">
        <v>29</v>
      </c>
      <c r="AJ66" s="1" t="s">
        <v>29</v>
      </c>
      <c r="AK66" s="1" t="s">
        <v>29</v>
      </c>
      <c r="AL66" s="1" t="s">
        <v>29</v>
      </c>
      <c r="AM66" s="1" t="s">
        <v>211</v>
      </c>
      <c r="AS66" s="1" t="s">
        <v>211</v>
      </c>
    </row>
    <row r="67" spans="2:47">
      <c r="B67" s="10" t="s">
        <v>32</v>
      </c>
      <c r="E67" s="1" t="s">
        <v>32</v>
      </c>
      <c r="F67" s="1" t="s">
        <v>32</v>
      </c>
      <c r="G67" s="1" t="s">
        <v>32</v>
      </c>
      <c r="H67" s="1" t="s">
        <v>32</v>
      </c>
      <c r="I67" s="1" t="s">
        <v>32</v>
      </c>
      <c r="J67" s="1" t="s">
        <v>32</v>
      </c>
      <c r="K67" s="1" t="s">
        <v>32</v>
      </c>
      <c r="L67" s="1" t="s">
        <v>32</v>
      </c>
      <c r="M67" s="1" t="s">
        <v>212</v>
      </c>
      <c r="S67" s="1" t="s">
        <v>212</v>
      </c>
      <c r="AB67" s="10" t="s">
        <v>32</v>
      </c>
      <c r="AE67" s="1" t="s">
        <v>32</v>
      </c>
      <c r="AF67" s="1" t="s">
        <v>32</v>
      </c>
      <c r="AG67" s="1" t="s">
        <v>32</v>
      </c>
      <c r="AH67" s="1" t="s">
        <v>32</v>
      </c>
      <c r="AI67" s="1" t="s">
        <v>32</v>
      </c>
      <c r="AJ67" s="1" t="s">
        <v>32</v>
      </c>
      <c r="AK67" s="1" t="s">
        <v>32</v>
      </c>
      <c r="AL67" s="1" t="s">
        <v>32</v>
      </c>
      <c r="AM67" s="1" t="s">
        <v>212</v>
      </c>
      <c r="AS67" s="1" t="s">
        <v>212</v>
      </c>
    </row>
    <row r="68" spans="2:47">
      <c r="B68" s="10" t="s">
        <v>109</v>
      </c>
      <c r="E68" s="1" t="s">
        <v>109</v>
      </c>
      <c r="F68" s="1" t="s">
        <v>109</v>
      </c>
      <c r="G68" s="1" t="s">
        <v>109</v>
      </c>
      <c r="H68" s="1" t="s">
        <v>109</v>
      </c>
      <c r="I68" s="1" t="s">
        <v>109</v>
      </c>
      <c r="J68" s="1" t="s">
        <v>109</v>
      </c>
      <c r="K68" s="1" t="s">
        <v>109</v>
      </c>
      <c r="L68" s="1" t="s">
        <v>109</v>
      </c>
      <c r="M68" s="1" t="s">
        <v>213</v>
      </c>
      <c r="S68" s="1" t="s">
        <v>213</v>
      </c>
      <c r="AB68" s="10" t="s">
        <v>109</v>
      </c>
      <c r="AE68" s="1" t="s">
        <v>109</v>
      </c>
      <c r="AF68" s="1" t="s">
        <v>109</v>
      </c>
      <c r="AG68" s="1" t="s">
        <v>109</v>
      </c>
      <c r="AH68" s="1" t="s">
        <v>109</v>
      </c>
      <c r="AI68" s="1" t="s">
        <v>109</v>
      </c>
      <c r="AJ68" s="1" t="s">
        <v>109</v>
      </c>
      <c r="AK68" s="1" t="s">
        <v>109</v>
      </c>
      <c r="AL68" s="1" t="s">
        <v>109</v>
      </c>
      <c r="AM68" s="1" t="s">
        <v>213</v>
      </c>
      <c r="AS68" s="1" t="s">
        <v>213</v>
      </c>
    </row>
    <row r="69" spans="2:47">
      <c r="B69" s="10" t="s">
        <v>110</v>
      </c>
      <c r="E69" s="1" t="s">
        <v>110</v>
      </c>
      <c r="F69" s="1" t="s">
        <v>110</v>
      </c>
      <c r="G69" s="1" t="s">
        <v>110</v>
      </c>
      <c r="H69" s="1" t="s">
        <v>110</v>
      </c>
      <c r="I69" s="1" t="s">
        <v>110</v>
      </c>
      <c r="J69" s="1" t="s">
        <v>110</v>
      </c>
      <c r="K69" s="1" t="s">
        <v>110</v>
      </c>
      <c r="L69" s="1" t="s">
        <v>110</v>
      </c>
      <c r="M69" s="1" t="s">
        <v>41</v>
      </c>
      <c r="S69" s="1" t="s">
        <v>41</v>
      </c>
      <c r="AB69" s="10" t="s">
        <v>110</v>
      </c>
      <c r="AE69" s="1" t="s">
        <v>110</v>
      </c>
      <c r="AF69" s="1" t="s">
        <v>110</v>
      </c>
      <c r="AG69" s="1" t="s">
        <v>110</v>
      </c>
      <c r="AH69" s="1" t="s">
        <v>110</v>
      </c>
      <c r="AI69" s="1" t="s">
        <v>110</v>
      </c>
      <c r="AJ69" s="1" t="s">
        <v>110</v>
      </c>
      <c r="AK69" s="1" t="s">
        <v>110</v>
      </c>
      <c r="AL69" s="1" t="s">
        <v>110</v>
      </c>
      <c r="AM69" s="1" t="s">
        <v>41</v>
      </c>
      <c r="AS69" s="1" t="s">
        <v>41</v>
      </c>
    </row>
    <row r="70" spans="2:47">
      <c r="B70" s="10" t="s">
        <v>111</v>
      </c>
      <c r="E70" s="1" t="s">
        <v>111</v>
      </c>
      <c r="F70" s="1" t="s">
        <v>111</v>
      </c>
      <c r="G70" s="1" t="s">
        <v>111</v>
      </c>
      <c r="H70" s="1" t="s">
        <v>111</v>
      </c>
      <c r="I70" s="1" t="s">
        <v>111</v>
      </c>
      <c r="J70" s="1" t="s">
        <v>111</v>
      </c>
      <c r="K70" s="1" t="s">
        <v>111</v>
      </c>
      <c r="L70" s="1" t="s">
        <v>111</v>
      </c>
      <c r="M70" s="1" t="s">
        <v>214</v>
      </c>
      <c r="S70" s="1" t="s">
        <v>214</v>
      </c>
      <c r="AB70" s="10" t="s">
        <v>111</v>
      </c>
      <c r="AE70" s="1" t="s">
        <v>111</v>
      </c>
      <c r="AF70" s="1" t="s">
        <v>111</v>
      </c>
      <c r="AG70" s="1" t="s">
        <v>111</v>
      </c>
      <c r="AH70" s="1" t="s">
        <v>111</v>
      </c>
      <c r="AI70" s="1" t="s">
        <v>111</v>
      </c>
      <c r="AJ70" s="1" t="s">
        <v>111</v>
      </c>
      <c r="AK70" s="1" t="s">
        <v>111</v>
      </c>
      <c r="AL70" s="1" t="s">
        <v>111</v>
      </c>
      <c r="AM70" s="1" t="s">
        <v>214</v>
      </c>
      <c r="AS70" s="1" t="s">
        <v>214</v>
      </c>
    </row>
    <row r="71" spans="2:47">
      <c r="B71" s="10" t="s">
        <v>112</v>
      </c>
      <c r="E71" s="1" t="s">
        <v>112</v>
      </c>
      <c r="F71" s="1" t="s">
        <v>112</v>
      </c>
      <c r="G71" s="1" t="s">
        <v>112</v>
      </c>
      <c r="H71" s="1" t="s">
        <v>112</v>
      </c>
      <c r="I71" s="1" t="s">
        <v>112</v>
      </c>
      <c r="J71" s="1" t="s">
        <v>112</v>
      </c>
      <c r="K71" s="1" t="s">
        <v>112</v>
      </c>
      <c r="L71" s="1" t="s">
        <v>112</v>
      </c>
      <c r="M71" s="1" t="s">
        <v>215</v>
      </c>
      <c r="S71" s="1" t="s">
        <v>215</v>
      </c>
      <c r="AB71" s="10" t="s">
        <v>112</v>
      </c>
      <c r="AE71" s="1" t="s">
        <v>112</v>
      </c>
      <c r="AF71" s="1" t="s">
        <v>112</v>
      </c>
      <c r="AG71" s="1" t="s">
        <v>112</v>
      </c>
      <c r="AH71" s="1" t="s">
        <v>112</v>
      </c>
      <c r="AI71" s="1" t="s">
        <v>112</v>
      </c>
      <c r="AJ71" s="1" t="s">
        <v>112</v>
      </c>
      <c r="AK71" s="1" t="s">
        <v>112</v>
      </c>
      <c r="AL71" s="1" t="s">
        <v>112</v>
      </c>
      <c r="AM71" s="1" t="s">
        <v>215</v>
      </c>
      <c r="AS71" s="1" t="s">
        <v>215</v>
      </c>
    </row>
    <row r="72" spans="2:47">
      <c r="B72" s="10" t="s">
        <v>69</v>
      </c>
      <c r="E72" s="1" t="s">
        <v>9</v>
      </c>
      <c r="F72" s="1" t="s">
        <v>74</v>
      </c>
      <c r="G72" s="1" t="s">
        <v>10</v>
      </c>
      <c r="H72" s="1" t="s">
        <v>75</v>
      </c>
      <c r="I72" s="1" t="s">
        <v>56</v>
      </c>
      <c r="J72" s="1" t="s">
        <v>58</v>
      </c>
      <c r="K72" s="1" t="s">
        <v>164</v>
      </c>
      <c r="L72" s="1" t="s">
        <v>202</v>
      </c>
      <c r="M72" s="1" t="s">
        <v>46</v>
      </c>
      <c r="S72" s="1" t="s">
        <v>46</v>
      </c>
      <c r="AB72" s="10" t="s">
        <v>69</v>
      </c>
      <c r="AE72" s="1" t="s">
        <v>9</v>
      </c>
      <c r="AF72" s="1" t="s">
        <v>74</v>
      </c>
      <c r="AG72" s="1" t="s">
        <v>10</v>
      </c>
      <c r="AH72" s="1" t="s">
        <v>75</v>
      </c>
      <c r="AI72" s="1" t="s">
        <v>56</v>
      </c>
      <c r="AJ72" s="1" t="s">
        <v>58</v>
      </c>
      <c r="AK72" s="1" t="s">
        <v>164</v>
      </c>
      <c r="AL72" s="1" t="s">
        <v>202</v>
      </c>
      <c r="AM72" s="1" t="s">
        <v>46</v>
      </c>
      <c r="AS72" s="1" t="s">
        <v>46</v>
      </c>
    </row>
    <row r="73" spans="2:47">
      <c r="M73" s="1" t="s">
        <v>216</v>
      </c>
      <c r="S73" s="1" t="s">
        <v>216</v>
      </c>
      <c r="AM73" s="1" t="s">
        <v>216</v>
      </c>
      <c r="AS73" s="1" t="s">
        <v>216</v>
      </c>
    </row>
    <row r="74" spans="2:47">
      <c r="M74" s="1" t="s">
        <v>217</v>
      </c>
      <c r="S74" s="1" t="s">
        <v>217</v>
      </c>
      <c r="AM74" s="1" t="s">
        <v>217</v>
      </c>
      <c r="AS74" s="1" t="s">
        <v>217</v>
      </c>
    </row>
    <row r="75" spans="2:47">
      <c r="M75" s="1" t="s">
        <v>218</v>
      </c>
      <c r="S75" s="1" t="s">
        <v>218</v>
      </c>
      <c r="AM75" s="1" t="s">
        <v>218</v>
      </c>
      <c r="AS75" s="1" t="s">
        <v>218</v>
      </c>
    </row>
    <row r="98" spans="18:46">
      <c r="R98" s="10"/>
      <c r="S98" s="10"/>
      <c r="T98" s="10"/>
      <c r="U98" s="10"/>
      <c r="V98" s="10"/>
      <c r="W98" s="10"/>
      <c r="X98" s="10"/>
      <c r="Y98" s="10"/>
      <c r="AR98" s="10"/>
      <c r="AS98" s="10"/>
      <c r="AT98" s="10"/>
    </row>
    <row r="99" spans="18:46">
      <c r="R99" s="10"/>
      <c r="S99" s="10"/>
      <c r="T99" s="10"/>
      <c r="U99" s="10"/>
      <c r="V99" s="10"/>
      <c r="W99" s="10"/>
      <c r="X99" s="10"/>
      <c r="Y99" s="10"/>
      <c r="AR99" s="10"/>
      <c r="AS99" s="10"/>
      <c r="AT99" s="10"/>
    </row>
    <row r="100" spans="18:46">
      <c r="R100" s="10"/>
      <c r="S100" s="10"/>
      <c r="T100" s="10"/>
      <c r="U100" s="10"/>
      <c r="V100" s="10"/>
      <c r="W100" s="10"/>
      <c r="X100" s="10"/>
      <c r="Y100" s="10"/>
      <c r="AR100" s="10"/>
      <c r="AS100" s="10"/>
      <c r="AT100" s="10"/>
    </row>
    <row r="101" spans="18:46">
      <c r="R101" s="10"/>
      <c r="S101" s="10"/>
      <c r="T101" s="10"/>
      <c r="U101" s="10"/>
      <c r="V101" s="10"/>
      <c r="W101" s="10"/>
      <c r="X101" s="10"/>
      <c r="Y101" s="10"/>
      <c r="AR101" s="10"/>
      <c r="AS101" s="10"/>
      <c r="AT101" s="10"/>
    </row>
    <row r="102" spans="18:46">
      <c r="R102" s="10"/>
      <c r="S102" s="10"/>
      <c r="T102" s="10"/>
      <c r="U102" s="10"/>
      <c r="V102" s="10"/>
      <c r="W102" s="10"/>
      <c r="X102" s="10"/>
      <c r="Y102" s="10"/>
      <c r="AR102" s="10"/>
      <c r="AS102" s="10"/>
      <c r="AT102" s="10"/>
    </row>
    <row r="103" spans="18:46">
      <c r="R103" s="10"/>
      <c r="S103" s="10"/>
      <c r="T103" s="10"/>
      <c r="U103" s="10"/>
      <c r="V103" s="10"/>
      <c r="W103" s="10"/>
      <c r="X103" s="10"/>
      <c r="Y103" s="10"/>
      <c r="AR103" s="10"/>
      <c r="AS103" s="10"/>
      <c r="AT103" s="10"/>
    </row>
    <row r="104" spans="18:46">
      <c r="R104" s="10"/>
      <c r="S104" s="10"/>
      <c r="T104" s="10"/>
      <c r="U104" s="10"/>
      <c r="V104" s="10"/>
      <c r="W104" s="10"/>
      <c r="X104" s="10"/>
      <c r="Y104" s="10"/>
      <c r="AR104" s="10"/>
      <c r="AS104" s="10"/>
      <c r="AT104" s="10"/>
    </row>
    <row r="105" spans="18:46">
      <c r="R105" s="10"/>
      <c r="S105" s="10"/>
      <c r="T105" s="10"/>
      <c r="U105" s="10"/>
      <c r="V105" s="10"/>
      <c r="W105" s="10"/>
      <c r="X105" s="10"/>
      <c r="Y105" s="10"/>
      <c r="AR105" s="10"/>
      <c r="AS105" s="10"/>
      <c r="AT105" s="10"/>
    </row>
    <row r="106" spans="18:46">
      <c r="R106" s="10"/>
      <c r="S106" s="10"/>
      <c r="T106" s="10"/>
      <c r="U106" s="10"/>
      <c r="V106" s="10"/>
      <c r="W106" s="10"/>
      <c r="X106" s="10"/>
      <c r="Y106" s="10"/>
      <c r="AR106" s="10"/>
      <c r="AS106" s="10"/>
      <c r="AT106" s="10"/>
    </row>
    <row r="107" spans="18:46">
      <c r="R107" s="10"/>
      <c r="S107" s="10"/>
      <c r="T107" s="10"/>
      <c r="U107" s="10"/>
      <c r="V107" s="10"/>
      <c r="W107" s="10"/>
      <c r="X107" s="10"/>
      <c r="Y107" s="10"/>
      <c r="AR107" s="10"/>
      <c r="AS107" s="10"/>
      <c r="AT107" s="10"/>
    </row>
    <row r="108" spans="18:46">
      <c r="R108" s="10"/>
      <c r="S108" s="10"/>
      <c r="T108" s="10"/>
      <c r="U108" s="10"/>
      <c r="V108" s="10"/>
      <c r="W108" s="10"/>
      <c r="X108" s="10"/>
      <c r="Y108" s="10"/>
      <c r="AR108" s="10"/>
      <c r="AS108" s="10"/>
      <c r="AT108" s="10"/>
    </row>
    <row r="109" spans="18:46">
      <c r="R109" s="10"/>
      <c r="S109" s="10"/>
      <c r="T109" s="10"/>
      <c r="U109" s="10"/>
      <c r="V109" s="10"/>
      <c r="W109" s="10"/>
      <c r="X109" s="10"/>
      <c r="Y109" s="10"/>
      <c r="AR109" s="10"/>
      <c r="AS109" s="10"/>
      <c r="AT109" s="10"/>
    </row>
    <row r="110" spans="18:46">
      <c r="R110" s="10"/>
      <c r="S110" s="10"/>
      <c r="T110" s="10"/>
      <c r="U110" s="10"/>
      <c r="V110" s="10"/>
      <c r="W110" s="10"/>
      <c r="X110" s="10"/>
      <c r="Y110" s="10"/>
      <c r="AR110" s="10"/>
      <c r="AS110" s="10"/>
      <c r="AT110" s="10"/>
    </row>
    <row r="111" spans="18:46">
      <c r="R111" s="10"/>
      <c r="S111" s="10"/>
      <c r="T111" s="10"/>
      <c r="U111" s="10"/>
      <c r="V111" s="10"/>
      <c r="W111" s="10"/>
      <c r="X111" s="10"/>
      <c r="Y111" s="10"/>
      <c r="AR111" s="10"/>
      <c r="AS111" s="10"/>
      <c r="AT111" s="10"/>
    </row>
    <row r="112" spans="18:46">
      <c r="R112" s="10"/>
      <c r="S112" s="10"/>
      <c r="T112" s="10"/>
      <c r="U112" s="10"/>
      <c r="V112" s="10"/>
      <c r="W112" s="10"/>
      <c r="X112" s="10"/>
      <c r="Y112" s="10"/>
      <c r="AR112" s="10"/>
      <c r="AS112" s="10"/>
      <c r="AT112" s="10"/>
    </row>
    <row r="113" spans="18:46">
      <c r="R113" s="10"/>
      <c r="S113" s="10"/>
      <c r="T113" s="10"/>
      <c r="U113" s="10"/>
      <c r="V113" s="10"/>
      <c r="W113" s="10"/>
      <c r="X113" s="10"/>
      <c r="Y113" s="10"/>
      <c r="AR113" s="10"/>
      <c r="AS113" s="10"/>
      <c r="AT113" s="10"/>
    </row>
    <row r="114" spans="18:46">
      <c r="R114" s="10"/>
      <c r="S114" s="10"/>
      <c r="T114" s="10"/>
      <c r="U114" s="10"/>
      <c r="V114" s="10"/>
      <c r="W114" s="10"/>
      <c r="X114" s="10"/>
      <c r="Y114" s="10"/>
      <c r="AR114" s="10"/>
      <c r="AS114" s="10"/>
      <c r="AT114" s="10"/>
    </row>
    <row r="115" spans="18:46">
      <c r="R115" s="10"/>
      <c r="S115" s="10"/>
      <c r="T115" s="10"/>
      <c r="U115" s="10"/>
      <c r="V115" s="10"/>
      <c r="W115" s="10"/>
      <c r="X115" s="10"/>
      <c r="Y115" s="10"/>
      <c r="AR115" s="10"/>
      <c r="AS115" s="10"/>
      <c r="AT115" s="10"/>
    </row>
    <row r="116" spans="18:46">
      <c r="R116" s="10"/>
      <c r="S116" s="10"/>
      <c r="T116" s="10"/>
      <c r="U116" s="10"/>
      <c r="V116" s="10"/>
      <c r="W116" s="10"/>
      <c r="X116" s="10"/>
      <c r="Y116" s="10"/>
      <c r="AR116" s="10"/>
      <c r="AS116" s="10"/>
      <c r="AT116" s="10"/>
    </row>
    <row r="117" spans="18:46">
      <c r="R117" s="10"/>
      <c r="S117" s="10"/>
      <c r="T117" s="10"/>
      <c r="U117" s="10"/>
      <c r="V117" s="10"/>
      <c r="W117" s="10"/>
      <c r="X117" s="10"/>
      <c r="Y117" s="10"/>
      <c r="AR117" s="10"/>
      <c r="AS117" s="10"/>
      <c r="AT117" s="10"/>
    </row>
    <row r="118" spans="18:46">
      <c r="R118" s="10"/>
      <c r="S118" s="10"/>
      <c r="T118" s="10"/>
      <c r="U118" s="10"/>
      <c r="V118" s="10"/>
      <c r="W118" s="10"/>
      <c r="X118" s="10"/>
      <c r="Y118" s="10"/>
      <c r="AR118" s="10"/>
      <c r="AS118" s="10"/>
      <c r="AT118" s="10"/>
    </row>
    <row r="119" spans="18:46">
      <c r="R119" s="10"/>
      <c r="S119" s="10"/>
      <c r="T119" s="10"/>
      <c r="U119" s="10"/>
      <c r="V119" s="10"/>
      <c r="W119" s="10"/>
      <c r="X119" s="10"/>
      <c r="Y119" s="10"/>
      <c r="AR119" s="10"/>
      <c r="AS119" s="10"/>
      <c r="AT119" s="10"/>
    </row>
    <row r="120" spans="18:46">
      <c r="R120" s="10"/>
      <c r="S120" s="10"/>
      <c r="T120" s="10"/>
      <c r="U120" s="10"/>
      <c r="V120" s="10"/>
      <c r="W120" s="10"/>
      <c r="X120" s="10"/>
      <c r="Y120" s="10"/>
      <c r="AR120" s="10"/>
      <c r="AS120" s="10"/>
      <c r="AT120" s="10"/>
    </row>
    <row r="121" spans="18:46">
      <c r="R121" s="10"/>
      <c r="S121" s="10"/>
      <c r="T121" s="10"/>
      <c r="U121" s="10"/>
      <c r="V121" s="10"/>
      <c r="W121" s="10"/>
      <c r="X121" s="10"/>
      <c r="Y121" s="10"/>
      <c r="AR121" s="10"/>
      <c r="AS121" s="10"/>
      <c r="AT121" s="10"/>
    </row>
    <row r="122" spans="18:46">
      <c r="R122" s="10"/>
      <c r="S122" s="10"/>
      <c r="T122" s="10"/>
      <c r="U122" s="10"/>
      <c r="V122" s="10"/>
      <c r="W122" s="10"/>
      <c r="X122" s="10"/>
      <c r="Y122" s="10"/>
      <c r="AR122" s="10"/>
      <c r="AS122" s="10"/>
      <c r="AT122" s="10"/>
    </row>
    <row r="123" spans="18:46">
      <c r="R123" s="10"/>
      <c r="S123" s="10"/>
      <c r="T123" s="10"/>
      <c r="U123" s="10"/>
      <c r="V123" s="10"/>
      <c r="W123" s="10"/>
      <c r="X123" s="10"/>
      <c r="Y123" s="10"/>
      <c r="AR123" s="10"/>
      <c r="AS123" s="10"/>
      <c r="AT123" s="10"/>
    </row>
    <row r="124" spans="18:46">
      <c r="R124" s="10"/>
      <c r="S124" s="10"/>
      <c r="T124" s="10"/>
      <c r="U124" s="10"/>
      <c r="V124" s="10"/>
      <c r="W124" s="10"/>
      <c r="X124" s="10"/>
      <c r="Y124" s="10"/>
      <c r="AR124" s="10"/>
      <c r="AS124" s="10"/>
      <c r="AT124" s="10"/>
    </row>
    <row r="125" spans="18:46">
      <c r="R125" s="10"/>
      <c r="S125" s="10"/>
      <c r="T125" s="10"/>
      <c r="U125" s="10"/>
      <c r="V125" s="10"/>
      <c r="W125" s="10"/>
      <c r="X125" s="10"/>
      <c r="Y125" s="10"/>
      <c r="AR125" s="10"/>
      <c r="AS125" s="10"/>
      <c r="AT125" s="10"/>
    </row>
    <row r="126" spans="18:46">
      <c r="R126" s="10"/>
      <c r="S126" s="10"/>
      <c r="T126" s="10"/>
      <c r="U126" s="10"/>
      <c r="V126" s="10"/>
      <c r="W126" s="10"/>
      <c r="X126" s="10"/>
      <c r="Y126" s="10"/>
      <c r="AR126" s="10"/>
      <c r="AS126" s="10"/>
      <c r="AT126" s="10"/>
    </row>
    <row r="127" spans="18:46">
      <c r="R127" s="10"/>
      <c r="S127" s="10"/>
      <c r="T127" s="10"/>
      <c r="U127" s="10"/>
      <c r="V127" s="10"/>
      <c r="W127" s="10"/>
      <c r="X127" s="10"/>
      <c r="Y127" s="10"/>
      <c r="AR127" s="10"/>
      <c r="AS127" s="10"/>
      <c r="AT127" s="10"/>
    </row>
    <row r="128" spans="18:46">
      <c r="R128" s="10"/>
      <c r="S128" s="10"/>
      <c r="T128" s="10"/>
      <c r="U128" s="10"/>
      <c r="V128" s="10"/>
      <c r="W128" s="10"/>
      <c r="X128" s="10"/>
      <c r="Y128" s="10"/>
      <c r="AR128" s="10"/>
      <c r="AS128" s="10"/>
      <c r="AT128" s="10"/>
    </row>
    <row r="129" spans="18:46">
      <c r="R129" s="10"/>
      <c r="S129" s="10"/>
      <c r="T129" s="10"/>
      <c r="U129" s="10"/>
      <c r="V129" s="10"/>
      <c r="W129" s="10"/>
      <c r="X129" s="10"/>
      <c r="Y129" s="10"/>
      <c r="AR129" s="10"/>
      <c r="AS129" s="10"/>
      <c r="AT129" s="10"/>
    </row>
  </sheetData>
  <hyperlinks>
    <hyperlink ref="AM75" r:id="rId1" display="www.nces.ed.gov" xr:uid="{00000000-0004-0000-0700-000000000000}"/>
    <hyperlink ref="M75" r:id="rId2" display="www.nces.ed.gov" xr:uid="{00000000-0004-0000-0700-000001000000}"/>
    <hyperlink ref="S75" r:id="rId3" display="www.nces.ed.gov" xr:uid="{00000000-0004-0000-0700-000002000000}"/>
    <hyperlink ref="AS75" r:id="rId4" display="www.nces.ed.gov" xr:uid="{00000000-0004-0000-0700-000003000000}"/>
  </hyperlinks>
  <pageMargins left="0.75" right="0.75" top="1" bottom="1" header="0.5" footer="0.5"/>
  <headerFooter alignWithMargins="0"/>
  <legacy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7"/>
  </sheetPr>
  <dimension ref="A1:AW61"/>
  <sheetViews>
    <sheetView topLeftCell="U1" zoomScale="80" zoomScaleNormal="80" workbookViewId="0">
      <selection activeCell="AW2" sqref="AW2"/>
    </sheetView>
  </sheetViews>
  <sheetFormatPr defaultRowHeight="12.75"/>
  <cols>
    <col min="1" max="1" width="17.5703125" style="33" customWidth="1"/>
    <col min="2" max="16384" width="9.140625" style="33"/>
  </cols>
  <sheetData>
    <row r="1" spans="1:49" s="32" customFormat="1">
      <c r="A1" s="38"/>
      <c r="B1" s="35" t="s">
        <v>59</v>
      </c>
      <c r="C1" s="34" t="s">
        <v>2</v>
      </c>
      <c r="D1" s="34" t="s">
        <v>60</v>
      </c>
      <c r="E1" s="34" t="s">
        <v>3</v>
      </c>
      <c r="F1" s="34" t="s">
        <v>61</v>
      </c>
      <c r="G1" s="34" t="s">
        <v>4</v>
      </c>
      <c r="H1" s="34" t="s">
        <v>62</v>
      </c>
      <c r="I1" s="34" t="s">
        <v>5</v>
      </c>
      <c r="J1" s="34" t="s">
        <v>63</v>
      </c>
      <c r="K1" s="34" t="s">
        <v>6</v>
      </c>
      <c r="L1" s="34" t="s">
        <v>64</v>
      </c>
      <c r="M1" s="34" t="s">
        <v>7</v>
      </c>
      <c r="N1" s="34" t="s">
        <v>8</v>
      </c>
      <c r="O1" s="34" t="s">
        <v>65</v>
      </c>
      <c r="P1" s="34" t="s">
        <v>66</v>
      </c>
      <c r="Q1" s="34" t="s">
        <v>67</v>
      </c>
      <c r="R1" s="34" t="s">
        <v>68</v>
      </c>
      <c r="S1" s="34" t="s">
        <v>69</v>
      </c>
      <c r="T1" s="34" t="s">
        <v>70</v>
      </c>
      <c r="U1" s="34" t="s">
        <v>71</v>
      </c>
      <c r="V1" s="34" t="s">
        <v>72</v>
      </c>
      <c r="W1" s="34" t="s">
        <v>73</v>
      </c>
      <c r="X1" s="34" t="s">
        <v>9</v>
      </c>
      <c r="Y1" s="34" t="s">
        <v>74</v>
      </c>
      <c r="Z1" s="34" t="s">
        <v>10</v>
      </c>
      <c r="AA1" s="34" t="s">
        <v>75</v>
      </c>
      <c r="AB1" s="36" t="s">
        <v>56</v>
      </c>
      <c r="AC1" s="34" t="s">
        <v>58</v>
      </c>
      <c r="AD1" s="34" t="s">
        <v>164</v>
      </c>
      <c r="AE1" s="34" t="s">
        <v>201</v>
      </c>
      <c r="AF1" s="34" t="s">
        <v>202</v>
      </c>
      <c r="AG1" s="34" t="s">
        <v>225</v>
      </c>
      <c r="AH1" s="34" t="s">
        <v>226</v>
      </c>
      <c r="AI1" s="34" t="s">
        <v>210</v>
      </c>
      <c r="AJ1" s="34" t="s">
        <v>221</v>
      </c>
      <c r="AK1" s="34" t="s">
        <v>222</v>
      </c>
      <c r="AL1" s="34" t="s">
        <v>227</v>
      </c>
      <c r="AM1" s="34" t="s">
        <v>236</v>
      </c>
      <c r="AN1" s="34" t="s">
        <v>240</v>
      </c>
      <c r="AO1" s="34" t="s">
        <v>242</v>
      </c>
      <c r="AP1" s="34" t="s">
        <v>258</v>
      </c>
      <c r="AQ1" s="34" t="s">
        <v>259</v>
      </c>
      <c r="AR1" s="34" t="s">
        <v>262</v>
      </c>
      <c r="AS1" s="34" t="s">
        <v>263</v>
      </c>
      <c r="AT1" s="34" t="s">
        <v>265</v>
      </c>
      <c r="AU1" s="34" t="s">
        <v>266</v>
      </c>
      <c r="AV1" s="34" t="s">
        <v>269</v>
      </c>
      <c r="AW1" s="34" t="s">
        <v>270</v>
      </c>
    </row>
    <row r="2" spans="1:49">
      <c r="A2" s="52" t="s">
        <v>248</v>
      </c>
      <c r="B2" s="37">
        <f>(Gender!AX4/'Total Bachelor''s'!D4)*100</f>
        <v>42.840242232634019</v>
      </c>
      <c r="C2" s="37">
        <f>(Gender!AY4/'Total Bachelor''s'!E4)*100</f>
        <v>43.512940898113506</v>
      </c>
      <c r="D2" s="37">
        <f>(Gender!AZ4/'Total Bachelor''s'!F4)*100</f>
        <v>43.737458969480755</v>
      </c>
      <c r="E2" s="37">
        <f>(Gender!BA4/'Total Bachelor''s'!G4)*100</f>
        <v>43.974505577720883</v>
      </c>
      <c r="F2" s="37">
        <f>(Gender!BB4/'Total Bachelor''s'!H4)*100</f>
        <v>44.393687355190238</v>
      </c>
      <c r="G2" s="37">
        <f>(Gender!BC4/'Total Bachelor''s'!I4)*100</f>
        <v>45.449129916774652</v>
      </c>
      <c r="H2" s="37">
        <f>(Gender!BD4/'Total Bachelor''s'!J4)*100</f>
        <v>45.61226093506972</v>
      </c>
      <c r="I2" s="37">
        <f>(Gender!BE4/'Total Bachelor''s'!K4)*100</f>
        <v>46.249263727393704</v>
      </c>
      <c r="J2" s="37">
        <f>(Gender!BF4/'Total Bachelor''s'!L4)*100</f>
        <v>47.270795765939013</v>
      </c>
      <c r="K2" s="37">
        <f>(Gender!BG4/'Total Bachelor''s'!M4)*100</f>
        <v>48.361013724202451</v>
      </c>
      <c r="L2" s="37">
        <f>(Gender!BH4/'Total Bachelor''s'!N4)*100</f>
        <v>49.183593269232844</v>
      </c>
      <c r="M2" s="37">
        <f>(Gender!BI4/'Total Bachelor''s'!O4)*100</f>
        <v>49.904332251996252</v>
      </c>
      <c r="N2" s="37">
        <f>(Gender!BJ4/'Total Bachelor''s'!P4)*100</f>
        <v>50.473915185923005</v>
      </c>
      <c r="O2" s="37">
        <f>(Gender!BK4/'Total Bachelor''s'!Q4)*100</f>
        <v>50.73329689622048</v>
      </c>
      <c r="P2" s="37">
        <f>(Gender!BL4/'Total Bachelor''s'!R4)*100</f>
        <v>50.661680833152154</v>
      </c>
      <c r="Q2" s="37">
        <f>(Gender!BM4/'Total Bachelor''s'!S4)*100</f>
        <v>50.899676534615715</v>
      </c>
      <c r="R2" s="37">
        <f>(Gender!BN4/'Total Bachelor''s'!T4)*100</f>
        <v>50.966537009262979</v>
      </c>
      <c r="S2" s="37">
        <f>(Gender!BO4/'Total Bachelor''s'!U4)*100</f>
        <v>51.64190647409189</v>
      </c>
      <c r="T2" s="37">
        <f>(Gender!BP4/'Total Bachelor''s'!V4)*100</f>
        <v>52.145161844303779</v>
      </c>
      <c r="U2" s="37">
        <f>(Gender!BQ4/'Total Bachelor''s'!W4)*100</f>
        <v>52.64205055730676</v>
      </c>
      <c r="V2" s="37">
        <f>(Gender!BR4/'Total Bachelor''s'!X4)*100</f>
        <v>53.368083285387556</v>
      </c>
      <c r="W2" s="37">
        <f>(Gender!BS4/'Total Bachelor''s'!Y4)*100</f>
        <v>54.079088320759197</v>
      </c>
      <c r="X2" s="37">
        <f>(Gender!BT4/'Total Bachelor''s'!Z4)*100</f>
        <v>54.305449289021738</v>
      </c>
      <c r="Y2" s="37">
        <f>(Gender!BU4/'Total Bachelor''s'!AA4)*100</f>
        <v>54.397783311655942</v>
      </c>
      <c r="Z2" s="37">
        <f>(Gender!BV4/'Total Bachelor''s'!AB4)*100</f>
        <v>54.591492321851774</v>
      </c>
      <c r="AA2" s="37">
        <f>(Gender!BW4/'Total Bachelor''s'!AC4)*100</f>
        <v>54.769762717724859</v>
      </c>
      <c r="AB2" s="37">
        <f>(Gender!BX4/'Total Bachelor''s'!AD4)*100</f>
        <v>55.264757333039483</v>
      </c>
      <c r="AC2" s="37">
        <f>(Gender!BY4/'Total Bachelor''s'!AE4)*100</f>
        <v>55.732763668661001</v>
      </c>
      <c r="AD2" s="37">
        <f>(Gender!BZ4/'Total Bachelor''s'!AF4)*100</f>
        <v>56.210514731713921</v>
      </c>
      <c r="AE2" s="37">
        <f>(Gender!CA4/'Total Bachelor''s'!AG4)*100</f>
        <v>56.888039962282711</v>
      </c>
      <c r="AF2" s="37">
        <f>(Gender!CB4/'Total Bachelor''s'!AH4)*100</f>
        <v>57.258765927190446</v>
      </c>
      <c r="AG2" s="37">
        <f>(Gender!CC4/'Total Bachelor''s'!AI4)*100</f>
        <v>57.35331560712271</v>
      </c>
      <c r="AH2" s="37">
        <f>(Gender!CD4/'Total Bachelor''s'!AJ4)*100</f>
        <v>57.547442876487494</v>
      </c>
      <c r="AI2" s="37">
        <f>(Gender!CE4/'Total Bachelor''s'!AK4)*100</f>
        <v>57.606276785674467</v>
      </c>
      <c r="AJ2" s="37">
        <f>(Gender!CF4/'Total Bachelor''s'!AL4)*100</f>
        <v>57.558405371043776</v>
      </c>
      <c r="AK2" s="37">
        <f>(Gender!CG4/'Total Bachelor''s'!AM4)*100</f>
        <v>57.505528219164724</v>
      </c>
      <c r="AL2" s="37">
        <f>(Gender!CH4/'Total Bachelor''s'!AN4)*100</f>
        <v>57.664755516574509</v>
      </c>
      <c r="AM2" s="37">
        <f>(Gender!CI4/'Total Bachelor''s'!AO4)*100</f>
        <v>57.470921955033674</v>
      </c>
      <c r="AN2" s="37">
        <f>(Gender!CJ4/'Total Bachelor''s'!AP4)*100</f>
        <v>57.353590944098976</v>
      </c>
      <c r="AO2" s="37">
        <f>(Gender!CK4/'Total Bachelor''s'!AQ4)*100</f>
        <v>57.287909017856478</v>
      </c>
      <c r="AP2" s="37">
        <f>(Gender!CL4/'Total Bachelor''s'!AR4)*100</f>
        <v>57.243289136937825</v>
      </c>
      <c r="AQ2" s="37">
        <f>(Gender!CM4/'Total Bachelor''s'!AS4)*100</f>
        <v>57.256783175284575</v>
      </c>
      <c r="AR2" s="37">
        <f>(Gender!CN4/'Total Bachelor''s'!AT4)*100</f>
        <v>57.404079368538433</v>
      </c>
      <c r="AS2" s="37">
        <f>(Gender!CO4/'Total Bachelor''s'!AU4)*100</f>
        <v>57.327813028192544</v>
      </c>
      <c r="AT2" s="37" t="e">
        <f>(Gender!CP4/'Total Bachelor''s'!AV4)*100</f>
        <v>#DIV/0!</v>
      </c>
      <c r="AU2" s="37">
        <f>(Gender!CQ4/'Total Bachelor''s'!AW4)*100</f>
        <v>57.230612315234865</v>
      </c>
      <c r="AV2" s="37">
        <f>(Gender!CR4/'Total Bachelor''s'!AX4)*100</f>
        <v>57.307006393796655</v>
      </c>
      <c r="AW2" s="37">
        <f>(Gender!CS4/'Total Bachelor''s'!AY4)*100</f>
        <v>57.290251418624159</v>
      </c>
    </row>
    <row r="3" spans="1:49">
      <c r="A3" s="54" t="s">
        <v>57</v>
      </c>
      <c r="B3" s="37">
        <f>(Gender!AX5/'Total Bachelor''s'!D5)*100</f>
        <v>42.371925642377427</v>
      </c>
      <c r="C3" s="37">
        <f>(Gender!AY5/'Total Bachelor''s'!E5)*100</f>
        <v>44.005052425470168</v>
      </c>
      <c r="D3" s="37">
        <f>(Gender!AZ5/'Total Bachelor''s'!F5)*100</f>
        <v>44.325211358301658</v>
      </c>
      <c r="E3" s="37">
        <f>(Gender!BA5/'Total Bachelor''s'!G5)*100</f>
        <v>44.481859311266071</v>
      </c>
      <c r="F3" s="37">
        <f>(Gender!BB5/'Total Bachelor''s'!H5)*100</f>
        <v>45.021881009706391</v>
      </c>
      <c r="G3" s="37">
        <f>(Gender!BC5/'Total Bachelor''s'!I5)*100</f>
        <v>46.210223617995382</v>
      </c>
      <c r="H3" s="37">
        <f>(Gender!BD5/'Total Bachelor''s'!J5)*100</f>
        <v>46.180768942516679</v>
      </c>
      <c r="I3" s="37">
        <f>(Gender!BE5/'Total Bachelor''s'!K5)*100</f>
        <v>47.031829610670755</v>
      </c>
      <c r="J3" s="37">
        <f>(Gender!BF5/'Total Bachelor''s'!L5)*100</f>
        <v>48.02364530548077</v>
      </c>
      <c r="K3" s="37">
        <f>(Gender!BG5/'Total Bachelor''s'!M5)*100</f>
        <v>49.195051623104831</v>
      </c>
      <c r="L3" s="37">
        <f>(Gender!BH5/'Total Bachelor''s'!N5)*100</f>
        <v>50.229437197551682</v>
      </c>
      <c r="M3" s="37">
        <f>(Gender!BI5/'Total Bachelor''s'!O5)*100</f>
        <v>50.549462601447679</v>
      </c>
      <c r="N3" s="37">
        <f>(Gender!BJ5/'Total Bachelor''s'!P5)*100</f>
        <v>51.100776890250579</v>
      </c>
      <c r="O3" s="37">
        <f>(Gender!BK5/'Total Bachelor''s'!Q5)*100</f>
        <v>51.504414020459308</v>
      </c>
      <c r="P3" s="37">
        <f>(Gender!BL5/'Total Bachelor''s'!R5)*100</f>
        <v>51.324213581458878</v>
      </c>
      <c r="Q3" s="37">
        <f>(Gender!BM5/'Total Bachelor''s'!S5)*100</f>
        <v>51.558038790981584</v>
      </c>
      <c r="R3" s="37">
        <f>(Gender!BN5/'Total Bachelor''s'!T5)*100</f>
        <v>51.798970048741843</v>
      </c>
      <c r="S3" s="37">
        <f>(Gender!BO5/'Total Bachelor''s'!U5)*100</f>
        <v>52.509923356612276</v>
      </c>
      <c r="T3" s="37">
        <f>(Gender!BP5/'Total Bachelor''s'!V5)*100</f>
        <v>52.781497513832235</v>
      </c>
      <c r="U3" s="37">
        <f>(Gender!BQ5/'Total Bachelor''s'!W5)*100</f>
        <v>53.524125041327331</v>
      </c>
      <c r="V3" s="37">
        <f>(Gender!BR5/'Total Bachelor''s'!X5)*100</f>
        <v>54.258899508163708</v>
      </c>
      <c r="W3" s="37">
        <f>(Gender!BS5/'Total Bachelor''s'!Y5)*100</f>
        <v>55.207447412779366</v>
      </c>
      <c r="X3" s="37">
        <f>(Gender!BT5/'Total Bachelor''s'!Z5)*100</f>
        <v>55.239816176795706</v>
      </c>
      <c r="Y3" s="37">
        <f>(Gender!BU5/'Total Bachelor''s'!AA5)*100</f>
        <v>55.490090450900695</v>
      </c>
      <c r="Z3" s="37">
        <f>(Gender!BV5/'Total Bachelor''s'!AB5)*100</f>
        <v>55.411394419884452</v>
      </c>
      <c r="AA3" s="37">
        <f>(Gender!BW5/'Total Bachelor''s'!AC5)*100</f>
        <v>55.736698707711795</v>
      </c>
      <c r="AB3" s="37">
        <f>(Gender!BX5/'Total Bachelor''s'!AD5)*100</f>
        <v>56.107372953828637</v>
      </c>
      <c r="AC3" s="37">
        <f>(Gender!BY5/'Total Bachelor''s'!AE5)*100</f>
        <v>56.40572731398322</v>
      </c>
      <c r="AD3" s="37">
        <f>(Gender!BZ5/'Total Bachelor''s'!AF5)*100</f>
        <v>56.944028813885382</v>
      </c>
      <c r="AE3" s="37">
        <f>(Gender!CA5/'Total Bachelor''s'!AG5)*100</f>
        <v>57.52286477008861</v>
      </c>
      <c r="AF3" s="37">
        <f>(Gender!CB5/'Total Bachelor''s'!AH5)*100</f>
        <v>57.903304116730126</v>
      </c>
      <c r="AG3" s="37">
        <f>(Gender!CC5/'Total Bachelor''s'!AI5)*100</f>
        <v>57.853501188592574</v>
      </c>
      <c r="AH3" s="37">
        <f>(Gender!CD5/'Total Bachelor''s'!AJ5)*100</f>
        <v>58.223588805812412</v>
      </c>
      <c r="AI3" s="37">
        <f>(Gender!CE5/'Total Bachelor''s'!AK5)*100</f>
        <v>58.458616383143791</v>
      </c>
      <c r="AJ3" s="37">
        <f>(Gender!CF5/'Total Bachelor''s'!AL5)*100</f>
        <v>58.419362525388919</v>
      </c>
      <c r="AK3" s="37">
        <f>(Gender!CG5/'Total Bachelor''s'!AM5)*100</f>
        <v>58.538705975814288</v>
      </c>
      <c r="AL3" s="37">
        <f>(Gender!CH5/'Total Bachelor''s'!AN5)*100</f>
        <v>58.897322098582791</v>
      </c>
      <c r="AM3" s="37">
        <f>(Gender!CI5/'Total Bachelor''s'!AO5)*100</f>
        <v>58.579112952094768</v>
      </c>
      <c r="AN3" s="37">
        <f>(Gender!CJ5/'Total Bachelor''s'!AP5)*100</f>
        <v>58.452163878596828</v>
      </c>
      <c r="AO3" s="37">
        <f>(Gender!CK5/'Total Bachelor''s'!AQ5)*100</f>
        <v>58.386905398702602</v>
      </c>
      <c r="AP3" s="37">
        <f>(Gender!CL5/'Total Bachelor''s'!AR5)*100</f>
        <v>58.292137887783412</v>
      </c>
      <c r="AQ3" s="37">
        <f>(Gender!CM5/'Total Bachelor''s'!AS5)*100</f>
        <v>58.29304229195089</v>
      </c>
      <c r="AR3" s="37">
        <f>(Gender!CN5/'Total Bachelor''s'!AT5)*100</f>
        <v>58.026205879371872</v>
      </c>
      <c r="AS3" s="37">
        <f>(Gender!CO5/'Total Bachelor''s'!AU5)*100</f>
        <v>57.894754645689538</v>
      </c>
      <c r="AT3" s="37" t="e">
        <f>(Gender!CP5/'Total Bachelor''s'!AV5)*100</f>
        <v>#DIV/0!</v>
      </c>
      <c r="AU3" s="37">
        <f>(Gender!CQ5/'Total Bachelor''s'!AW5)*100</f>
        <v>57.868469038586376</v>
      </c>
      <c r="AV3" s="37">
        <f>(Gender!CR5/'Total Bachelor''s'!AX5)*100</f>
        <v>58.116173953000086</v>
      </c>
      <c r="AW3" s="37">
        <f>(Gender!CS5/'Total Bachelor''s'!AY5)*100</f>
        <v>58.228157086839637</v>
      </c>
    </row>
    <row r="4" spans="1:49">
      <c r="A4" s="56"/>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row>
    <row r="5" spans="1:49">
      <c r="A5" s="54" t="s">
        <v>12</v>
      </c>
      <c r="B5" s="37">
        <f>(Gender!AX7/'Total Bachelor''s'!D7)*100</f>
        <v>43.728629157600245</v>
      </c>
      <c r="C5" s="37">
        <f>(Gender!AY7/'Total Bachelor''s'!E7)*100</f>
        <v>44.192307692307693</v>
      </c>
      <c r="D5" s="37">
        <f>(Gender!AZ7/'Total Bachelor''s'!F7)*100</f>
        <v>44.728828306264504</v>
      </c>
      <c r="E5" s="37">
        <f>(Gender!BA7/'Total Bachelor''s'!G7)*100</f>
        <v>45.068890500362578</v>
      </c>
      <c r="F5" s="37">
        <f>(Gender!BB7/'Total Bachelor''s'!H7)*100</f>
        <v>46.028541594152458</v>
      </c>
      <c r="G5" s="37">
        <f>(Gender!BC7/'Total Bachelor''s'!I7)*100</f>
        <v>45.623770722112958</v>
      </c>
      <c r="H5" s="37">
        <f>(Gender!BD7/'Total Bachelor''s'!J7)*100</f>
        <v>46.815846403461329</v>
      </c>
      <c r="I5" s="37">
        <f>(Gender!BE7/'Total Bachelor''s'!K7)*100</f>
        <v>47.231675392670155</v>
      </c>
      <c r="J5" s="37">
        <f>(Gender!BF7/'Total Bachelor''s'!L7)*100</f>
        <v>47.273291925465841</v>
      </c>
      <c r="K5" s="37">
        <f>(Gender!BG7/'Total Bachelor''s'!M7)*100</f>
        <v>48.736616702355462</v>
      </c>
      <c r="L5" s="37">
        <f>(Gender!BH7/'Total Bachelor''s'!N7)*100</f>
        <v>50.165583220900281</v>
      </c>
      <c r="M5" s="37">
        <f>(Gender!BI7/'Total Bachelor''s'!O7)*100</f>
        <v>50.423370025402207</v>
      </c>
      <c r="N5" s="37">
        <f>(Gender!BJ7/'Total Bachelor''s'!P7)*100</f>
        <v>50.742946519882096</v>
      </c>
      <c r="O5" s="37">
        <f>(Gender!BK7/'Total Bachelor''s'!Q7)*100</f>
        <v>51.162360485909851</v>
      </c>
      <c r="P5" s="37">
        <f>(Gender!BL7/'Total Bachelor''s'!R7)*100</f>
        <v>51.681438179646747</v>
      </c>
      <c r="Q5" s="37">
        <f>(Gender!BM7/'Total Bachelor''s'!S7)*100</f>
        <v>51.481572180727319</v>
      </c>
      <c r="R5" s="37">
        <f>(Gender!BN7/'Total Bachelor''s'!T7)*100</f>
        <v>51.879512073686826</v>
      </c>
      <c r="S5" s="37">
        <f>(Gender!BO7/'Total Bachelor''s'!U7)*100</f>
        <v>52.895148669796555</v>
      </c>
      <c r="T5" s="37">
        <f>(Gender!BP7/'Total Bachelor''s'!V7)*100</f>
        <v>52.845728334357709</v>
      </c>
      <c r="U5" s="37">
        <f>(Gender!BQ7/'Total Bachelor''s'!W7)*100</f>
        <v>54.052580566997818</v>
      </c>
      <c r="V5" s="37">
        <f>(Gender!BR7/'Total Bachelor''s'!X7)*100</f>
        <v>54.736719069604348</v>
      </c>
      <c r="W5" s="37">
        <f>(Gender!BS7/'Total Bachelor''s'!Y7)*100</f>
        <v>55.467555167140048</v>
      </c>
      <c r="X5" s="37">
        <f>(Gender!BT7/'Total Bachelor''s'!Z7)*100</f>
        <v>55.334216425514569</v>
      </c>
      <c r="Y5" s="37">
        <f>(Gender!BU7/'Total Bachelor''s'!AA7)*100</f>
        <v>56.414129110840442</v>
      </c>
      <c r="Z5" s="37">
        <f>(Gender!BV7/'Total Bachelor''s'!AB7)*100</f>
        <v>56.085106382978722</v>
      </c>
      <c r="AA5" s="37">
        <f>(Gender!BW7/'Total Bachelor''s'!AC7)*100</f>
        <v>56.414374623569564</v>
      </c>
      <c r="AB5" s="37">
        <f>(Gender!BX7/'Total Bachelor''s'!AD7)*100</f>
        <v>56.320867316490954</v>
      </c>
      <c r="AC5" s="37">
        <f>(Gender!BY7/'Total Bachelor''s'!AE7)*100</f>
        <v>57.620961883082288</v>
      </c>
      <c r="AD5" s="37">
        <f>(Gender!BZ7/'Total Bachelor''s'!AF7)*100</f>
        <v>57.836242930907304</v>
      </c>
      <c r="AE5" s="37">
        <f>(Gender!CA7/'Total Bachelor''s'!AG7)*100</f>
        <v>57.861789015503497</v>
      </c>
      <c r="AF5" s="37">
        <f>(Gender!CB7/'Total Bachelor''s'!AH7)*100</f>
        <v>58.761095195604184</v>
      </c>
      <c r="AG5" s="37">
        <f>(Gender!CC7/'Total Bachelor''s'!AI7)*100</f>
        <v>58.060798155885315</v>
      </c>
      <c r="AH5" s="37">
        <f>(Gender!CD7/'Total Bachelor''s'!AJ7)*100</f>
        <v>58.422762626759869</v>
      </c>
      <c r="AI5" s="37">
        <f>(Gender!CE7/'Total Bachelor''s'!AK7)*100</f>
        <v>59.206992528932076</v>
      </c>
      <c r="AJ5" s="37">
        <f>(Gender!CF7/'Total Bachelor''s'!AL7)*100</f>
        <v>59.674553446179743</v>
      </c>
      <c r="AK5" s="37">
        <f>(Gender!CG7/'Total Bachelor''s'!AM7)*100</f>
        <v>59.220022205773503</v>
      </c>
      <c r="AL5" s="37">
        <f>(Gender!CH7/'Total Bachelor''s'!AN7)*100</f>
        <v>59.222550579677204</v>
      </c>
      <c r="AM5" s="37">
        <f>(Gender!CI7/'Total Bachelor''s'!AO7)*100</f>
        <v>59.041899822574038</v>
      </c>
      <c r="AN5" s="37">
        <f>(Gender!CJ7/'Total Bachelor''s'!AP7)*100</f>
        <v>59.015694302285901</v>
      </c>
      <c r="AO5" s="37">
        <f>(Gender!CK7/'Total Bachelor''s'!AQ7)*100</f>
        <v>58.849247267477836</v>
      </c>
      <c r="AP5" s="37">
        <f>(Gender!CL7/'Total Bachelor''s'!AR7)*100</f>
        <v>57.053230457485782</v>
      </c>
      <c r="AQ5" s="37">
        <f>(Gender!CM7/'Total Bachelor''s'!AS7)*100</f>
        <v>58.42489405116936</v>
      </c>
      <c r="AR5" s="37">
        <f>(Gender!CN7/'Total Bachelor''s'!AT7)*100</f>
        <v>56.277561135609901</v>
      </c>
      <c r="AS5" s="37">
        <f>(Gender!CO7/'Total Bachelor''s'!AU7)*100</f>
        <v>56.083274759848713</v>
      </c>
      <c r="AT5" s="37" t="e">
        <f>(Gender!CP7/'Total Bachelor''s'!AV7)*100</f>
        <v>#DIV/0!</v>
      </c>
      <c r="AU5" s="37">
        <f>(Gender!CQ7/'Total Bachelor''s'!AW7)*100</f>
        <v>58.667065152420804</v>
      </c>
      <c r="AV5" s="37">
        <f>(Gender!CR7/'Total Bachelor''s'!AX7)*100</f>
        <v>58.221966067504773</v>
      </c>
      <c r="AW5" s="37">
        <f>(Gender!CS7/'Total Bachelor''s'!AY7)*100</f>
        <v>58.57988165680473</v>
      </c>
    </row>
    <row r="6" spans="1:49">
      <c r="A6" s="54" t="s">
        <v>13</v>
      </c>
      <c r="B6" s="37">
        <f>(Gender!AX8/'Total Bachelor''s'!D8)*100</f>
        <v>42.678742966927409</v>
      </c>
      <c r="C6" s="37">
        <f>(Gender!AY8/'Total Bachelor''s'!E8)*100</f>
        <v>44.398682042833606</v>
      </c>
      <c r="D6" s="37">
        <f>(Gender!AZ8/'Total Bachelor''s'!F8)*100</f>
        <v>45.239769371396427</v>
      </c>
      <c r="E6" s="37">
        <f>(Gender!BA8/'Total Bachelor''s'!G8)*100</f>
        <v>44.385176866928695</v>
      </c>
      <c r="F6" s="37">
        <f>(Gender!BB8/'Total Bachelor''s'!H8)*100</f>
        <v>45.401563610518835</v>
      </c>
      <c r="G6" s="37">
        <f>(Gender!BC8/'Total Bachelor''s'!I8)*100</f>
        <v>46.619979991424898</v>
      </c>
      <c r="H6" s="37">
        <f>(Gender!BD8/'Total Bachelor''s'!J8)*100</f>
        <v>46.630262968817362</v>
      </c>
      <c r="I6" s="37">
        <f>(Gender!BE8/'Total Bachelor''s'!K8)*100</f>
        <v>48.001823431089505</v>
      </c>
      <c r="J6" s="37">
        <f>(Gender!BF8/'Total Bachelor''s'!L8)*100</f>
        <v>48.666053357865685</v>
      </c>
      <c r="K6" s="37">
        <f>(Gender!BG8/'Total Bachelor''s'!M8)*100</f>
        <v>50.864639236732259</v>
      </c>
      <c r="L6" s="37">
        <f>(Gender!BH8/'Total Bachelor''s'!N8)*100</f>
        <v>51.270638908829866</v>
      </c>
      <c r="M6" s="37">
        <f>(Gender!BI8/'Total Bachelor''s'!O8)*100</f>
        <v>51.056793673616106</v>
      </c>
      <c r="N6" s="37">
        <f>(Gender!BJ8/'Total Bachelor''s'!P8)*100</f>
        <v>51.415159464310364</v>
      </c>
      <c r="O6" s="37">
        <f>(Gender!BK8/'Total Bachelor''s'!Q8)*100</f>
        <v>51.977478714638835</v>
      </c>
      <c r="P6" s="37">
        <f>(Gender!BL8/'Total Bachelor''s'!R8)*100</f>
        <v>51.715785224061364</v>
      </c>
      <c r="Q6" s="37">
        <f>(Gender!BM8/'Total Bachelor''s'!S8)*100</f>
        <v>50.496295260729759</v>
      </c>
      <c r="R6" s="37">
        <f>(Gender!BN8/'Total Bachelor''s'!T8)*100</f>
        <v>52.835370039818756</v>
      </c>
      <c r="S6" s="37">
        <f>(Gender!BO8/'Total Bachelor''s'!U8)*100</f>
        <v>51.932916429789657</v>
      </c>
      <c r="T6" s="37">
        <f>(Gender!BP8/'Total Bachelor''s'!V8)*100</f>
        <v>54.909505486675215</v>
      </c>
      <c r="U6" s="37">
        <f>(Gender!BQ8/'Total Bachelor''s'!W8)*100</f>
        <v>53.972602739726028</v>
      </c>
      <c r="V6" s="37">
        <f>(Gender!BR8/'Total Bachelor''s'!X8)*100</f>
        <v>55.797488645471546</v>
      </c>
      <c r="W6" s="37">
        <f>(Gender!BS8/'Total Bachelor''s'!Y8)*100</f>
        <v>56.63087074653901</v>
      </c>
      <c r="X6" s="37">
        <f>(Gender!BT8/'Total Bachelor''s'!Z8)*100</f>
        <v>56.6211729988934</v>
      </c>
      <c r="Y6" s="37">
        <f>(Gender!BU8/'Total Bachelor''s'!AA8)*100</f>
        <v>56.349863889217659</v>
      </c>
      <c r="Z6" s="37">
        <f>(Gender!BV8/'Total Bachelor''s'!AB8)*100</f>
        <v>56.380863258860678</v>
      </c>
      <c r="AA6" s="37">
        <f>(Gender!BW8/'Total Bachelor''s'!AC8)*100</f>
        <v>57.20746839846921</v>
      </c>
      <c r="AB6" s="37">
        <f>(Gender!BX8/'Total Bachelor''s'!AD8)*100</f>
        <v>57.423892735465429</v>
      </c>
      <c r="AC6" s="37">
        <f>(Gender!BY8/'Total Bachelor''s'!AE8)*100</f>
        <v>56.142826134143696</v>
      </c>
      <c r="AD6" s="37">
        <f>(Gender!BZ8/'Total Bachelor''s'!AF8)*100</f>
        <v>56.061591845586648</v>
      </c>
      <c r="AE6" s="37">
        <f>(Gender!CA8/'Total Bachelor''s'!AG8)*100</f>
        <v>57.947664359861598</v>
      </c>
      <c r="AF6" s="37">
        <f>(Gender!CB8/'Total Bachelor''s'!AH8)*100</f>
        <v>58.096757044125468</v>
      </c>
      <c r="AG6" s="37">
        <f>(Gender!CC8/'Total Bachelor''s'!AI8)*100</f>
        <v>58.807644370585791</v>
      </c>
      <c r="AH6" s="37">
        <f>(Gender!CD8/'Total Bachelor''s'!AJ8)*100</f>
        <v>58.344909704306417</v>
      </c>
      <c r="AI6" s="37">
        <f>(Gender!CE8/'Total Bachelor''s'!AK8)*100</f>
        <v>58.36087243886319</v>
      </c>
      <c r="AJ6" s="37">
        <f>(Gender!CF8/'Total Bachelor''s'!AL8)*100</f>
        <v>57.956231454005938</v>
      </c>
      <c r="AK6" s="37">
        <f>(Gender!CG8/'Total Bachelor''s'!AM8)*100</f>
        <v>58.243231167902778</v>
      </c>
      <c r="AL6" s="37">
        <f>(Gender!CH8/'Total Bachelor''s'!AN8)*100</f>
        <v>59.294532627865962</v>
      </c>
      <c r="AM6" s="37">
        <f>(Gender!CI8/'Total Bachelor''s'!AO8)*100</f>
        <v>59.430263960275283</v>
      </c>
      <c r="AN6" s="37">
        <f>(Gender!CJ8/'Total Bachelor''s'!AP8)*100</f>
        <v>58.994297563504404</v>
      </c>
      <c r="AO6" s="37">
        <f>(Gender!CK8/'Total Bachelor''s'!AQ8)*100</f>
        <v>59.008896649205958</v>
      </c>
      <c r="AP6" s="37">
        <f>(Gender!CL8/'Total Bachelor''s'!AR8)*100</f>
        <v>58.843727541323965</v>
      </c>
      <c r="AQ6" s="37">
        <f>(Gender!CM8/'Total Bachelor''s'!AS8)*100</f>
        <v>57.138547401764839</v>
      </c>
      <c r="AR6" s="37">
        <f>(Gender!CN8/'Total Bachelor''s'!AT8)*100</f>
        <v>57.847628444569729</v>
      </c>
      <c r="AS6" s="37">
        <f>(Gender!CO8/'Total Bachelor''s'!AU8)*100</f>
        <v>58.164548121245986</v>
      </c>
      <c r="AT6" s="37" t="e">
        <f>(Gender!CP8/'Total Bachelor''s'!AV8)*100</f>
        <v>#DIV/0!</v>
      </c>
      <c r="AU6" s="37">
        <f>(Gender!CQ8/'Total Bachelor''s'!AW8)*100</f>
        <v>57.496379321201438</v>
      </c>
      <c r="AV6" s="37">
        <f>(Gender!CR8/'Total Bachelor''s'!AX8)*100</f>
        <v>58.393158124726888</v>
      </c>
      <c r="AW6" s="37">
        <f>(Gender!CS8/'Total Bachelor''s'!AY8)*100</f>
        <v>57.962376606444401</v>
      </c>
    </row>
    <row r="7" spans="1:49">
      <c r="A7" s="54" t="s">
        <v>55</v>
      </c>
      <c r="B7" s="37">
        <f>(Gender!AX9/'Total Bachelor''s'!D9)*100</f>
        <v>47.292889758643177</v>
      </c>
      <c r="C7" s="37">
        <f>(Gender!AY9/'Total Bachelor''s'!E9)*100</f>
        <v>47.815230961298376</v>
      </c>
      <c r="D7" s="37">
        <f>(Gender!AZ9/'Total Bachelor''s'!F9)*100</f>
        <v>44.127436994769376</v>
      </c>
      <c r="E7" s="37">
        <f>(Gender!BA9/'Total Bachelor''s'!G9)*100</f>
        <v>46.25568887050062</v>
      </c>
      <c r="F7" s="37">
        <f>(Gender!BB9/'Total Bachelor''s'!H9)*100</f>
        <v>46.177969423755385</v>
      </c>
      <c r="G7" s="37">
        <f>(Gender!BC9/'Total Bachelor''s'!I9)*100</f>
        <v>48.883285302593663</v>
      </c>
      <c r="H7" s="37">
        <f>(Gender!BD9/'Total Bachelor''s'!J9)*100</f>
        <v>50.854700854700852</v>
      </c>
      <c r="I7" s="37">
        <f>(Gender!BE9/'Total Bachelor''s'!K9)*100</f>
        <v>49.96684350132626</v>
      </c>
      <c r="J7" s="37">
        <f>(Gender!BF9/'Total Bachelor''s'!L9)*100</f>
        <v>51.284617951284616</v>
      </c>
      <c r="K7" s="37">
        <f>(Gender!BG9/'Total Bachelor''s'!M9)*100</f>
        <v>52.079921388797899</v>
      </c>
      <c r="L7" s="37">
        <f>(Gender!BH9/'Total Bachelor''s'!N9)*100</f>
        <v>53.998778998778995</v>
      </c>
      <c r="M7" s="37">
        <f>(Gender!BI9/'Total Bachelor''s'!O9)*100</f>
        <v>53.13087038196619</v>
      </c>
      <c r="N7" s="37">
        <f>(Gender!BJ9/'Total Bachelor''s'!P9)*100</f>
        <v>56.203473945409435</v>
      </c>
      <c r="O7" s="37">
        <f>(Gender!BK9/'Total Bachelor''s'!Q9)*100</f>
        <v>56.903383114903995</v>
      </c>
      <c r="P7" s="37">
        <f>(Gender!BL9/'Total Bachelor''s'!R9)*100</f>
        <v>57.61131167268352</v>
      </c>
      <c r="Q7" s="37">
        <f>(Gender!BM9/'Total Bachelor''s'!S9)*100</f>
        <v>57.25215173732866</v>
      </c>
      <c r="R7" s="37">
        <f>(Gender!BN9/'Total Bachelor''s'!T9)*100</f>
        <v>56.629143214509071</v>
      </c>
      <c r="S7" s="37">
        <f>(Gender!BO9/'Total Bachelor''s'!U9)*100</f>
        <v>59.519408502772642</v>
      </c>
      <c r="T7" s="37">
        <f>(Gender!BP9/'Total Bachelor''s'!V9)*100</f>
        <v>59.340028694404587</v>
      </c>
      <c r="U7" s="37">
        <f>(Gender!BQ9/'Total Bachelor''s'!W9)*100</f>
        <v>59.080257762155831</v>
      </c>
      <c r="V7" s="37">
        <f>(Gender!BR9/'Total Bachelor''s'!X9)*100</f>
        <v>59.790901384571917</v>
      </c>
      <c r="W7" s="37">
        <f>(Gender!BS9/'Total Bachelor''s'!Y9)*100</f>
        <v>59.031936127744508</v>
      </c>
      <c r="X7" s="37">
        <f>(Gender!BT9/'Total Bachelor''s'!Z9)*100</f>
        <v>59.281727735986408</v>
      </c>
      <c r="Y7" s="37">
        <f>(Gender!BU9/'Total Bachelor''s'!AA9)*100</f>
        <v>57.271182325807231</v>
      </c>
      <c r="Z7" s="37">
        <f>(Gender!BV9/'Total Bachelor''s'!AB9)*100</f>
        <v>58.68163362789587</v>
      </c>
      <c r="AA7" s="37">
        <f>(Gender!BW9/'Total Bachelor''s'!AC9)*100</f>
        <v>60.300044782803411</v>
      </c>
      <c r="AB7" s="37">
        <f>(Gender!BX9/'Total Bachelor''s'!AD9)*100</f>
        <v>59.032846715328468</v>
      </c>
      <c r="AC7" s="37">
        <f>(Gender!BY9/'Total Bachelor''s'!AE9)*100</f>
        <v>60.244577757268111</v>
      </c>
      <c r="AD7" s="37">
        <f>(Gender!BZ9/'Total Bachelor''s'!AF9)*100</f>
        <v>58.691715708465367</v>
      </c>
      <c r="AE7" s="37">
        <f>(Gender!CA9/'Total Bachelor''s'!AG9)*100</f>
        <v>60.54018445322793</v>
      </c>
      <c r="AF7" s="37">
        <f>(Gender!CB9/'Total Bachelor''s'!AH9)*100</f>
        <v>61.843515541264736</v>
      </c>
      <c r="AG7" s="37">
        <f>(Gender!CC9/'Total Bachelor''s'!AI9)*100</f>
        <v>62.588809946714029</v>
      </c>
      <c r="AH7" s="37">
        <f>(Gender!CD9/'Total Bachelor''s'!AJ9)*100</f>
        <v>60.94003241491086</v>
      </c>
      <c r="AI7" s="37">
        <f>(Gender!CE9/'Total Bachelor''s'!AK9)*100</f>
        <v>62.27730441518203</v>
      </c>
      <c r="AJ7" s="37">
        <f>(Gender!CF9/'Total Bachelor''s'!AL9)*100</f>
        <v>62.16428151342874</v>
      </c>
      <c r="AK7" s="37">
        <f>(Gender!CG9/'Total Bachelor''s'!AM9)*100</f>
        <v>61.425576519916149</v>
      </c>
      <c r="AL7" s="37">
        <f>(Gender!CH9/'Total Bachelor''s'!AN9)*100</f>
        <v>62.070240295748611</v>
      </c>
      <c r="AM7" s="37">
        <f>(Gender!CI9/'Total Bachelor''s'!AO9)*100</f>
        <v>60.531977312732252</v>
      </c>
      <c r="AN7" s="37">
        <f>(Gender!CJ9/'Total Bachelor''s'!AP9)*100</f>
        <v>61.518226230740325</v>
      </c>
      <c r="AO7" s="37">
        <f>(Gender!CK9/'Total Bachelor''s'!AQ9)*100</f>
        <v>61.805555555555557</v>
      </c>
      <c r="AP7" s="37">
        <f>(Gender!CL9/'Total Bachelor''s'!AR9)*100</f>
        <v>62.017479970866717</v>
      </c>
      <c r="AQ7" s="37">
        <f>(Gender!CM9/'Total Bachelor''s'!AS9)*100</f>
        <v>62.191594350859283</v>
      </c>
      <c r="AR7" s="37">
        <f>(Gender!CN9/'Total Bachelor''s'!AT9)*100</f>
        <v>61.223449447748514</v>
      </c>
      <c r="AS7" s="37">
        <f>(Gender!CO9/'Total Bachelor''s'!AU9)*100</f>
        <v>61.621187800963085</v>
      </c>
      <c r="AT7" s="37" t="e">
        <f>(Gender!CP9/'Total Bachelor''s'!AV9)*100</f>
        <v>#DIV/0!</v>
      </c>
      <c r="AU7" s="37">
        <f>(Gender!CQ9/'Total Bachelor''s'!AW9)*100</f>
        <v>63.161711385061636</v>
      </c>
      <c r="AV7" s="37">
        <f>(Gender!CR9/'Total Bachelor''s'!AX9)*100</f>
        <v>61.791642816256442</v>
      </c>
      <c r="AW7" s="37">
        <f>(Gender!CS9/'Total Bachelor''s'!AY9)*100</f>
        <v>62.810999563509384</v>
      </c>
    </row>
    <row r="8" spans="1:49">
      <c r="A8" s="54" t="s">
        <v>14</v>
      </c>
      <c r="B8" s="37">
        <f>(Gender!AX10/'Total Bachelor''s'!D10)*100</f>
        <v>40.135538360390434</v>
      </c>
      <c r="C8" s="37">
        <f>(Gender!AY10/'Total Bachelor''s'!E10)*100</f>
        <v>40.978359528017961</v>
      </c>
      <c r="D8" s="37">
        <f>(Gender!AZ10/'Total Bachelor''s'!F10)*100</f>
        <v>41.723276504360783</v>
      </c>
      <c r="E8" s="37">
        <f>(Gender!BA10/'Total Bachelor''s'!G10)*100</f>
        <v>40.495629226455549</v>
      </c>
      <c r="F8" s="37">
        <f>(Gender!BB10/'Total Bachelor''s'!H10)*100</f>
        <v>41.878749487647646</v>
      </c>
      <c r="G8" s="37">
        <f>(Gender!BC10/'Total Bachelor''s'!I10)*100</f>
        <v>43.286588378368108</v>
      </c>
      <c r="H8" s="37">
        <f>(Gender!BD10/'Total Bachelor''s'!J10)*100</f>
        <v>42.726942628903416</v>
      </c>
      <c r="I8" s="37">
        <f>(Gender!BE10/'Total Bachelor''s'!K10)*100</f>
        <v>43.049469964664311</v>
      </c>
      <c r="J8" s="37">
        <f>(Gender!BF10/'Total Bachelor''s'!L10)*100</f>
        <v>44.490457328051853</v>
      </c>
      <c r="K8" s="37">
        <f>(Gender!BG10/'Total Bachelor''s'!M10)*100</f>
        <v>44.823475791466535</v>
      </c>
      <c r="L8" s="37">
        <f>(Gender!BH10/'Total Bachelor''s'!N10)*100</f>
        <v>46.096615320129935</v>
      </c>
      <c r="M8" s="37">
        <f>(Gender!BI10/'Total Bachelor''s'!O10)*100</f>
        <v>46.745364812591703</v>
      </c>
      <c r="N8" s="37">
        <f>(Gender!BJ10/'Total Bachelor''s'!P10)*100</f>
        <v>46.266984171452584</v>
      </c>
      <c r="O8" s="37">
        <f>(Gender!BK10/'Total Bachelor''s'!Q10)*100</f>
        <v>47.453822473063113</v>
      </c>
      <c r="P8" s="37">
        <f>(Gender!BL10/'Total Bachelor''s'!R10)*100</f>
        <v>47.618098465218253</v>
      </c>
      <c r="Q8" s="37">
        <f>(Gender!BM10/'Total Bachelor''s'!S10)*100</f>
        <v>48.745565534213306</v>
      </c>
      <c r="R8" s="37">
        <f>(Gender!BN10/'Total Bachelor''s'!T10)*100</f>
        <v>48.618043424007986</v>
      </c>
      <c r="S8" s="37">
        <f>(Gender!BO10/'Total Bachelor''s'!U10)*100</f>
        <v>50.439070951320396</v>
      </c>
      <c r="T8" s="37">
        <f>(Gender!BP10/'Total Bachelor''s'!V10)*100</f>
        <v>50.109754212397583</v>
      </c>
      <c r="U8" s="37">
        <f>(Gender!BQ10/'Total Bachelor''s'!W10)*100</f>
        <v>51.446869767031934</v>
      </c>
      <c r="V8" s="37">
        <f>(Gender!BR10/'Total Bachelor''s'!X10)*100</f>
        <v>51.983146067415731</v>
      </c>
      <c r="W8" s="37">
        <f>(Gender!BS10/'Total Bachelor''s'!Y10)*100</f>
        <v>53.017186014848306</v>
      </c>
      <c r="X8" s="37">
        <f>(Gender!BT10/'Total Bachelor''s'!Z10)*100</f>
        <v>53.679727427597953</v>
      </c>
      <c r="Y8" s="37">
        <f>(Gender!BU10/'Total Bachelor''s'!AA10)*100</f>
        <v>53.311580116634275</v>
      </c>
      <c r="Z8" s="37">
        <f>(Gender!BV10/'Total Bachelor''s'!AB10)*100</f>
        <v>53.914917753828703</v>
      </c>
      <c r="AA8" s="37">
        <f>(Gender!BW10/'Total Bachelor''s'!AC10)*100</f>
        <v>53.759683020211909</v>
      </c>
      <c r="AB8" s="37">
        <f>(Gender!BX10/'Total Bachelor''s'!AD10)*100</f>
        <v>54.157759495584202</v>
      </c>
      <c r="AC8" s="37">
        <f>(Gender!BY10/'Total Bachelor''s'!AE10)*100</f>
        <v>54.664422470018934</v>
      </c>
      <c r="AD8" s="37">
        <f>(Gender!BZ10/'Total Bachelor''s'!AF10)*100</f>
        <v>55.755937519344656</v>
      </c>
      <c r="AE8" s="37">
        <f>(Gender!CA10/'Total Bachelor''s'!AG10)*100</f>
        <v>55.845833922190145</v>
      </c>
      <c r="AF8" s="37">
        <f>(Gender!CB10/'Total Bachelor''s'!AH10)*100</f>
        <v>56.375041396372708</v>
      </c>
      <c r="AG8" s="37">
        <f>(Gender!CC10/'Total Bachelor''s'!AI10)*100</f>
        <v>56.877295127195239</v>
      </c>
      <c r="AH8" s="37">
        <f>(Gender!CD10/'Total Bachelor''s'!AJ10)*100</f>
        <v>57.125871768025419</v>
      </c>
      <c r="AI8" s="37">
        <f>(Gender!CE10/'Total Bachelor''s'!AK10)*100</f>
        <v>57.499197269024727</v>
      </c>
      <c r="AJ8" s="37">
        <f>(Gender!CF10/'Total Bachelor''s'!AL10)*100</f>
        <v>57.263065354244183</v>
      </c>
      <c r="AK8" s="37">
        <f>(Gender!CG10/'Total Bachelor''s'!AM10)*100</f>
        <v>57.953492610762616</v>
      </c>
      <c r="AL8" s="37">
        <f>(Gender!CH10/'Total Bachelor''s'!AN10)*100</f>
        <v>57.937881800884128</v>
      </c>
      <c r="AM8" s="37">
        <f>(Gender!CI10/'Total Bachelor''s'!AO10)*100</f>
        <v>57.733438016081436</v>
      </c>
      <c r="AN8" s="37">
        <f>(Gender!CJ10/'Total Bachelor''s'!AP10)*100</f>
        <v>57.574231861605995</v>
      </c>
      <c r="AO8" s="37">
        <f>(Gender!CK10/'Total Bachelor''s'!AQ10)*100</f>
        <v>57.087511678604798</v>
      </c>
      <c r="AP8" s="37">
        <f>(Gender!CL10/'Total Bachelor''s'!AR10)*100</f>
        <v>57.538682979489018</v>
      </c>
      <c r="AQ8" s="37">
        <f>(Gender!CM10/'Total Bachelor''s'!AS10)*100</f>
        <v>57.489732940439453</v>
      </c>
      <c r="AR8" s="37">
        <f>(Gender!CN10/'Total Bachelor''s'!AT10)*100</f>
        <v>57.497543689213202</v>
      </c>
      <c r="AS8" s="37">
        <f>(Gender!CO10/'Total Bachelor''s'!AU10)*100</f>
        <v>57.558350207822663</v>
      </c>
      <c r="AT8" s="37" t="e">
        <f>(Gender!CP10/'Total Bachelor''s'!AV10)*100</f>
        <v>#DIV/0!</v>
      </c>
      <c r="AU8" s="37">
        <f>(Gender!CQ10/'Total Bachelor''s'!AW10)*100</f>
        <v>57.388230109766845</v>
      </c>
      <c r="AV8" s="37">
        <f>(Gender!CR10/'Total Bachelor''s'!AX10)*100</f>
        <v>57.435228810462171</v>
      </c>
      <c r="AW8" s="37">
        <f>(Gender!CS10/'Total Bachelor''s'!AY10)*100</f>
        <v>57.638470946824825</v>
      </c>
    </row>
    <row r="9" spans="1:49">
      <c r="A9" s="54" t="s">
        <v>15</v>
      </c>
      <c r="B9" s="37">
        <f>(Gender!AX11/'Total Bachelor''s'!D11)*100</f>
        <v>44.180864064409455</v>
      </c>
      <c r="C9" s="37">
        <f>(Gender!AY11/'Total Bachelor''s'!E11)*100</f>
        <v>43.348547992326516</v>
      </c>
      <c r="D9" s="37">
        <f>(Gender!AZ11/'Total Bachelor''s'!F11)*100</f>
        <v>44.542198202727327</v>
      </c>
      <c r="E9" s="37">
        <f>(Gender!BA11/'Total Bachelor''s'!G11)*100</f>
        <v>44.716816367265473</v>
      </c>
      <c r="F9" s="37">
        <f>(Gender!BB11/'Total Bachelor''s'!H11)*100</f>
        <v>45.009160215117312</v>
      </c>
      <c r="G9" s="37">
        <f>(Gender!BC11/'Total Bachelor''s'!I11)*100</f>
        <v>47.407363207828631</v>
      </c>
      <c r="H9" s="37">
        <f>(Gender!BD11/'Total Bachelor''s'!J11)*100</f>
        <v>46.840569352629387</v>
      </c>
      <c r="I9" s="37">
        <f>(Gender!BE11/'Total Bachelor''s'!K11)*100</f>
        <v>46.895035720827991</v>
      </c>
      <c r="J9" s="37">
        <f>(Gender!BF11/'Total Bachelor''s'!L11)*100</f>
        <v>48.162191914867591</v>
      </c>
      <c r="K9" s="37">
        <f>(Gender!BG11/'Total Bachelor''s'!M11)*100</f>
        <v>48.596219398822441</v>
      </c>
      <c r="L9" s="37">
        <f>(Gender!BH11/'Total Bachelor''s'!N11)*100</f>
        <v>50.437300199046987</v>
      </c>
      <c r="M9" s="37">
        <f>(Gender!BI11/'Total Bachelor''s'!O11)*100</f>
        <v>50.699424003761607</v>
      </c>
      <c r="N9" s="37">
        <f>(Gender!BJ11/'Total Bachelor''s'!P11)*100</f>
        <v>51.422799422799429</v>
      </c>
      <c r="O9" s="37">
        <f>(Gender!BK11/'Total Bachelor''s'!Q11)*100</f>
        <v>51.975446428571423</v>
      </c>
      <c r="P9" s="37">
        <f>(Gender!BL11/'Total Bachelor''s'!R11)*100</f>
        <v>51.631813313792904</v>
      </c>
      <c r="Q9" s="37">
        <f>(Gender!BM11/'Total Bachelor''s'!S11)*100</f>
        <v>51.687408293027545</v>
      </c>
      <c r="R9" s="37">
        <f>(Gender!BN11/'Total Bachelor''s'!T11)*100</f>
        <v>51.916301910964023</v>
      </c>
      <c r="S9" s="37">
        <f>(Gender!BO11/'Total Bachelor''s'!U11)*100</f>
        <v>53.719311102968113</v>
      </c>
      <c r="T9" s="37">
        <f>(Gender!BP11/'Total Bachelor''s'!V11)*100</f>
        <v>54.103998768030394</v>
      </c>
      <c r="U9" s="37">
        <f>(Gender!BQ11/'Total Bachelor''s'!W11)*100</f>
        <v>53.980787607503899</v>
      </c>
      <c r="V9" s="37">
        <f>(Gender!BR11/'Total Bachelor''s'!X11)*100</f>
        <v>54.433808078449687</v>
      </c>
      <c r="W9" s="37">
        <f>(Gender!BS11/'Total Bachelor''s'!Y11)*100</f>
        <v>55.210106621270491</v>
      </c>
      <c r="X9" s="37">
        <f>(Gender!BT11/'Total Bachelor''s'!Z11)*100</f>
        <v>55.727237900651261</v>
      </c>
      <c r="Y9" s="37">
        <f>(Gender!BU11/'Total Bachelor''s'!AA11)*100</f>
        <v>55.478534856242611</v>
      </c>
      <c r="Z9" s="37">
        <f>(Gender!BV11/'Total Bachelor''s'!AB11)*100</f>
        <v>55.815546170528471</v>
      </c>
      <c r="AA9" s="37">
        <f>(Gender!BW11/'Total Bachelor''s'!AC11)*100</f>
        <v>56.221495895408935</v>
      </c>
      <c r="AB9" s="37">
        <f>(Gender!BX11/'Total Bachelor''s'!AD11)*100</f>
        <v>57.327115062304159</v>
      </c>
      <c r="AC9" s="37">
        <f>(Gender!BY11/'Total Bachelor''s'!AE11)*100</f>
        <v>57.665612849304118</v>
      </c>
      <c r="AD9" s="37">
        <f>(Gender!BZ11/'Total Bachelor''s'!AF11)*100</f>
        <v>58.327665941240483</v>
      </c>
      <c r="AE9" s="37">
        <f>(Gender!CA11/'Total Bachelor''s'!AG11)*100</f>
        <v>58.713470517032682</v>
      </c>
      <c r="AF9" s="37">
        <f>(Gender!CB11/'Total Bachelor''s'!AH11)*100</f>
        <v>59.201204695574795</v>
      </c>
      <c r="AG9" s="37">
        <f>(Gender!CC11/'Total Bachelor''s'!AI11)*100</f>
        <v>58.513372698853772</v>
      </c>
      <c r="AH9" s="37">
        <f>(Gender!CD11/'Total Bachelor''s'!AJ11)*100</f>
        <v>58.871962398746625</v>
      </c>
      <c r="AI9" s="37">
        <f>(Gender!CE11/'Total Bachelor''s'!AK11)*100</f>
        <v>58.704972928989449</v>
      </c>
      <c r="AJ9" s="37">
        <f>(Gender!CF11/'Total Bachelor''s'!AL11)*100</f>
        <v>58.265582655826556</v>
      </c>
      <c r="AK9" s="37">
        <f>(Gender!CG11/'Total Bachelor''s'!AM11)*100</f>
        <v>60.149232718569621</v>
      </c>
      <c r="AL9" s="37">
        <f>(Gender!CH11/'Total Bachelor''s'!AN11)*100</f>
        <v>59.944401629417598</v>
      </c>
      <c r="AM9" s="37">
        <f>(Gender!CI11/'Total Bachelor''s'!AO11)*100</f>
        <v>59.137313592388686</v>
      </c>
      <c r="AN9" s="37">
        <f>(Gender!CJ11/'Total Bachelor''s'!AP11)*100</f>
        <v>59.556807992826954</v>
      </c>
      <c r="AO9" s="37">
        <f>(Gender!CK11/'Total Bachelor''s'!AQ11)*100</f>
        <v>60.075134079731093</v>
      </c>
      <c r="AP9" s="37">
        <f>(Gender!CL11/'Total Bachelor''s'!AR11)*100</f>
        <v>59.640194105811339</v>
      </c>
      <c r="AQ9" s="37">
        <f>(Gender!CM11/'Total Bachelor''s'!AS11)*100</f>
        <v>59.514632725317085</v>
      </c>
      <c r="AR9" s="37">
        <f>(Gender!CN11/'Total Bachelor''s'!AT11)*100</f>
        <v>59.826690531278651</v>
      </c>
      <c r="AS9" s="37">
        <f>(Gender!CO11/'Total Bachelor''s'!AU11)*100</f>
        <v>59.706711309839157</v>
      </c>
      <c r="AT9" s="37" t="e">
        <f>(Gender!CP11/'Total Bachelor''s'!AV11)*100</f>
        <v>#DIV/0!</v>
      </c>
      <c r="AU9" s="37">
        <f>(Gender!CQ11/'Total Bachelor''s'!AW11)*100</f>
        <v>59.671454549169447</v>
      </c>
      <c r="AV9" s="37">
        <f>(Gender!CR11/'Total Bachelor''s'!AX11)*100</f>
        <v>58.956934335920216</v>
      </c>
      <c r="AW9" s="37">
        <f>(Gender!CS11/'Total Bachelor''s'!AY11)*100</f>
        <v>59.382967873533907</v>
      </c>
    </row>
    <row r="10" spans="1:49">
      <c r="A10" s="54" t="s">
        <v>16</v>
      </c>
      <c r="B10" s="37">
        <f>(Gender!AX12/'Total Bachelor''s'!D12)*100</f>
        <v>43.201863870860372</v>
      </c>
      <c r="C10" s="37">
        <f>(Gender!AY12/'Total Bachelor''s'!E12)*100</f>
        <v>44.955453888755116</v>
      </c>
      <c r="D10" s="37">
        <f>(Gender!AZ12/'Total Bachelor''s'!F12)*100</f>
        <v>46.136972946624425</v>
      </c>
      <c r="E10" s="37">
        <f>(Gender!BA12/'Total Bachelor''s'!G12)*100</f>
        <v>46.020761245674741</v>
      </c>
      <c r="F10" s="37">
        <f>(Gender!BB12/'Total Bachelor''s'!H12)*100</f>
        <v>45.713374272270521</v>
      </c>
      <c r="G10" s="37">
        <f>(Gender!BC12/'Total Bachelor''s'!I12)*100</f>
        <v>46.550000000000004</v>
      </c>
      <c r="H10" s="37">
        <f>(Gender!BD12/'Total Bachelor''s'!J12)*100</f>
        <v>46.256028428801081</v>
      </c>
      <c r="I10" s="37">
        <f>(Gender!BE12/'Total Bachelor''s'!K12)*100</f>
        <v>47.464055746670198</v>
      </c>
      <c r="J10" s="37">
        <f>(Gender!BF12/'Total Bachelor''s'!L12)*100</f>
        <v>48.806342419383576</v>
      </c>
      <c r="K10" s="37">
        <f>(Gender!BG12/'Total Bachelor''s'!M12)*100</f>
        <v>49.563279857397504</v>
      </c>
      <c r="L10" s="37">
        <f>(Gender!BH12/'Total Bachelor''s'!N12)*100</f>
        <v>50.517796536419809</v>
      </c>
      <c r="M10" s="37">
        <f>(Gender!BI12/'Total Bachelor''s'!O12)*100</f>
        <v>50.864540794161094</v>
      </c>
      <c r="N10" s="37">
        <f>(Gender!BJ12/'Total Bachelor''s'!P12)*100</f>
        <v>52.235456585534266</v>
      </c>
      <c r="O10" s="37">
        <f>(Gender!BK12/'Total Bachelor''s'!Q12)*100</f>
        <v>52.031748770597872</v>
      </c>
      <c r="P10" s="37">
        <f>(Gender!BL12/'Total Bachelor''s'!R12)*100</f>
        <v>52.112315439105572</v>
      </c>
      <c r="Q10" s="37">
        <f>(Gender!BM12/'Total Bachelor''s'!S12)*100</f>
        <v>51.823366747321117</v>
      </c>
      <c r="R10" s="37">
        <f>(Gender!BN12/'Total Bachelor''s'!T12)*100</f>
        <v>53.06209122568589</v>
      </c>
      <c r="S10" s="37">
        <f>(Gender!BO12/'Total Bachelor''s'!U12)*100</f>
        <v>53.822499359357643</v>
      </c>
      <c r="T10" s="37">
        <f>(Gender!BP12/'Total Bachelor''s'!V12)*100</f>
        <v>54.646347523604447</v>
      </c>
      <c r="U10" s="37">
        <f>(Gender!BQ12/'Total Bachelor''s'!W12)*100</f>
        <v>55.580773283618377</v>
      </c>
      <c r="V10" s="37">
        <f>(Gender!BR12/'Total Bachelor''s'!X12)*100</f>
        <v>55.394683026584865</v>
      </c>
      <c r="W10" s="37">
        <f>(Gender!BS12/'Total Bachelor''s'!Y12)*100</f>
        <v>56.656131966391733</v>
      </c>
      <c r="X10" s="37">
        <f>(Gender!BT12/'Total Bachelor''s'!Z12)*100</f>
        <v>56.778010244571099</v>
      </c>
      <c r="Y10" s="37">
        <f>(Gender!BU12/'Total Bachelor''s'!AA12)*100</f>
        <v>58.043901083634339</v>
      </c>
      <c r="Z10" s="37">
        <f>(Gender!BV12/'Total Bachelor''s'!AB12)*100</f>
        <v>56.804976416706545</v>
      </c>
      <c r="AA10" s="37">
        <f>(Gender!BW12/'Total Bachelor''s'!AC12)*100</f>
        <v>57.371310912834595</v>
      </c>
      <c r="AB10" s="37">
        <f>(Gender!BX12/'Total Bachelor''s'!AD12)*100</f>
        <v>56.260217983651231</v>
      </c>
      <c r="AC10" s="37">
        <f>(Gender!BY12/'Total Bachelor''s'!AE12)*100</f>
        <v>56.201444732179361</v>
      </c>
      <c r="AD10" s="37">
        <f>(Gender!BZ12/'Total Bachelor''s'!AF12)*100</f>
        <v>57.701809441143084</v>
      </c>
      <c r="AE10" s="37">
        <f>(Gender!CA12/'Total Bachelor''s'!AG12)*100</f>
        <v>58.120649651972158</v>
      </c>
      <c r="AF10" s="37">
        <f>(Gender!CB12/'Total Bachelor''s'!AH12)*100</f>
        <v>58.262481621172412</v>
      </c>
      <c r="AG10" s="37">
        <f>(Gender!CC12/'Total Bachelor''s'!AI12)*100</f>
        <v>58.895944019696778</v>
      </c>
      <c r="AH10" s="37">
        <f>(Gender!CD12/'Total Bachelor''s'!AJ12)*100</f>
        <v>58.673251630998116</v>
      </c>
      <c r="AI10" s="37">
        <f>(Gender!CE12/'Total Bachelor''s'!AK12)*100</f>
        <v>59.37000123046635</v>
      </c>
      <c r="AJ10" s="37">
        <f>(Gender!CF12/'Total Bachelor''s'!AL12)*100</f>
        <v>59.050049295366236</v>
      </c>
      <c r="AK10" s="37">
        <f>(Gender!CG12/'Total Bachelor''s'!AM12)*100</f>
        <v>58.733624454148469</v>
      </c>
      <c r="AL10" s="37">
        <f>(Gender!CH12/'Total Bachelor''s'!AN12)*100</f>
        <v>59.439021774107047</v>
      </c>
      <c r="AM10" s="37">
        <f>(Gender!CI12/'Total Bachelor''s'!AO12)*100</f>
        <v>58.729493160018862</v>
      </c>
      <c r="AN10" s="37">
        <f>(Gender!CJ12/'Total Bachelor''s'!AP12)*100</f>
        <v>58.668974998727016</v>
      </c>
      <c r="AO10" s="37">
        <f>(Gender!CK12/'Total Bachelor''s'!AQ12)*100</f>
        <v>58.356671334266849</v>
      </c>
      <c r="AP10" s="37">
        <f>(Gender!CL12/'Total Bachelor''s'!AR12)*100</f>
        <v>58.804753486544882</v>
      </c>
      <c r="AQ10" s="37">
        <f>(Gender!CM12/'Total Bachelor''s'!AS12)*100</f>
        <v>58.124970346823559</v>
      </c>
      <c r="AR10" s="37">
        <f>(Gender!CN12/'Total Bachelor''s'!AT12)*100</f>
        <v>57.426248548199766</v>
      </c>
      <c r="AS10" s="37">
        <f>(Gender!CO12/'Total Bachelor''s'!AU12)*100</f>
        <v>57.406814543791448</v>
      </c>
      <c r="AT10" s="37" t="e">
        <f>(Gender!CP12/'Total Bachelor''s'!AV12)*100</f>
        <v>#DIV/0!</v>
      </c>
      <c r="AU10" s="37">
        <f>(Gender!CQ12/'Total Bachelor''s'!AW12)*100</f>
        <v>57.488499646142955</v>
      </c>
      <c r="AV10" s="37">
        <f>(Gender!CR12/'Total Bachelor''s'!AX12)*100</f>
        <v>57.66762843977434</v>
      </c>
      <c r="AW10" s="37">
        <f>(Gender!CS12/'Total Bachelor''s'!AY12)*100</f>
        <v>58.226675648366452</v>
      </c>
    </row>
    <row r="11" spans="1:49">
      <c r="A11" s="54" t="s">
        <v>17</v>
      </c>
      <c r="B11" s="37">
        <f>(Gender!AX13/'Total Bachelor''s'!D13)*100</f>
        <v>22.684879195123742</v>
      </c>
      <c r="C11" s="37">
        <f>(Gender!AY13/'Total Bachelor''s'!E13)*100</f>
        <v>45.413137854956943</v>
      </c>
      <c r="D11" s="37">
        <f>(Gender!AZ13/'Total Bachelor''s'!F13)*100</f>
        <v>46.265516515884705</v>
      </c>
      <c r="E11" s="37">
        <f>(Gender!BA13/'Total Bachelor''s'!G13)*100</f>
        <v>47.104018912529547</v>
      </c>
      <c r="F11" s="37">
        <f>(Gender!BB13/'Total Bachelor''s'!H13)*100</f>
        <v>46.353677621283254</v>
      </c>
      <c r="G11" s="37">
        <f>(Gender!BC13/'Total Bachelor''s'!I13)*100</f>
        <v>47.954672809912211</v>
      </c>
      <c r="H11" s="37">
        <f>(Gender!BD13/'Total Bachelor''s'!J13)*100</f>
        <v>47.72371469722588</v>
      </c>
      <c r="I11" s="37">
        <f>(Gender!BE13/'Total Bachelor''s'!K13)*100</f>
        <v>47.722836694860113</v>
      </c>
      <c r="J11" s="37">
        <f>(Gender!BF13/'Total Bachelor''s'!L13)*100</f>
        <v>49.630887829097794</v>
      </c>
      <c r="K11" s="37">
        <f>(Gender!BG13/'Total Bachelor''s'!M13)*100</f>
        <v>49.67152048763969</v>
      </c>
      <c r="L11" s="37">
        <f>(Gender!BH13/'Total Bachelor''s'!N13)*100</f>
        <v>50.622715581426839</v>
      </c>
      <c r="M11" s="37">
        <f>(Gender!BI13/'Total Bachelor''s'!O13)*100</f>
        <v>51.130153161055262</v>
      </c>
      <c r="N11" s="37">
        <f>(Gender!BJ13/'Total Bachelor''s'!P13)*100</f>
        <v>50.688957095278518</v>
      </c>
      <c r="O11" s="37">
        <f>(Gender!BK13/'Total Bachelor''s'!Q13)*100</f>
        <v>51.007532350479622</v>
      </c>
      <c r="P11" s="37">
        <f>(Gender!BL13/'Total Bachelor''s'!R13)*100</f>
        <v>49.868913857677903</v>
      </c>
      <c r="Q11" s="37">
        <f>(Gender!BM13/'Total Bachelor''s'!S13)*100</f>
        <v>50.684505289359052</v>
      </c>
      <c r="R11" s="37">
        <f>(Gender!BN13/'Total Bachelor''s'!T13)*100</f>
        <v>51.006954944058059</v>
      </c>
      <c r="S11" s="37">
        <f>(Gender!BO13/'Total Bachelor''s'!U13)*100</f>
        <v>51.100425374514515</v>
      </c>
      <c r="T11" s="37">
        <f>(Gender!BP13/'Total Bachelor''s'!V13)*100</f>
        <v>51.768803079367018</v>
      </c>
      <c r="U11" s="37">
        <f>(Gender!BQ13/'Total Bachelor''s'!W13)*100</f>
        <v>52.948797038864903</v>
      </c>
      <c r="V11" s="37">
        <f>(Gender!BR13/'Total Bachelor''s'!X13)*100</f>
        <v>54.303678088651367</v>
      </c>
      <c r="W11" s="37">
        <f>(Gender!BS13/'Total Bachelor''s'!Y13)*100</f>
        <v>56.030412655588933</v>
      </c>
      <c r="X11" s="37">
        <f>(Gender!BT13/'Total Bachelor''s'!Z13)*100</f>
        <v>56.861937003238147</v>
      </c>
      <c r="Y11" s="37">
        <f>(Gender!BU13/'Total Bachelor''s'!AA13)*100</f>
        <v>57.750350631136051</v>
      </c>
      <c r="Z11" s="37">
        <f>(Gender!BV13/'Total Bachelor''s'!AB13)*100</f>
        <v>58.081745094732106</v>
      </c>
      <c r="AA11" s="37">
        <f>(Gender!BW13/'Total Bachelor''s'!AC13)*100</f>
        <v>57.946428571428577</v>
      </c>
      <c r="AB11" s="37">
        <f>(Gender!BX13/'Total Bachelor''s'!AD13)*100</f>
        <v>58.215179316096744</v>
      </c>
      <c r="AC11" s="37">
        <f>(Gender!BY13/'Total Bachelor''s'!AE13)*100</f>
        <v>58.770777403324381</v>
      </c>
      <c r="AD11" s="37">
        <f>(Gender!BZ13/'Total Bachelor''s'!AF13)*100</f>
        <v>58.950035034765271</v>
      </c>
      <c r="AE11" s="37">
        <f>(Gender!CA13/'Total Bachelor''s'!AG13)*100</f>
        <v>60.478499493792292</v>
      </c>
      <c r="AF11" s="37">
        <f>(Gender!CB13/'Total Bachelor''s'!AH13)*100</f>
        <v>59.776254787341266</v>
      </c>
      <c r="AG11" s="37">
        <f>(Gender!CC13/'Total Bachelor''s'!AI13)*100</f>
        <v>59.524762381190598</v>
      </c>
      <c r="AH11" s="37">
        <f>(Gender!CD13/'Total Bachelor''s'!AJ13)*100</f>
        <v>60.427333595903896</v>
      </c>
      <c r="AI11" s="37">
        <f>(Gender!CE13/'Total Bachelor''s'!AK13)*100</f>
        <v>60.735530167123031</v>
      </c>
      <c r="AJ11" s="37">
        <f>(Gender!CF13/'Total Bachelor''s'!AL13)*100</f>
        <v>60.39557555305587</v>
      </c>
      <c r="AK11" s="37">
        <f>(Gender!CG13/'Total Bachelor''s'!AM13)*100</f>
        <v>60.337768679631523</v>
      </c>
      <c r="AL11" s="37">
        <f>(Gender!CH13/'Total Bachelor''s'!AN13)*100</f>
        <v>61.140650080256819</v>
      </c>
      <c r="AM11" s="37">
        <f>(Gender!CI13/'Total Bachelor''s'!AO13)*100</f>
        <v>59.974159014350981</v>
      </c>
      <c r="AN11" s="37">
        <f>(Gender!CJ13/'Total Bachelor''s'!AP13)*100</f>
        <v>60.04819732552096</v>
      </c>
      <c r="AO11" s="37">
        <f>(Gender!CK13/'Total Bachelor''s'!AQ13)*100</f>
        <v>60.560093348891485</v>
      </c>
      <c r="AP11" s="37">
        <f>(Gender!CL13/'Total Bachelor''s'!AR13)*100</f>
        <v>59.8382233283875</v>
      </c>
      <c r="AQ11" s="37">
        <f>(Gender!CM13/'Total Bachelor''s'!AS13)*100</f>
        <v>60.38402529173834</v>
      </c>
      <c r="AR11" s="37">
        <f>(Gender!CN13/'Total Bachelor''s'!AT13)*100</f>
        <v>59.259595730183968</v>
      </c>
      <c r="AS11" s="37">
        <f>(Gender!CO13/'Total Bachelor''s'!AU13)*100</f>
        <v>59.595235963105573</v>
      </c>
      <c r="AT11" s="37" t="e">
        <f>(Gender!CP13/'Total Bachelor''s'!AV13)*100</f>
        <v>#DIV/0!</v>
      </c>
      <c r="AU11" s="37">
        <f>(Gender!CQ13/'Total Bachelor''s'!AW13)*100</f>
        <v>60.062030835618287</v>
      </c>
      <c r="AV11" s="37">
        <f>(Gender!CR13/'Total Bachelor''s'!AX13)*100</f>
        <v>60.813202371471554</v>
      </c>
      <c r="AW11" s="37">
        <f>(Gender!CS13/'Total Bachelor''s'!AY13)*100</f>
        <v>61.077100523467308</v>
      </c>
    </row>
    <row r="12" spans="1:49">
      <c r="A12" s="54" t="s">
        <v>18</v>
      </c>
      <c r="B12" s="37">
        <f>(Gender!AX14/'Total Bachelor''s'!D14)*100</f>
        <v>43.209672076846637</v>
      </c>
      <c r="C12" s="37">
        <f>(Gender!AY14/'Total Bachelor''s'!E14)*100</f>
        <v>44.09430068264804</v>
      </c>
      <c r="D12" s="37">
        <f>(Gender!AZ14/'Total Bachelor''s'!F14)*100</f>
        <v>45.819761129207379</v>
      </c>
      <c r="E12" s="37">
        <f>(Gender!BA14/'Total Bachelor''s'!G14)*100</f>
        <v>45.254191454840452</v>
      </c>
      <c r="F12" s="37">
        <f>(Gender!BB14/'Total Bachelor''s'!H14)*100</f>
        <v>46.381558618132381</v>
      </c>
      <c r="G12" s="37">
        <f>(Gender!BC14/'Total Bachelor''s'!I14)*100</f>
        <v>46.773019531723889</v>
      </c>
      <c r="H12" s="37">
        <f>(Gender!BD14/'Total Bachelor''s'!J14)*100</f>
        <v>46.428127717728913</v>
      </c>
      <c r="I12" s="37">
        <f>(Gender!BE14/'Total Bachelor''s'!K14)*100</f>
        <v>47.554630593132153</v>
      </c>
      <c r="J12" s="37">
        <f>(Gender!BF14/'Total Bachelor''s'!L14)*100</f>
        <v>49.149442107188584</v>
      </c>
      <c r="K12" s="37">
        <f>(Gender!BG14/'Total Bachelor''s'!M14)*100</f>
        <v>50.437299035369776</v>
      </c>
      <c r="L12" s="37">
        <f>(Gender!BH14/'Total Bachelor''s'!N14)*100</f>
        <v>52.401579819085228</v>
      </c>
      <c r="M12" s="37">
        <f>(Gender!BI14/'Total Bachelor''s'!O14)*100</f>
        <v>52.140740273661649</v>
      </c>
      <c r="N12" s="37">
        <f>(Gender!BJ14/'Total Bachelor''s'!P14)*100</f>
        <v>53.621749115511143</v>
      </c>
      <c r="O12" s="37">
        <f>(Gender!BK14/'Total Bachelor''s'!Q14)*100</f>
        <v>54.876681614349778</v>
      </c>
      <c r="P12" s="37">
        <f>(Gender!BL14/'Total Bachelor''s'!R14)*100</f>
        <v>54.210858585858588</v>
      </c>
      <c r="Q12" s="37">
        <f>(Gender!BM14/'Total Bachelor''s'!S14)*100</f>
        <v>54.002549394518809</v>
      </c>
      <c r="R12" s="37">
        <f>(Gender!BN14/'Total Bachelor''s'!T14)*100</f>
        <v>53.552044385478226</v>
      </c>
      <c r="S12" s="37">
        <f>(Gender!BO14/'Total Bachelor''s'!U14)*100</f>
        <v>55.208830548926016</v>
      </c>
      <c r="T12" s="37">
        <f>(Gender!BP14/'Total Bachelor''s'!V14)*100</f>
        <v>55.907465097496242</v>
      </c>
      <c r="U12" s="37">
        <f>(Gender!BQ14/'Total Bachelor''s'!W14)*100</f>
        <v>55.89022757697456</v>
      </c>
      <c r="V12" s="37">
        <f>(Gender!BR14/'Total Bachelor''s'!X14)*100</f>
        <v>55.415562645325252</v>
      </c>
      <c r="W12" s="37">
        <f>(Gender!BS14/'Total Bachelor''s'!Y14)*100</f>
        <v>56.256823498830258</v>
      </c>
      <c r="X12" s="37">
        <f>(Gender!BT14/'Total Bachelor''s'!Z14)*100</f>
        <v>56.607951190710494</v>
      </c>
      <c r="Y12" s="37">
        <f>(Gender!BU14/'Total Bachelor''s'!AA14)*100</f>
        <v>55.759533950163998</v>
      </c>
      <c r="Z12" s="37">
        <f>(Gender!BV14/'Total Bachelor''s'!AB14)*100</f>
        <v>56.317567567567572</v>
      </c>
      <c r="AA12" s="37">
        <f>(Gender!BW14/'Total Bachelor''s'!AC14)*100</f>
        <v>56.585292344786019</v>
      </c>
      <c r="AB12" s="37">
        <f>(Gender!BX14/'Total Bachelor''s'!AD14)*100</f>
        <v>57.150737137699323</v>
      </c>
      <c r="AC12" s="37">
        <f>(Gender!BY14/'Total Bachelor''s'!AE14)*100</f>
        <v>57.265502354788069</v>
      </c>
      <c r="AD12" s="37">
        <f>(Gender!BZ14/'Total Bachelor''s'!AF14)*100</f>
        <v>57.955692248546299</v>
      </c>
      <c r="AE12" s="37">
        <f>(Gender!CA14/'Total Bachelor''s'!AG14)*100</f>
        <v>58.311055948061863</v>
      </c>
      <c r="AF12" s="37">
        <f>(Gender!CB14/'Total Bachelor''s'!AH14)*100</f>
        <v>59.008327024981078</v>
      </c>
      <c r="AG12" s="37">
        <f>(Gender!CC14/'Total Bachelor''s'!AI14)*100</f>
        <v>58.492189268734442</v>
      </c>
      <c r="AH12" s="37">
        <f>(Gender!CD14/'Total Bachelor''s'!AJ14)*100</f>
        <v>58.598298253470674</v>
      </c>
      <c r="AI12" s="37">
        <f>(Gender!CE14/'Total Bachelor''s'!AK14)*100</f>
        <v>58.982849380200378</v>
      </c>
      <c r="AJ12" s="37">
        <f>(Gender!CF14/'Total Bachelor''s'!AL14)*100</f>
        <v>58.385766073586396</v>
      </c>
      <c r="AK12" s="37">
        <f>(Gender!CG14/'Total Bachelor''s'!AM14)*100</f>
        <v>58.318011032056916</v>
      </c>
      <c r="AL12" s="37">
        <f>(Gender!CH14/'Total Bachelor''s'!AN14)*100</f>
        <v>58.833145214649903</v>
      </c>
      <c r="AM12" s="37">
        <f>(Gender!CI14/'Total Bachelor''s'!AO14)*100</f>
        <v>58.737448431540443</v>
      </c>
      <c r="AN12" s="37">
        <f>(Gender!CJ14/'Total Bachelor''s'!AP14)*100</f>
        <v>58.573893041978152</v>
      </c>
      <c r="AO12" s="37">
        <f>(Gender!CK14/'Total Bachelor''s'!AQ14)*100</f>
        <v>57.756758769643255</v>
      </c>
      <c r="AP12" s="37">
        <f>(Gender!CL14/'Total Bachelor''s'!AR14)*100</f>
        <v>58.247497461192509</v>
      </c>
      <c r="AQ12" s="37">
        <f>(Gender!CM14/'Total Bachelor''s'!AS14)*100</f>
        <v>58.098266488870657</v>
      </c>
      <c r="AR12" s="37">
        <f>(Gender!CN14/'Total Bachelor''s'!AT14)*100</f>
        <v>57.534912354599356</v>
      </c>
      <c r="AS12" s="37">
        <f>(Gender!CO14/'Total Bachelor''s'!AU14)*100</f>
        <v>56.922689022660656</v>
      </c>
      <c r="AT12" s="37" t="e">
        <f>(Gender!CP14/'Total Bachelor''s'!AV14)*100</f>
        <v>#DIV/0!</v>
      </c>
      <c r="AU12" s="37">
        <f>(Gender!CQ14/'Total Bachelor''s'!AW14)*100</f>
        <v>56.341250489177888</v>
      </c>
      <c r="AV12" s="37">
        <f>(Gender!CR14/'Total Bachelor''s'!AX14)*100</f>
        <v>55.870373649725515</v>
      </c>
      <c r="AW12" s="37">
        <f>(Gender!CS14/'Total Bachelor''s'!AY14)*100</f>
        <v>56.284040995607612</v>
      </c>
    </row>
    <row r="13" spans="1:49">
      <c r="A13" s="54" t="s">
        <v>19</v>
      </c>
      <c r="B13" s="37">
        <f>(Gender!AX15/'Total Bachelor''s'!D15)*100</f>
        <v>46.983151183970854</v>
      </c>
      <c r="C13" s="37">
        <f>(Gender!AY15/'Total Bachelor''s'!E15)*100</f>
        <v>47.924228675136114</v>
      </c>
      <c r="D13" s="37">
        <f>(Gender!AZ15/'Total Bachelor''s'!F15)*100</f>
        <v>48.056107797658491</v>
      </c>
      <c r="E13" s="37">
        <f>(Gender!BA15/'Total Bachelor''s'!G15)*100</f>
        <v>48.22571893651655</v>
      </c>
      <c r="F13" s="37">
        <f>(Gender!BB15/'Total Bachelor''s'!H15)*100</f>
        <v>49.852687188865183</v>
      </c>
      <c r="G13" s="37">
        <f>(Gender!BC15/'Total Bachelor''s'!I15)*100</f>
        <v>49.911853157730995</v>
      </c>
      <c r="H13" s="37">
        <f>(Gender!BD15/'Total Bachelor''s'!J15)*100</f>
        <v>49.122613398079686</v>
      </c>
      <c r="I13" s="37">
        <f>(Gender!BE15/'Total Bachelor''s'!K15)*100</f>
        <v>51.584759801214794</v>
      </c>
      <c r="J13" s="37">
        <f>(Gender!BF15/'Total Bachelor''s'!L15)*100</f>
        <v>50.819672131147541</v>
      </c>
      <c r="K13" s="37">
        <f>(Gender!BG15/'Total Bachelor''s'!M15)*100</f>
        <v>53.332565903073558</v>
      </c>
      <c r="L13" s="37">
        <f>(Gender!BH15/'Total Bachelor''s'!N15)*100</f>
        <v>54.071550255536629</v>
      </c>
      <c r="M13" s="37">
        <f>(Gender!BI15/'Total Bachelor''s'!O15)*100</f>
        <v>53.807615230460925</v>
      </c>
      <c r="N13" s="37">
        <f>(Gender!BJ15/'Total Bachelor''s'!P15)*100</f>
        <v>54.634487583071</v>
      </c>
      <c r="O13" s="37">
        <f>(Gender!BK15/'Total Bachelor''s'!Q15)*100</f>
        <v>54.368070953436806</v>
      </c>
      <c r="P13" s="37">
        <f>(Gender!BL15/'Total Bachelor''s'!R15)*100</f>
        <v>54.612217647713365</v>
      </c>
      <c r="Q13" s="37">
        <f>(Gender!BM15/'Total Bachelor''s'!S15)*100</f>
        <v>52.857473391948176</v>
      </c>
      <c r="R13" s="37">
        <f>(Gender!BN15/'Total Bachelor''s'!T15)*100</f>
        <v>53.506901582313994</v>
      </c>
      <c r="S13" s="37">
        <f>(Gender!BO15/'Total Bachelor''s'!U15)*100</f>
        <v>53.395835604491438</v>
      </c>
      <c r="T13" s="37">
        <f>(Gender!BP15/'Total Bachelor''s'!V15)*100</f>
        <v>54.525100164977616</v>
      </c>
      <c r="U13" s="37">
        <f>(Gender!BQ15/'Total Bachelor''s'!W15)*100</f>
        <v>54.430533608848904</v>
      </c>
      <c r="V13" s="37">
        <f>(Gender!BR15/'Total Bachelor''s'!X15)*100</f>
        <v>56.005903723887371</v>
      </c>
      <c r="W13" s="37">
        <f>(Gender!BS15/'Total Bachelor''s'!Y15)*100</f>
        <v>57.895892817922245</v>
      </c>
      <c r="X13" s="37">
        <f>(Gender!BT15/'Total Bachelor''s'!Z15)*100</f>
        <v>59.021285060672369</v>
      </c>
      <c r="Y13" s="37">
        <f>(Gender!BU15/'Total Bachelor''s'!AA15)*100</f>
        <v>57.369062119366617</v>
      </c>
      <c r="Z13" s="37">
        <f>(Gender!BV15/'Total Bachelor''s'!AB15)*100</f>
        <v>58.209806157354613</v>
      </c>
      <c r="AA13" s="37">
        <f>(Gender!BW15/'Total Bachelor''s'!AC15)*100</f>
        <v>57.503628447024667</v>
      </c>
      <c r="AB13" s="37">
        <f>(Gender!BX15/'Total Bachelor''s'!AD15)*100</f>
        <v>57.167184213162379</v>
      </c>
      <c r="AC13" s="37">
        <f>(Gender!BY15/'Total Bachelor''s'!AE15)*100</f>
        <v>57.910651580179476</v>
      </c>
      <c r="AD13" s="37">
        <f>(Gender!BZ15/'Total Bachelor''s'!AF15)*100</f>
        <v>58.901846452866856</v>
      </c>
      <c r="AE13" s="37">
        <f>(Gender!CA15/'Total Bachelor''s'!AG15)*100</f>
        <v>59.739534883720935</v>
      </c>
      <c r="AF13" s="37">
        <f>(Gender!CB15/'Total Bachelor''s'!AH15)*100</f>
        <v>59.510374954495816</v>
      </c>
      <c r="AG13" s="37">
        <f>(Gender!CC15/'Total Bachelor''s'!AI15)*100</f>
        <v>59.731125356125361</v>
      </c>
      <c r="AH13" s="37">
        <f>(Gender!CD15/'Total Bachelor''s'!AJ15)*100</f>
        <v>59.635263467518271</v>
      </c>
      <c r="AI13" s="37">
        <f>(Gender!CE15/'Total Bachelor''s'!AK15)*100</f>
        <v>60.591675849792317</v>
      </c>
      <c r="AJ13" s="37">
        <f>(Gender!CF15/'Total Bachelor''s'!AL15)*100</f>
        <v>61.176369716196518</v>
      </c>
      <c r="AK13" s="37">
        <f>(Gender!CG15/'Total Bachelor''s'!AM15)*100</f>
        <v>59.738036127043912</v>
      </c>
      <c r="AL13" s="37">
        <f>(Gender!CH15/'Total Bachelor''s'!AN15)*100</f>
        <v>60.950605778191978</v>
      </c>
      <c r="AM13" s="37">
        <f>(Gender!CI15/'Total Bachelor''s'!AO15)*100</f>
        <v>61.915034848987716</v>
      </c>
      <c r="AN13" s="37">
        <f>(Gender!CJ15/'Total Bachelor''s'!AP15)*100</f>
        <v>60.99622517643197</v>
      </c>
      <c r="AO13" s="37">
        <f>(Gender!CK15/'Total Bachelor''s'!AQ15)*100</f>
        <v>60.353982300884958</v>
      </c>
      <c r="AP13" s="37">
        <f>(Gender!CL15/'Total Bachelor''s'!AR15)*100</f>
        <v>60.650042461205899</v>
      </c>
      <c r="AQ13" s="37">
        <f>(Gender!CM15/'Total Bachelor''s'!AS15)*100</f>
        <v>61.005291005291006</v>
      </c>
      <c r="AR13" s="37">
        <f>(Gender!CN15/'Total Bachelor''s'!AT15)*100</f>
        <v>61.194140278188812</v>
      </c>
      <c r="AS13" s="37">
        <f>(Gender!CO15/'Total Bachelor''s'!AU15)*100</f>
        <v>61.892583120204606</v>
      </c>
      <c r="AT13" s="37" t="e">
        <f>(Gender!CP15/'Total Bachelor''s'!AV15)*100</f>
        <v>#DIV/0!</v>
      </c>
      <c r="AU13" s="37">
        <f>(Gender!CQ15/'Total Bachelor''s'!AW15)*100</f>
        <v>60.499440402909912</v>
      </c>
      <c r="AV13" s="37">
        <f>(Gender!CR15/'Total Bachelor''s'!AX15)*100</f>
        <v>61.780710107468373</v>
      </c>
      <c r="AW13" s="37">
        <f>(Gender!CS15/'Total Bachelor''s'!AY15)*100</f>
        <v>61.482357579341617</v>
      </c>
    </row>
    <row r="14" spans="1:49">
      <c r="A14" s="54" t="s">
        <v>20</v>
      </c>
      <c r="B14" s="37">
        <f>(Gender!AX16/'Total Bachelor''s'!D16)*100</f>
        <v>45.478022273632106</v>
      </c>
      <c r="C14" s="37">
        <f>(Gender!AY16/'Total Bachelor''s'!E16)*100</f>
        <v>45.820527031793219</v>
      </c>
      <c r="D14" s="37">
        <f>(Gender!AZ16/'Total Bachelor''s'!F16)*100</f>
        <v>45.109742010011551</v>
      </c>
      <c r="E14" s="37">
        <f>(Gender!BA16/'Total Bachelor''s'!G16)*100</f>
        <v>46.220693400923331</v>
      </c>
      <c r="F14" s="37">
        <f>(Gender!BB16/'Total Bachelor''s'!H16)*100</f>
        <v>45.983524386523122</v>
      </c>
      <c r="G14" s="37">
        <f>(Gender!BC16/'Total Bachelor''s'!I16)*100</f>
        <v>48.128684952576265</v>
      </c>
      <c r="H14" s="37">
        <f>(Gender!BD16/'Total Bachelor''s'!J16)*100</f>
        <v>47.992310978214434</v>
      </c>
      <c r="I14" s="37">
        <f>(Gender!BE16/'Total Bachelor''s'!K16)*100</f>
        <v>49.320254689382203</v>
      </c>
      <c r="J14" s="37">
        <f>(Gender!BF16/'Total Bachelor''s'!L16)*100</f>
        <v>49.810860793544052</v>
      </c>
      <c r="K14" s="37">
        <f>(Gender!BG16/'Total Bachelor''s'!M16)*100</f>
        <v>51.916243654822338</v>
      </c>
      <c r="L14" s="37">
        <f>(Gender!BH16/'Total Bachelor''s'!N16)*100</f>
        <v>52.98661826164043</v>
      </c>
      <c r="M14" s="37">
        <f>(Gender!BI16/'Total Bachelor''s'!O16)*100</f>
        <v>53.310560053981106</v>
      </c>
      <c r="N14" s="37">
        <f>(Gender!BJ16/'Total Bachelor''s'!P16)*100</f>
        <v>53.435905942852401</v>
      </c>
      <c r="O14" s="37">
        <f>(Gender!BK16/'Total Bachelor''s'!Q16)*100</f>
        <v>53.476767015706805</v>
      </c>
      <c r="P14" s="37">
        <f>(Gender!BL16/'Total Bachelor''s'!R16)*100</f>
        <v>52.384539147670964</v>
      </c>
      <c r="Q14" s="37">
        <f>(Gender!BM16/'Total Bachelor''s'!S16)*100</f>
        <v>52.99904030710173</v>
      </c>
      <c r="R14" s="37">
        <f>(Gender!BN16/'Total Bachelor''s'!T16)*100</f>
        <v>52.911442786069649</v>
      </c>
      <c r="S14" s="37">
        <f>(Gender!BO16/'Total Bachelor''s'!U16)*100</f>
        <v>54.015008627954572</v>
      </c>
      <c r="T14" s="37">
        <f>(Gender!BP16/'Total Bachelor''s'!V16)*100</f>
        <v>54.068047337278102</v>
      </c>
      <c r="U14" s="37">
        <f>(Gender!BQ16/'Total Bachelor''s'!W16)*100</f>
        <v>55.2277528631259</v>
      </c>
      <c r="V14" s="37">
        <f>(Gender!BR16/'Total Bachelor''s'!X16)*100</f>
        <v>55.15977719143946</v>
      </c>
      <c r="W14" s="37">
        <f>(Gender!BS16/'Total Bachelor''s'!Y16)*100</f>
        <v>55.912484806389998</v>
      </c>
      <c r="X14" s="37">
        <f>(Gender!BT16/'Total Bachelor''s'!Z16)*100</f>
        <v>55.74190618309219</v>
      </c>
      <c r="Y14" s="37">
        <f>(Gender!BU16/'Total Bachelor''s'!AA16)*100</f>
        <v>55.905437649127208</v>
      </c>
      <c r="Z14" s="37">
        <f>(Gender!BV16/'Total Bachelor''s'!AB16)*100</f>
        <v>55.496486403910779</v>
      </c>
      <c r="AA14" s="37">
        <f>(Gender!BW16/'Total Bachelor''s'!AC16)*100</f>
        <v>56.471025030166146</v>
      </c>
      <c r="AB14" s="37">
        <f>(Gender!BX16/'Total Bachelor''s'!AD16)*100</f>
        <v>56.530630933121692</v>
      </c>
      <c r="AC14" s="37">
        <f>(Gender!BY16/'Total Bachelor''s'!AE16)*100</f>
        <v>57.572656569791235</v>
      </c>
      <c r="AD14" s="37">
        <f>(Gender!BZ16/'Total Bachelor''s'!AF16)*100</f>
        <v>57.411585455184742</v>
      </c>
      <c r="AE14" s="37">
        <f>(Gender!CA16/'Total Bachelor''s'!AG16)*100</f>
        <v>58.211325767420377</v>
      </c>
      <c r="AF14" s="37">
        <f>(Gender!CB16/'Total Bachelor''s'!AH16)*100</f>
        <v>58.626655699577391</v>
      </c>
      <c r="AG14" s="37">
        <f>(Gender!CC16/'Total Bachelor''s'!AI16)*100</f>
        <v>58.124083182328064</v>
      </c>
      <c r="AH14" s="37">
        <f>(Gender!CD16/'Total Bachelor''s'!AJ16)*100</f>
        <v>58.784064761165475</v>
      </c>
      <c r="AI14" s="37">
        <f>(Gender!CE16/'Total Bachelor''s'!AK16)*100</f>
        <v>59.07920154539601</v>
      </c>
      <c r="AJ14" s="37">
        <f>(Gender!CF16/'Total Bachelor''s'!AL16)*100</f>
        <v>58.67845269695642</v>
      </c>
      <c r="AK14" s="37">
        <f>(Gender!CG16/'Total Bachelor''s'!AM16)*100</f>
        <v>58.893723125461165</v>
      </c>
      <c r="AL14" s="37">
        <f>(Gender!CH16/'Total Bachelor''s'!AN16)*100</f>
        <v>59.703770422077106</v>
      </c>
      <c r="AM14" s="37">
        <f>(Gender!CI16/'Total Bachelor''s'!AO16)*100</f>
        <v>59.01655235925648</v>
      </c>
      <c r="AN14" s="37">
        <f>(Gender!CJ16/'Total Bachelor''s'!AP16)*100</f>
        <v>59.617508975421153</v>
      </c>
      <c r="AO14" s="37">
        <f>(Gender!CK16/'Total Bachelor''s'!AQ16)*100</f>
        <v>59.162689030646391</v>
      </c>
      <c r="AP14" s="37">
        <f>(Gender!CL16/'Total Bachelor''s'!AR16)*100</f>
        <v>59.80484869325997</v>
      </c>
      <c r="AQ14" s="37">
        <f>(Gender!CM16/'Total Bachelor''s'!AS16)*100</f>
        <v>59.067187178960346</v>
      </c>
      <c r="AR14" s="37">
        <f>(Gender!CN16/'Total Bachelor''s'!AT16)*100</f>
        <v>59.216907850636801</v>
      </c>
      <c r="AS14" s="37">
        <f>(Gender!CO16/'Total Bachelor''s'!AU16)*100</f>
        <v>59.281217411455721</v>
      </c>
      <c r="AT14" s="37" t="e">
        <f>(Gender!CP16/'Total Bachelor''s'!AV16)*100</f>
        <v>#DIV/0!</v>
      </c>
      <c r="AU14" s="37">
        <f>(Gender!CQ16/'Total Bachelor''s'!AW16)*100</f>
        <v>58.774036188999602</v>
      </c>
      <c r="AV14" s="37">
        <f>(Gender!CR16/'Total Bachelor''s'!AX16)*100</f>
        <v>58.797593692784808</v>
      </c>
      <c r="AW14" s="37">
        <f>(Gender!CS16/'Total Bachelor''s'!AY16)*100</f>
        <v>59.244362749558668</v>
      </c>
    </row>
    <row r="15" spans="1:49">
      <c r="A15" s="54" t="s">
        <v>21</v>
      </c>
      <c r="B15" s="37">
        <f>(Gender!AX17/'Total Bachelor''s'!D17)*100</f>
        <v>41.067266067266068</v>
      </c>
      <c r="C15" s="37">
        <f>(Gender!AY17/'Total Bachelor''s'!E17)*100</f>
        <v>41.159513132607302</v>
      </c>
      <c r="D15" s="37">
        <f>(Gender!AZ17/'Total Bachelor''s'!F17)*100</f>
        <v>40.572774232756004</v>
      </c>
      <c r="E15" s="37">
        <f>(Gender!BA17/'Total Bachelor''s'!G17)*100</f>
        <v>39.444155458125884</v>
      </c>
      <c r="F15" s="37">
        <f>(Gender!BB17/'Total Bachelor''s'!H17)*100</f>
        <v>39.328191451019968</v>
      </c>
      <c r="G15" s="37">
        <f>(Gender!BC17/'Total Bachelor''s'!I17)*100</f>
        <v>41.285015562472211</v>
      </c>
      <c r="H15" s="37">
        <f>(Gender!BD17/'Total Bachelor''s'!J17)*100</f>
        <v>42.024309723889559</v>
      </c>
      <c r="I15" s="37">
        <f>(Gender!BE17/'Total Bachelor''s'!K17)*100</f>
        <v>42.487087181092505</v>
      </c>
      <c r="J15" s="37">
        <f>(Gender!BF17/'Total Bachelor''s'!L17)*100</f>
        <v>44.318895166352796</v>
      </c>
      <c r="K15" s="37">
        <f>(Gender!BG17/'Total Bachelor''s'!M17)*100</f>
        <v>45.748735900427853</v>
      </c>
      <c r="L15" s="37">
        <f>(Gender!BH17/'Total Bachelor''s'!N17)*100</f>
        <v>46.817361274625227</v>
      </c>
      <c r="M15" s="37">
        <f>(Gender!BI17/'Total Bachelor''s'!O17)*100</f>
        <v>48.346075830862851</v>
      </c>
      <c r="N15" s="37">
        <f>(Gender!BJ17/'Total Bachelor''s'!P17)*100</f>
        <v>48.707625412674126</v>
      </c>
      <c r="O15" s="37">
        <f>(Gender!BK17/'Total Bachelor''s'!Q17)*100</f>
        <v>48.77458884230893</v>
      </c>
      <c r="P15" s="37">
        <f>(Gender!BL17/'Total Bachelor''s'!R17)*100</f>
        <v>48.88077472614701</v>
      </c>
      <c r="Q15" s="37">
        <f>(Gender!BM17/'Total Bachelor''s'!S17)*100</f>
        <v>47.836230902385793</v>
      </c>
      <c r="R15" s="37">
        <f>(Gender!BN17/'Total Bachelor''s'!T17)*100</f>
        <v>49.814787375907542</v>
      </c>
      <c r="S15" s="37">
        <f>(Gender!BO17/'Total Bachelor''s'!U17)*100</f>
        <v>49.169435215946841</v>
      </c>
      <c r="T15" s="37">
        <f>(Gender!BP17/'Total Bachelor''s'!V17)*100</f>
        <v>49.61664009716845</v>
      </c>
      <c r="U15" s="37">
        <f>(Gender!BQ17/'Total Bachelor''s'!W17)*100</f>
        <v>50.928985826540355</v>
      </c>
      <c r="V15" s="37">
        <f>(Gender!BR17/'Total Bachelor''s'!X17)*100</f>
        <v>51.782957135504738</v>
      </c>
      <c r="W15" s="37">
        <f>(Gender!BS17/'Total Bachelor''s'!Y17)*100</f>
        <v>52.747565223572899</v>
      </c>
      <c r="X15" s="37">
        <f>(Gender!BT17/'Total Bachelor''s'!Z17)*100</f>
        <v>54.304772383441069</v>
      </c>
      <c r="Y15" s="37">
        <f>(Gender!BU17/'Total Bachelor''s'!AA17)*100</f>
        <v>55.432608985468605</v>
      </c>
      <c r="Z15" s="37">
        <f>(Gender!BV17/'Total Bachelor''s'!AB17)*100</f>
        <v>55.376890809711455</v>
      </c>
      <c r="AA15" s="37">
        <f>(Gender!BW17/'Total Bachelor''s'!AC17)*100</f>
        <v>55.125106160580131</v>
      </c>
      <c r="AB15" s="37">
        <f>(Gender!BX17/'Total Bachelor''s'!AD17)*100</f>
        <v>55.658022465677433</v>
      </c>
      <c r="AC15" s="37">
        <f>(Gender!BY17/'Total Bachelor''s'!AE17)*100</f>
        <v>55.18085036037823</v>
      </c>
      <c r="AD15" s="37">
        <f>(Gender!BZ17/'Total Bachelor''s'!AF17)*100</f>
        <v>55.164599987411087</v>
      </c>
      <c r="AE15" s="37">
        <f>(Gender!CA17/'Total Bachelor''s'!AG17)*100</f>
        <v>56.524498603706533</v>
      </c>
      <c r="AF15" s="37">
        <f>(Gender!CB17/'Total Bachelor''s'!AH17)*100</f>
        <v>54.532032353318783</v>
      </c>
      <c r="AG15" s="37">
        <f>(Gender!CC17/'Total Bachelor''s'!AI17)*100</f>
        <v>55.711775043936726</v>
      </c>
      <c r="AH15" s="37">
        <f>(Gender!CD17/'Total Bachelor''s'!AJ17)*100</f>
        <v>56.34549038935436</v>
      </c>
      <c r="AI15" s="37">
        <f>(Gender!CE17/'Total Bachelor''s'!AK17)*100</f>
        <v>56.328392246294193</v>
      </c>
      <c r="AJ15" s="37">
        <f>(Gender!CF17/'Total Bachelor''s'!AL17)*100</f>
        <v>57.277318640955002</v>
      </c>
      <c r="AK15" s="37">
        <f>(Gender!CG17/'Total Bachelor''s'!AM17)*100</f>
        <v>56.974707106098762</v>
      </c>
      <c r="AL15" s="37">
        <f>(Gender!CH17/'Total Bachelor''s'!AN17)*100</f>
        <v>56.63969538315088</v>
      </c>
      <c r="AM15" s="37">
        <f>(Gender!CI17/'Total Bachelor''s'!AO17)*100</f>
        <v>56.383654456912979</v>
      </c>
      <c r="AN15" s="37">
        <f>(Gender!CJ17/'Total Bachelor''s'!AP17)*100</f>
        <v>57.597044437506504</v>
      </c>
      <c r="AO15" s="37">
        <f>(Gender!CK17/'Total Bachelor''s'!AQ17)*100</f>
        <v>57.237445248039123</v>
      </c>
      <c r="AP15" s="37">
        <f>(Gender!CL17/'Total Bachelor''s'!AR17)*100</f>
        <v>57.850012797542874</v>
      </c>
      <c r="AQ15" s="37">
        <f>(Gender!CM17/'Total Bachelor''s'!AS17)*100</f>
        <v>57.56240069704269</v>
      </c>
      <c r="AR15" s="37">
        <f>(Gender!CN17/'Total Bachelor''s'!AT17)*100</f>
        <v>57.482616144311194</v>
      </c>
      <c r="AS15" s="37">
        <f>(Gender!CO17/'Total Bachelor''s'!AU17)*100</f>
        <v>57.215543472838824</v>
      </c>
      <c r="AT15" s="37" t="e">
        <f>(Gender!CP17/'Total Bachelor''s'!AV17)*100</f>
        <v>#DIV/0!</v>
      </c>
      <c r="AU15" s="37">
        <f>(Gender!CQ17/'Total Bachelor''s'!AW17)*100</f>
        <v>56.710082006753495</v>
      </c>
      <c r="AV15" s="37">
        <f>(Gender!CR17/'Total Bachelor''s'!AX17)*100</f>
        <v>56.920662100456617</v>
      </c>
      <c r="AW15" s="37">
        <f>(Gender!CS17/'Total Bachelor''s'!AY17)*100</f>
        <v>56.373870677829807</v>
      </c>
    </row>
    <row r="16" spans="1:49">
      <c r="A16" s="54" t="s">
        <v>22</v>
      </c>
      <c r="B16" s="37">
        <f>(Gender!AX18/'Total Bachelor''s'!D18)*100</f>
        <v>45.475430759412887</v>
      </c>
      <c r="C16" s="37">
        <f>(Gender!AY18/'Total Bachelor''s'!E18)*100</f>
        <v>45.478293320064687</v>
      </c>
      <c r="D16" s="37">
        <f>(Gender!AZ18/'Total Bachelor''s'!F18)*100</f>
        <v>44.796328169822146</v>
      </c>
      <c r="E16" s="37">
        <f>(Gender!BA18/'Total Bachelor''s'!G18)*100</f>
        <v>45.249343832020998</v>
      </c>
      <c r="F16" s="37">
        <f>(Gender!BB18/'Total Bachelor''s'!H18)*100</f>
        <v>45.712083253035267</v>
      </c>
      <c r="G16" s="37">
        <f>(Gender!BC18/'Total Bachelor''s'!I18)*100</f>
        <v>47.147091515376069</v>
      </c>
      <c r="H16" s="37">
        <f>(Gender!BD18/'Total Bachelor''s'!J18)*100</f>
        <v>47.395833333333329</v>
      </c>
      <c r="I16" s="37">
        <f>(Gender!BE18/'Total Bachelor''s'!K18)*100</f>
        <v>47.179441260744987</v>
      </c>
      <c r="J16" s="37">
        <f>(Gender!BF18/'Total Bachelor''s'!L18)*100</f>
        <v>47.985541743806756</v>
      </c>
      <c r="K16" s="37">
        <f>(Gender!BG18/'Total Bachelor''s'!M18)*100</f>
        <v>49.710678590215672</v>
      </c>
      <c r="L16" s="37">
        <f>(Gender!BH18/'Total Bachelor''s'!N18)*100</f>
        <v>50.452868165045281</v>
      </c>
      <c r="M16" s="37">
        <f>(Gender!BI18/'Total Bachelor''s'!O18)*100</f>
        <v>50.651523155485123</v>
      </c>
      <c r="N16" s="37">
        <f>(Gender!BJ18/'Total Bachelor''s'!P18)*100</f>
        <v>51.587575496117346</v>
      </c>
      <c r="O16" s="37">
        <f>(Gender!BK18/'Total Bachelor''s'!Q18)*100</f>
        <v>50.923590202620225</v>
      </c>
      <c r="P16" s="37">
        <f>(Gender!BL18/'Total Bachelor''s'!R18)*100</f>
        <v>51.796237991442638</v>
      </c>
      <c r="Q16" s="37">
        <f>(Gender!BM18/'Total Bachelor''s'!S18)*100</f>
        <v>52.551924005796167</v>
      </c>
      <c r="R16" s="37">
        <f>(Gender!BN18/'Total Bachelor''s'!T18)*100</f>
        <v>52.099266427345093</v>
      </c>
      <c r="S16" s="37">
        <f>(Gender!BO18/'Total Bachelor''s'!U18)*100</f>
        <v>53.191998087192161</v>
      </c>
      <c r="T16" s="37">
        <f>(Gender!BP18/'Total Bachelor''s'!V18)*100</f>
        <v>54.482531311799612</v>
      </c>
      <c r="U16" s="37">
        <f>(Gender!BQ18/'Total Bachelor''s'!W18)*100</f>
        <v>53.161929096135417</v>
      </c>
      <c r="V16" s="37">
        <f>(Gender!BR18/'Total Bachelor''s'!X18)*100</f>
        <v>55.558077941732876</v>
      </c>
      <c r="W16" s="37">
        <f>(Gender!BS18/'Total Bachelor''s'!Y18)*100</f>
        <v>55.810526315789474</v>
      </c>
      <c r="X16" s="37">
        <f>(Gender!BT18/'Total Bachelor''s'!Z18)*100</f>
        <v>56.108024474294957</v>
      </c>
      <c r="Y16" s="37">
        <f>(Gender!BU18/'Total Bachelor''s'!AA18)*100</f>
        <v>56.214763340763071</v>
      </c>
      <c r="Z16" s="37">
        <f>(Gender!BV18/'Total Bachelor''s'!AB18)*100</f>
        <v>56.051703877790835</v>
      </c>
      <c r="AA16" s="37">
        <f>(Gender!BW18/'Total Bachelor''s'!AC18)*100</f>
        <v>56.457564575645755</v>
      </c>
      <c r="AB16" s="37">
        <f>(Gender!BX18/'Total Bachelor''s'!AD18)*100</f>
        <v>56.85312831389183</v>
      </c>
      <c r="AC16" s="37">
        <f>(Gender!BY18/'Total Bachelor''s'!AE18)*100</f>
        <v>56.756402698631035</v>
      </c>
      <c r="AD16" s="37">
        <f>(Gender!BZ18/'Total Bachelor''s'!AF18)*100</f>
        <v>58.310267562936602</v>
      </c>
      <c r="AE16" s="37">
        <f>(Gender!CA18/'Total Bachelor''s'!AG18)*100</f>
        <v>58.126110124333927</v>
      </c>
      <c r="AF16" s="37">
        <f>(Gender!CB18/'Total Bachelor''s'!AH18)*100</f>
        <v>58.379592091311672</v>
      </c>
      <c r="AG16" s="37">
        <f>(Gender!CC18/'Total Bachelor''s'!AI18)*100</f>
        <v>57.92473645501348</v>
      </c>
      <c r="AH16" s="37">
        <f>(Gender!CD18/'Total Bachelor''s'!AJ18)*100</f>
        <v>58.184294681985072</v>
      </c>
      <c r="AI16" s="37">
        <f>(Gender!CE18/'Total Bachelor''s'!AK18)*100</f>
        <v>58.831453106583595</v>
      </c>
      <c r="AJ16" s="37">
        <f>(Gender!CF18/'Total Bachelor''s'!AL18)*100</f>
        <v>58.850818847465206</v>
      </c>
      <c r="AK16" s="37">
        <f>(Gender!CG18/'Total Bachelor''s'!AM18)*100</f>
        <v>59.185953711093376</v>
      </c>
      <c r="AL16" s="37">
        <f>(Gender!CH18/'Total Bachelor''s'!AN18)*100</f>
        <v>59.566095376171489</v>
      </c>
      <c r="AM16" s="37">
        <f>(Gender!CI18/'Total Bachelor''s'!AO18)*100</f>
        <v>58.843153356600283</v>
      </c>
      <c r="AN16" s="37">
        <f>(Gender!CJ18/'Total Bachelor''s'!AP18)*100</f>
        <v>58.626647578614801</v>
      </c>
      <c r="AO16" s="37">
        <f>(Gender!CK18/'Total Bachelor''s'!AQ18)*100</f>
        <v>58.747269446291192</v>
      </c>
      <c r="AP16" s="37">
        <f>(Gender!CL18/'Total Bachelor''s'!AR18)*100</f>
        <v>58.60957642725598</v>
      </c>
      <c r="AQ16" s="37">
        <f>(Gender!CM18/'Total Bachelor''s'!AS18)*100</f>
        <v>58.960666840323007</v>
      </c>
      <c r="AR16" s="37">
        <f>(Gender!CN18/'Total Bachelor''s'!AT18)*100</f>
        <v>58.338049014059976</v>
      </c>
      <c r="AS16" s="37">
        <f>(Gender!CO18/'Total Bachelor''s'!AU18)*100</f>
        <v>58.461089818363611</v>
      </c>
      <c r="AT16" s="37" t="e">
        <f>(Gender!CP18/'Total Bachelor''s'!AV18)*100</f>
        <v>#DIV/0!</v>
      </c>
      <c r="AU16" s="37">
        <f>(Gender!CQ18/'Total Bachelor''s'!AW18)*100</f>
        <v>58.764049470249368</v>
      </c>
      <c r="AV16" s="37">
        <f>(Gender!CR18/'Total Bachelor''s'!AX18)*100</f>
        <v>58.011709881706295</v>
      </c>
      <c r="AW16" s="37">
        <f>(Gender!CS18/'Total Bachelor''s'!AY18)*100</f>
        <v>58.449150245828655</v>
      </c>
    </row>
    <row r="17" spans="1:49">
      <c r="A17" s="54" t="s">
        <v>23</v>
      </c>
      <c r="B17" s="37">
        <f>(Gender!AX19/'Total Bachelor''s'!D19)*100</f>
        <v>41.964061321940186</v>
      </c>
      <c r="C17" s="37">
        <f>(Gender!AY19/'Total Bachelor''s'!E19)*100</f>
        <v>42.280542986425338</v>
      </c>
      <c r="D17" s="37">
        <f>(Gender!AZ19/'Total Bachelor''s'!F19)*100</f>
        <v>42.100981930160941</v>
      </c>
      <c r="E17" s="37">
        <f>(Gender!BA19/'Total Bachelor''s'!G19)*100</f>
        <v>43.655137392089379</v>
      </c>
      <c r="F17" s="37">
        <f>(Gender!BB19/'Total Bachelor''s'!H19)*100</f>
        <v>44.965248818459827</v>
      </c>
      <c r="G17" s="37">
        <f>(Gender!BC19/'Total Bachelor''s'!I19)*100</f>
        <v>45.741360721784034</v>
      </c>
      <c r="H17" s="37">
        <f>(Gender!BD19/'Total Bachelor''s'!J19)*100</f>
        <v>45.206941090582355</v>
      </c>
      <c r="I17" s="37">
        <f>(Gender!BE19/'Total Bachelor''s'!K19)*100</f>
        <v>46.366393350555988</v>
      </c>
      <c r="J17" s="37">
        <f>(Gender!BF19/'Total Bachelor''s'!L19)*100</f>
        <v>48.182686365934494</v>
      </c>
      <c r="K17" s="37">
        <f>(Gender!BG19/'Total Bachelor''s'!M19)*100</f>
        <v>48.67322006932212</v>
      </c>
      <c r="L17" s="37">
        <f>(Gender!BH19/'Total Bachelor''s'!N19)*100</f>
        <v>49.429976528445287</v>
      </c>
      <c r="M17" s="37">
        <f>(Gender!BI19/'Total Bachelor''s'!O19)*100</f>
        <v>48.744902062151766</v>
      </c>
      <c r="N17" s="37">
        <f>(Gender!BJ19/'Total Bachelor''s'!P19)*100</f>
        <v>50.076335877862597</v>
      </c>
      <c r="O17" s="37">
        <f>(Gender!BK19/'Total Bachelor''s'!Q19)*100</f>
        <v>50.291570948930911</v>
      </c>
      <c r="P17" s="37">
        <f>(Gender!BL19/'Total Bachelor''s'!R19)*100</f>
        <v>50.28458589847834</v>
      </c>
      <c r="Q17" s="37">
        <f>(Gender!BM19/'Total Bachelor''s'!S19)*100</f>
        <v>50.25544659110929</v>
      </c>
      <c r="R17" s="37">
        <f>(Gender!BN19/'Total Bachelor''s'!T19)*100</f>
        <v>50.930790315212427</v>
      </c>
      <c r="S17" s="37">
        <f>(Gender!BO19/'Total Bachelor''s'!U19)*100</f>
        <v>50.643430088291311</v>
      </c>
      <c r="T17" s="37">
        <f>(Gender!BP19/'Total Bachelor''s'!V19)*100</f>
        <v>51.110204557375141</v>
      </c>
      <c r="U17" s="37">
        <f>(Gender!BQ19/'Total Bachelor''s'!W19)*100</f>
        <v>51.98873433728015</v>
      </c>
      <c r="V17" s="37">
        <f>(Gender!BR19/'Total Bachelor''s'!X19)*100</f>
        <v>52.932809922057231</v>
      </c>
      <c r="W17" s="37">
        <f>(Gender!BS19/'Total Bachelor''s'!Y19)*100</f>
        <v>54.448319769694955</v>
      </c>
      <c r="X17" s="37">
        <f>(Gender!BT19/'Total Bachelor''s'!Z19)*100</f>
        <v>54.344532107215635</v>
      </c>
      <c r="Y17" s="37">
        <f>(Gender!BU19/'Total Bachelor''s'!AA19)*100</f>
        <v>56.099356928967644</v>
      </c>
      <c r="Z17" s="37">
        <f>(Gender!BV19/'Total Bachelor''s'!AB19)*100</f>
        <v>54.441776710684273</v>
      </c>
      <c r="AA17" s="37">
        <f>(Gender!BW19/'Total Bachelor''s'!AC19)*100</f>
        <v>54.625421492449789</v>
      </c>
      <c r="AB17" s="37">
        <f>(Gender!BX19/'Total Bachelor''s'!AD19)*100</f>
        <v>55.769604037267086</v>
      </c>
      <c r="AC17" s="37">
        <f>(Gender!BY19/'Total Bachelor''s'!AE19)*100</f>
        <v>55.568165697262017</v>
      </c>
      <c r="AD17" s="37">
        <f>(Gender!BZ19/'Total Bachelor''s'!AF19)*100</f>
        <v>56.314421023307638</v>
      </c>
      <c r="AE17" s="37">
        <f>(Gender!CA19/'Total Bachelor''s'!AG19)*100</f>
        <v>57.513189012188469</v>
      </c>
      <c r="AF17" s="37">
        <f>(Gender!CB19/'Total Bachelor''s'!AH19)*100</f>
        <v>58.628800418154889</v>
      </c>
      <c r="AG17" s="37">
        <f>(Gender!CC19/'Total Bachelor''s'!AI19)*100</f>
        <v>58.436664767997193</v>
      </c>
      <c r="AH17" s="37">
        <f>(Gender!CD19/'Total Bachelor''s'!AJ19)*100</f>
        <v>58.023850085178871</v>
      </c>
      <c r="AI17" s="37">
        <f>(Gender!CE19/'Total Bachelor''s'!AK19)*100</f>
        <v>58.451311091961102</v>
      </c>
      <c r="AJ17" s="37">
        <f>(Gender!CF19/'Total Bachelor''s'!AL19)*100</f>
        <v>57.867349797862545</v>
      </c>
      <c r="AK17" s="37">
        <f>(Gender!CG19/'Total Bachelor''s'!AM19)*100</f>
        <v>58.374308543331288</v>
      </c>
      <c r="AL17" s="37">
        <f>(Gender!CH19/'Total Bachelor''s'!AN19)*100</f>
        <v>58.80744398025066</v>
      </c>
      <c r="AM17" s="37">
        <f>(Gender!CI19/'Total Bachelor''s'!AO19)*100</f>
        <v>58.987239659724253</v>
      </c>
      <c r="AN17" s="37">
        <f>(Gender!CJ19/'Total Bachelor''s'!AP19)*100</f>
        <v>57.842959962385621</v>
      </c>
      <c r="AO17" s="37">
        <f>(Gender!CK19/'Total Bachelor''s'!AQ19)*100</f>
        <v>57.931808901592483</v>
      </c>
      <c r="AP17" s="37">
        <f>(Gender!CL19/'Total Bachelor''s'!AR19)*100</f>
        <v>58.258440203305398</v>
      </c>
      <c r="AQ17" s="37">
        <f>(Gender!CM19/'Total Bachelor''s'!AS19)*100</f>
        <v>58.028750080577588</v>
      </c>
      <c r="AR17" s="37">
        <f>(Gender!CN19/'Total Bachelor''s'!AT19)*100</f>
        <v>57.931226593209317</v>
      </c>
      <c r="AS17" s="37">
        <f>(Gender!CO19/'Total Bachelor''s'!AU19)*100</f>
        <v>57.329858437481498</v>
      </c>
      <c r="AT17" s="37" t="e">
        <f>(Gender!CP19/'Total Bachelor''s'!AV19)*100</f>
        <v>#DIV/0!</v>
      </c>
      <c r="AU17" s="37">
        <f>(Gender!CQ19/'Total Bachelor''s'!AW19)*100</f>
        <v>57.861800742755207</v>
      </c>
      <c r="AV17" s="37">
        <f>(Gender!CR19/'Total Bachelor''s'!AX19)*100</f>
        <v>58.384864128893177</v>
      </c>
      <c r="AW17" s="37">
        <f>(Gender!CS19/'Total Bachelor''s'!AY19)*100</f>
        <v>58.185982848682926</v>
      </c>
    </row>
    <row r="18" spans="1:49">
      <c r="A18" s="54" t="s">
        <v>24</v>
      </c>
      <c r="B18" s="37">
        <f>(Gender!AX20/'Total Bachelor''s'!D20)*100</f>
        <v>43.81502314699587</v>
      </c>
      <c r="C18" s="37">
        <f>(Gender!AY20/'Total Bachelor''s'!E20)*100</f>
        <v>42.961988506542966</v>
      </c>
      <c r="D18" s="37">
        <f>(Gender!AZ20/'Total Bachelor''s'!F20)*100</f>
        <v>42.892969295184926</v>
      </c>
      <c r="E18" s="37">
        <f>(Gender!BA20/'Total Bachelor''s'!G20)*100</f>
        <v>42.905468896823905</v>
      </c>
      <c r="F18" s="37">
        <f>(Gender!BB20/'Total Bachelor''s'!H20)*100</f>
        <v>43.55958622644183</v>
      </c>
      <c r="G18" s="37">
        <f>(Gender!BC20/'Total Bachelor''s'!I20)*100</f>
        <v>44.992136330154686</v>
      </c>
      <c r="H18" s="37">
        <f>(Gender!BD20/'Total Bachelor''s'!J20)*100</f>
        <v>45.018371274713736</v>
      </c>
      <c r="I18" s="37">
        <f>(Gender!BE20/'Total Bachelor''s'!K20)*100</f>
        <v>46.414824271262503</v>
      </c>
      <c r="J18" s="37">
        <f>(Gender!BF20/'Total Bachelor''s'!L20)*100</f>
        <v>47.250793408022027</v>
      </c>
      <c r="K18" s="37">
        <f>(Gender!BG20/'Total Bachelor''s'!M20)*100</f>
        <v>48.533248844490828</v>
      </c>
      <c r="L18" s="37">
        <f>(Gender!BH20/'Total Bachelor''s'!N20)*100</f>
        <v>49.347063651966273</v>
      </c>
      <c r="M18" s="37">
        <f>(Gender!BI20/'Total Bachelor''s'!O20)*100</f>
        <v>49.846050495437495</v>
      </c>
      <c r="N18" s="37">
        <f>(Gender!BJ20/'Total Bachelor''s'!P20)*100</f>
        <v>50.535827638997802</v>
      </c>
      <c r="O18" s="37">
        <f>(Gender!BK20/'Total Bachelor''s'!Q20)*100</f>
        <v>51.359868840513712</v>
      </c>
      <c r="P18" s="37">
        <f>(Gender!BL20/'Total Bachelor''s'!R20)*100</f>
        <v>50.916294299618279</v>
      </c>
      <c r="Q18" s="37">
        <f>(Gender!BM20/'Total Bachelor''s'!S20)*100</f>
        <v>51.356517122378555</v>
      </c>
      <c r="R18" s="37">
        <f>(Gender!BN20/'Total Bachelor''s'!T20)*100</f>
        <v>51.503545365146728</v>
      </c>
      <c r="S18" s="37">
        <f>(Gender!BO20/'Total Bachelor''s'!U20)*100</f>
        <v>51.593022041157418</v>
      </c>
      <c r="T18" s="37">
        <f>(Gender!BP20/'Total Bachelor''s'!V20)*100</f>
        <v>51.11470985155195</v>
      </c>
      <c r="U18" s="37">
        <f>(Gender!BQ20/'Total Bachelor''s'!W20)*100</f>
        <v>52.527769491287494</v>
      </c>
      <c r="V18" s="37">
        <f>(Gender!BR20/'Total Bachelor''s'!X20)*100</f>
        <v>53.676880222841227</v>
      </c>
      <c r="W18" s="37">
        <f>(Gender!BS20/'Total Bachelor''s'!Y20)*100</f>
        <v>54.725703403366509</v>
      </c>
      <c r="X18" s="37">
        <f>(Gender!BT20/'Total Bachelor''s'!Z20)*100</f>
        <v>53.322034425388331</v>
      </c>
      <c r="Y18" s="37">
        <f>(Gender!BU20/'Total Bachelor''s'!AA20)*100</f>
        <v>54.553389153525259</v>
      </c>
      <c r="Z18" s="37">
        <f>(Gender!BV20/'Total Bachelor''s'!AB20)*100</f>
        <v>54.620623971831797</v>
      </c>
      <c r="AA18" s="37">
        <f>(Gender!BW20/'Total Bachelor''s'!AC20)*100</f>
        <v>55.062243033348558</v>
      </c>
      <c r="AB18" s="37">
        <f>(Gender!BX20/'Total Bachelor''s'!AD20)*100</f>
        <v>55.581013804028053</v>
      </c>
      <c r="AC18" s="37">
        <f>(Gender!BY20/'Total Bachelor''s'!AE20)*100</f>
        <v>55.76631259484067</v>
      </c>
      <c r="AD18" s="37">
        <f>(Gender!BZ20/'Total Bachelor''s'!AF20)*100</f>
        <v>56.138273118669105</v>
      </c>
      <c r="AE18" s="37">
        <f>(Gender!CA20/'Total Bachelor''s'!AG20)*100</f>
        <v>56.985973687071869</v>
      </c>
      <c r="AF18" s="37">
        <f>(Gender!CB20/'Total Bachelor''s'!AH20)*100</f>
        <v>57.298836933301686</v>
      </c>
      <c r="AG18" s="37">
        <f>(Gender!CC20/'Total Bachelor''s'!AI20)*100</f>
        <v>57.266608828246177</v>
      </c>
      <c r="AH18" s="37">
        <f>(Gender!CD20/'Total Bachelor''s'!AJ20)*100</f>
        <v>58.12174131540926</v>
      </c>
      <c r="AI18" s="37">
        <f>(Gender!CE20/'Total Bachelor''s'!AK20)*100</f>
        <v>57.828974477058438</v>
      </c>
      <c r="AJ18" s="37">
        <f>(Gender!CF20/'Total Bachelor''s'!AL20)*100</f>
        <v>58.324552160168594</v>
      </c>
      <c r="AK18" s="37">
        <f>(Gender!CG20/'Total Bachelor''s'!AM20)*100</f>
        <v>58.149779735682813</v>
      </c>
      <c r="AL18" s="37">
        <f>(Gender!CH20/'Total Bachelor''s'!AN20)*100</f>
        <v>58.607799884816416</v>
      </c>
      <c r="AM18" s="37">
        <f>(Gender!CI20/'Total Bachelor''s'!AO20)*100</f>
        <v>58.663979028063537</v>
      </c>
      <c r="AN18" s="37">
        <f>(Gender!CJ20/'Total Bachelor''s'!AP20)*100</f>
        <v>58.397230283590453</v>
      </c>
      <c r="AO18" s="37">
        <f>(Gender!CK20/'Total Bachelor''s'!AQ20)*100</f>
        <v>58.797732901318554</v>
      </c>
      <c r="AP18" s="37">
        <f>(Gender!CL20/'Total Bachelor''s'!AR20)*100</f>
        <v>58.450939736472471</v>
      </c>
      <c r="AQ18" s="37">
        <f>(Gender!CM20/'Total Bachelor''s'!AS20)*100</f>
        <v>58.487685921182454</v>
      </c>
      <c r="AR18" s="37">
        <f>(Gender!CN20/'Total Bachelor''s'!AT20)*100</f>
        <v>58.392619740577054</v>
      </c>
      <c r="AS18" s="37">
        <f>(Gender!CO20/'Total Bachelor''s'!AU20)*100</f>
        <v>58.00597668398283</v>
      </c>
      <c r="AT18" s="37" t="e">
        <f>(Gender!CP20/'Total Bachelor''s'!AV20)*100</f>
        <v>#DIV/0!</v>
      </c>
      <c r="AU18" s="37">
        <f>(Gender!CQ20/'Total Bachelor''s'!AW20)*100</f>
        <v>57.836227150306577</v>
      </c>
      <c r="AV18" s="37">
        <f>(Gender!CR20/'Total Bachelor''s'!AX20)*100</f>
        <v>58.641284949434855</v>
      </c>
      <c r="AW18" s="37">
        <f>(Gender!CS20/'Total Bachelor''s'!AY20)*100</f>
        <v>58.829870189440847</v>
      </c>
    </row>
    <row r="19" spans="1:49">
      <c r="A19" s="54" t="s">
        <v>25</v>
      </c>
      <c r="B19" s="37">
        <f>(Gender!AX21/'Total Bachelor''s'!D21)*100</f>
        <v>48.122817229336441</v>
      </c>
      <c r="C19" s="37">
        <f>(Gender!AY21/'Total Bachelor''s'!E21)*100</f>
        <v>48.530009483809785</v>
      </c>
      <c r="D19" s="37">
        <f>(Gender!AZ21/'Total Bachelor''s'!F21)*100</f>
        <v>49.507404817898689</v>
      </c>
      <c r="E19" s="37">
        <f>(Gender!BA21/'Total Bachelor''s'!G21)*100</f>
        <v>49.793721973094165</v>
      </c>
      <c r="F19" s="37">
        <f>(Gender!BB21/'Total Bachelor''s'!H21)*100</f>
        <v>50.549749618985416</v>
      </c>
      <c r="G19" s="37">
        <f>(Gender!BC21/'Total Bachelor''s'!I21)*100</f>
        <v>50.346347607052898</v>
      </c>
      <c r="H19" s="37">
        <f>(Gender!BD21/'Total Bachelor''s'!J21)*100</f>
        <v>51.213314066470673</v>
      </c>
      <c r="I19" s="37">
        <f>(Gender!BE21/'Total Bachelor''s'!K21)*100</f>
        <v>51.651096567917264</v>
      </c>
      <c r="J19" s="37">
        <f>(Gender!BF21/'Total Bachelor''s'!L21)*100</f>
        <v>52.141580955140277</v>
      </c>
      <c r="K19" s="37">
        <f>(Gender!BG21/'Total Bachelor''s'!M21)*100</f>
        <v>53.253964519316746</v>
      </c>
      <c r="L19" s="37">
        <f>(Gender!BH21/'Total Bachelor''s'!N21)*100</f>
        <v>53.510305483989697</v>
      </c>
      <c r="M19" s="37">
        <f>(Gender!BI21/'Total Bachelor''s'!O21)*100</f>
        <v>54.216867469879517</v>
      </c>
      <c r="N19" s="37">
        <f>(Gender!BJ21/'Total Bachelor''s'!P21)*100</f>
        <v>54.280446044428828</v>
      </c>
      <c r="O19" s="37">
        <f>(Gender!BK21/'Total Bachelor''s'!Q21)*100</f>
        <v>54.032048505846689</v>
      </c>
      <c r="P19" s="37">
        <f>(Gender!BL21/'Total Bachelor''s'!R21)*100</f>
        <v>54.452228224172863</v>
      </c>
      <c r="Q19" s="37">
        <f>(Gender!BM21/'Total Bachelor''s'!S21)*100</f>
        <v>55.338509057517328</v>
      </c>
      <c r="R19" s="37">
        <f>(Gender!BN21/'Total Bachelor''s'!T21)*100</f>
        <v>54.868599073428726</v>
      </c>
      <c r="S19" s="37">
        <f>(Gender!BO21/'Total Bachelor''s'!U21)*100</f>
        <v>55.497709287796745</v>
      </c>
      <c r="T19" s="37">
        <f>(Gender!BP21/'Total Bachelor''s'!V21)*100</f>
        <v>55.465426060678361</v>
      </c>
      <c r="U19" s="37">
        <f>(Gender!BQ21/'Total Bachelor''s'!W21)*100</f>
        <v>55.878284923928078</v>
      </c>
      <c r="V19" s="37">
        <f>(Gender!BR21/'Total Bachelor''s'!X21)*100</f>
        <v>56.159887901471294</v>
      </c>
      <c r="W19" s="37">
        <f>(Gender!BS21/'Total Bachelor''s'!Y21)*100</f>
        <v>56.51588397790055</v>
      </c>
      <c r="X19" s="37">
        <f>(Gender!BT21/'Total Bachelor''s'!Z21)*100</f>
        <v>57.038258575197887</v>
      </c>
      <c r="Y19" s="37">
        <f>(Gender!BU21/'Total Bachelor''s'!AA21)*100</f>
        <v>55.697063970445271</v>
      </c>
      <c r="Z19" s="37">
        <f>(Gender!BV21/'Total Bachelor''s'!AB21)*100</f>
        <v>55.444181131108692</v>
      </c>
      <c r="AA19" s="37">
        <f>(Gender!BW21/'Total Bachelor''s'!AC21)*100</f>
        <v>55.937761203626316</v>
      </c>
      <c r="AB19" s="37">
        <f>(Gender!BX21/'Total Bachelor''s'!AD21)*100</f>
        <v>56.675326321125333</v>
      </c>
      <c r="AC19" s="37">
        <f>(Gender!BY21/'Total Bachelor''s'!AE21)*100</f>
        <v>56.368528544104777</v>
      </c>
      <c r="AD19" s="37">
        <f>(Gender!BZ21/'Total Bachelor''s'!AF21)*100</f>
        <v>56.938709677419354</v>
      </c>
      <c r="AE19" s="37">
        <f>(Gender!CA21/'Total Bachelor''s'!AG21)*100</f>
        <v>56.889592146478506</v>
      </c>
      <c r="AF19" s="37">
        <f>(Gender!CB21/'Total Bachelor''s'!AH21)*100</f>
        <v>57.78445787076997</v>
      </c>
      <c r="AG19" s="37">
        <f>(Gender!CC21/'Total Bachelor''s'!AI21)*100</f>
        <v>57.808786789348609</v>
      </c>
      <c r="AH19" s="37">
        <f>(Gender!CD21/'Total Bachelor''s'!AJ21)*100</f>
        <v>58.422362510622804</v>
      </c>
      <c r="AI19" s="37">
        <f>(Gender!CE21/'Total Bachelor''s'!AK21)*100</f>
        <v>58.510546210000868</v>
      </c>
      <c r="AJ19" s="37">
        <f>(Gender!CF21/'Total Bachelor''s'!AL21)*100</f>
        <v>58.589455973079083</v>
      </c>
      <c r="AK19" s="37">
        <f>(Gender!CG21/'Total Bachelor''s'!AM21)*100</f>
        <v>57.917230186637816</v>
      </c>
      <c r="AL19" s="37">
        <f>(Gender!CH21/'Total Bachelor''s'!AN21)*100</f>
        <v>58.310767246937459</v>
      </c>
      <c r="AM19" s="37">
        <f>(Gender!CI21/'Total Bachelor''s'!AO21)*100</f>
        <v>58.237721417069245</v>
      </c>
      <c r="AN19" s="37">
        <f>(Gender!CJ21/'Total Bachelor''s'!AP21)*100</f>
        <v>57.602580269667278</v>
      </c>
      <c r="AO19" s="37">
        <f>(Gender!CK21/'Total Bachelor''s'!AQ21)*100</f>
        <v>57.83489866534849</v>
      </c>
      <c r="AP19" s="37">
        <f>(Gender!CL21/'Total Bachelor''s'!AR21)*100</f>
        <v>57.281399406339929</v>
      </c>
      <c r="AQ19" s="37">
        <f>(Gender!CM21/'Total Bachelor''s'!AS21)*100</f>
        <v>56.790349858385802</v>
      </c>
      <c r="AR19" s="37">
        <f>(Gender!CN21/'Total Bachelor''s'!AT21)*100</f>
        <v>56.3549567908223</v>
      </c>
      <c r="AS19" s="37">
        <f>(Gender!CO21/'Total Bachelor''s'!AU21)*100</f>
        <v>56.030247127801424</v>
      </c>
      <c r="AT19" s="37" t="e">
        <f>(Gender!CP21/'Total Bachelor''s'!AV21)*100</f>
        <v>#DIV/0!</v>
      </c>
      <c r="AU19" s="37">
        <f>(Gender!CQ21/'Total Bachelor''s'!AW21)*100</f>
        <v>56.000562607686632</v>
      </c>
      <c r="AV19" s="37">
        <f>(Gender!CR21/'Total Bachelor''s'!AX21)*100</f>
        <v>56.887554994713682</v>
      </c>
      <c r="AW19" s="37">
        <f>(Gender!CS21/'Total Bachelor''s'!AY21)*100</f>
        <v>56.294930246059792</v>
      </c>
    </row>
    <row r="20" spans="1:49">
      <c r="A20" s="58" t="s">
        <v>26</v>
      </c>
      <c r="B20" s="37">
        <f>(Gender!AX22/'Total Bachelor''s'!D22)*100</f>
        <v>42.671335667833915</v>
      </c>
      <c r="C20" s="37">
        <f>(Gender!AY22/'Total Bachelor''s'!E22)*100</f>
        <v>42.640172130110109</v>
      </c>
      <c r="D20" s="37">
        <f>(Gender!AZ22/'Total Bachelor''s'!F22)*100</f>
        <v>43.246254797573357</v>
      </c>
      <c r="E20" s="37">
        <f>(Gender!BA22/'Total Bachelor''s'!G22)*100</f>
        <v>44.383401519579188</v>
      </c>
      <c r="F20" s="37">
        <f>(Gender!BB22/'Total Bachelor''s'!H22)*100</f>
        <v>43.509320236633556</v>
      </c>
      <c r="G20" s="37">
        <f>(Gender!BC22/'Total Bachelor''s'!I22)*100</f>
        <v>43.825032687507431</v>
      </c>
      <c r="H20" s="37">
        <f>(Gender!BD22/'Total Bachelor''s'!J22)*100</f>
        <v>43.349502170028082</v>
      </c>
      <c r="I20" s="37">
        <f>(Gender!BE22/'Total Bachelor''s'!K22)*100</f>
        <v>45.199792423456145</v>
      </c>
      <c r="J20" s="37">
        <f>(Gender!BF22/'Total Bachelor''s'!L22)*100</f>
        <v>44.749934537837134</v>
      </c>
      <c r="K20" s="37">
        <f>(Gender!BG22/'Total Bachelor''s'!M22)*100</f>
        <v>47.561636412896235</v>
      </c>
      <c r="L20" s="37">
        <f>(Gender!BH22/'Total Bachelor''s'!N22)*100</f>
        <v>48.215007409403206</v>
      </c>
      <c r="M20" s="37">
        <f>(Gender!BI22/'Total Bachelor''s'!O22)*100</f>
        <v>48.588082901554401</v>
      </c>
      <c r="N20" s="37">
        <f>(Gender!BJ22/'Total Bachelor''s'!P22)*100</f>
        <v>49.176155391828537</v>
      </c>
      <c r="O20" s="37">
        <f>(Gender!BK22/'Total Bachelor''s'!Q22)*100</f>
        <v>49.746328437917228</v>
      </c>
      <c r="P20" s="37">
        <f>(Gender!BL22/'Total Bachelor''s'!R22)*100</f>
        <v>48.710265763418448</v>
      </c>
      <c r="Q20" s="37">
        <f>(Gender!BM22/'Total Bachelor''s'!S22)*100</f>
        <v>49.284538432316069</v>
      </c>
      <c r="R20" s="37">
        <f>(Gender!BN22/'Total Bachelor''s'!T22)*100</f>
        <v>49.491223607224626</v>
      </c>
      <c r="S20" s="37">
        <f>(Gender!BO22/'Total Bachelor''s'!U22)*100</f>
        <v>50.345836658685819</v>
      </c>
      <c r="T20" s="37">
        <f>(Gender!BP22/'Total Bachelor''s'!V22)*100</f>
        <v>51.225895316804404</v>
      </c>
      <c r="U20" s="37">
        <f>(Gender!BQ22/'Total Bachelor''s'!W22)*100</f>
        <v>50.803355609270582</v>
      </c>
      <c r="V20" s="37">
        <f>(Gender!BR22/'Total Bachelor''s'!X22)*100</f>
        <v>52.346911248988405</v>
      </c>
      <c r="W20" s="37">
        <f>(Gender!BS22/'Total Bachelor''s'!Y22)*100</f>
        <v>53.896190096906935</v>
      </c>
      <c r="X20" s="37">
        <f>(Gender!BT22/'Total Bachelor''s'!Z22)*100</f>
        <v>52.789647173727261</v>
      </c>
      <c r="Y20" s="37">
        <f>(Gender!BU22/'Total Bachelor''s'!AA22)*100</f>
        <v>53.090866837090402</v>
      </c>
      <c r="Z20" s="37">
        <f>(Gender!BV22/'Total Bachelor''s'!AB22)*100</f>
        <v>51.442786069651739</v>
      </c>
      <c r="AA20" s="37">
        <f>(Gender!BW22/'Total Bachelor''s'!AC22)*100</f>
        <v>52.195009242144174</v>
      </c>
      <c r="AB20" s="37">
        <f>(Gender!BX22/'Total Bachelor''s'!AD22)*100</f>
        <v>51.887671871358656</v>
      </c>
      <c r="AC20" s="37">
        <f>(Gender!BY22/'Total Bachelor''s'!AE22)*100</f>
        <v>53.352912383749384</v>
      </c>
      <c r="AD20" s="37">
        <f>(Gender!BZ22/'Total Bachelor''s'!AF22)*100</f>
        <v>53.630880579010856</v>
      </c>
      <c r="AE20" s="37">
        <f>(Gender!CA22/'Total Bachelor''s'!AG22)*100</f>
        <v>52.887108178175822</v>
      </c>
      <c r="AF20" s="37">
        <f>(Gender!CB22/'Total Bachelor''s'!AH22)*100</f>
        <v>54.488004681100058</v>
      </c>
      <c r="AG20" s="37">
        <f>(Gender!CC22/'Total Bachelor''s'!AI22)*100</f>
        <v>54.308363970588239</v>
      </c>
      <c r="AH20" s="37">
        <f>(Gender!CD22/'Total Bachelor''s'!AJ22)*100</f>
        <v>54.18975836843272</v>
      </c>
      <c r="AI20" s="37">
        <f>(Gender!CE22/'Total Bachelor''s'!AK22)*100</f>
        <v>55.286555972147831</v>
      </c>
      <c r="AJ20" s="37">
        <f>(Gender!CF22/'Total Bachelor''s'!AL22)*100</f>
        <v>55.323590814196244</v>
      </c>
      <c r="AK20" s="37">
        <f>(Gender!CG22/'Total Bachelor''s'!AM22)*100</f>
        <v>55.232922498433254</v>
      </c>
      <c r="AL20" s="37">
        <f>(Gender!CH22/'Total Bachelor''s'!AN22)*100</f>
        <v>56.114821090401676</v>
      </c>
      <c r="AM20" s="37">
        <f>(Gender!CI22/'Total Bachelor''s'!AO22)*100</f>
        <v>53.795587573165236</v>
      </c>
      <c r="AN20" s="37">
        <f>(Gender!CJ22/'Total Bachelor''s'!AP22)*100</f>
        <v>52.916086350974936</v>
      </c>
      <c r="AO20" s="37">
        <f>(Gender!CK22/'Total Bachelor''s'!AQ22)*100</f>
        <v>51.363716346999823</v>
      </c>
      <c r="AP20" s="37">
        <f>(Gender!CL22/'Total Bachelor''s'!AR22)*100</f>
        <v>49.862854293076218</v>
      </c>
      <c r="AQ20" s="37">
        <f>(Gender!CM22/'Total Bachelor''s'!AS22)*100</f>
        <v>53.942977019166584</v>
      </c>
      <c r="AR20" s="37">
        <f>(Gender!CN22/'Total Bachelor''s'!AT22)*100</f>
        <v>53.07218911790563</v>
      </c>
      <c r="AS20" s="37">
        <f>(Gender!CO22/'Total Bachelor''s'!AU22)*100</f>
        <v>53.729321853535836</v>
      </c>
      <c r="AT20" s="37" t="e">
        <f>(Gender!CP22/'Total Bachelor''s'!AV22)*100</f>
        <v>#DIV/0!</v>
      </c>
      <c r="AU20" s="37">
        <f>(Gender!CQ22/'Total Bachelor''s'!AW22)*100</f>
        <v>52.74234100009312</v>
      </c>
      <c r="AV20" s="37">
        <f>(Gender!CR22/'Total Bachelor''s'!AX22)*100</f>
        <v>53.873463814292222</v>
      </c>
      <c r="AW20" s="37">
        <f>(Gender!CS22/'Total Bachelor''s'!AY22)*100</f>
        <v>51.830228894449078</v>
      </c>
    </row>
    <row r="21" spans="1:49">
      <c r="A21" s="54" t="s">
        <v>245</v>
      </c>
      <c r="B21" s="37">
        <f>(Gender!AX23/'Total Bachelor''s'!D23)*100</f>
        <v>41.557027956957825</v>
      </c>
      <c r="C21" s="37">
        <f>(Gender!AY23/'Total Bachelor''s'!E23)*100</f>
        <v>41.189661596829374</v>
      </c>
      <c r="D21" s="37">
        <f>(Gender!AZ23/'Total Bachelor''s'!F23)*100</f>
        <v>41.032551155941405</v>
      </c>
      <c r="E21" s="37">
        <f>(Gender!BA23/'Total Bachelor''s'!G23)*100</f>
        <v>40.871013416999858</v>
      </c>
      <c r="F21" s="37">
        <f>(Gender!BB23/'Total Bachelor''s'!H23)*100</f>
        <v>41.913604437343622</v>
      </c>
      <c r="G21" s="37">
        <f>(Gender!BC23/'Total Bachelor''s'!I23)*100</f>
        <v>43.019297666979895</v>
      </c>
      <c r="H21" s="37">
        <f>(Gender!BD23/'Total Bachelor''s'!J23)*100</f>
        <v>43.417396416746605</v>
      </c>
      <c r="I21" s="37">
        <f>(Gender!BE23/'Total Bachelor''s'!K23)*100</f>
        <v>44.119368415809532</v>
      </c>
      <c r="J21" s="37">
        <f>(Gender!BF23/'Total Bachelor''s'!L23)*100</f>
        <v>45.713984705197007</v>
      </c>
      <c r="K21" s="37">
        <f>(Gender!BG23/'Total Bachelor''s'!M23)*100</f>
        <v>46.885124444332824</v>
      </c>
      <c r="L21" s="37">
        <f>(Gender!BH23/'Total Bachelor''s'!N23)*100</f>
        <v>47.594547517062253</v>
      </c>
      <c r="M21" s="37">
        <f>(Gender!BI23/'Total Bachelor''s'!O23)*100</f>
        <v>48.117274542615597</v>
      </c>
      <c r="N21" s="37">
        <f>(Gender!BJ23/'Total Bachelor''s'!P23)*100</f>
        <v>48.69867871339941</v>
      </c>
      <c r="O21" s="37">
        <f>(Gender!BK23/'Total Bachelor''s'!Q23)*100</f>
        <v>49.013543277566896</v>
      </c>
      <c r="P21" s="37">
        <f>(Gender!BL23/'Total Bachelor''s'!R23)*100</f>
        <v>49.254120290476131</v>
      </c>
      <c r="Q21" s="37">
        <f>(Gender!BM23/'Total Bachelor''s'!S23)*100</f>
        <v>49.20803816683533</v>
      </c>
      <c r="R21" s="37">
        <f>(Gender!BN23/'Total Bachelor''s'!T23)*100</f>
        <v>49.358438255410313</v>
      </c>
      <c r="S21" s="37">
        <f>(Gender!BO23/'Total Bachelor''s'!U23)*100</f>
        <v>49.874688131498438</v>
      </c>
      <c r="T21" s="37">
        <f>(Gender!BP23/'Total Bachelor''s'!V23)*100</f>
        <v>50.72875023457626</v>
      </c>
      <c r="U21" s="37">
        <f>(Gender!BQ23/'Total Bachelor''s'!W23)*100</f>
        <v>51.161420682592727</v>
      </c>
      <c r="V21" s="37">
        <f>(Gender!BR23/'Total Bachelor''s'!X23)*100</f>
        <v>51.973814822941812</v>
      </c>
      <c r="W21" s="37">
        <f>(Gender!BS23/'Total Bachelor''s'!Y23)*100</f>
        <v>52.381357331158981</v>
      </c>
      <c r="X21" s="37">
        <f>(Gender!BT23/'Total Bachelor''s'!Z23)*100</f>
        <v>53.282863572622965</v>
      </c>
      <c r="Y21" s="37">
        <f>(Gender!BU23/'Total Bachelor''s'!AA23)*100</f>
        <v>53.437520186779622</v>
      </c>
      <c r="Z21" s="37">
        <f>(Gender!BV23/'Total Bachelor''s'!AB23)*100</f>
        <v>53.759434196900571</v>
      </c>
      <c r="AA21" s="37">
        <f>(Gender!BW23/'Total Bachelor''s'!AC23)*100</f>
        <v>53.666320119332823</v>
      </c>
      <c r="AB21" s="37">
        <f>(Gender!BX23/'Total Bachelor''s'!AD23)*100</f>
        <v>54.309002411439657</v>
      </c>
      <c r="AC21" s="37">
        <f>(Gender!BY23/'Total Bachelor''s'!AE23)*100</f>
        <v>54.633190210202031</v>
      </c>
      <c r="AD21" s="37">
        <f>(Gender!BZ23/'Total Bachelor''s'!AF23)*100</f>
        <v>55.069553438971433</v>
      </c>
      <c r="AE21" s="37">
        <f>(Gender!CA23/'Total Bachelor''s'!AG23)*100</f>
        <v>55.814849883946003</v>
      </c>
      <c r="AF21" s="37">
        <f>(Gender!CB23/'Total Bachelor''s'!AH23)*100</f>
        <v>56.489517073229614</v>
      </c>
      <c r="AG21" s="37">
        <f>(Gender!CC23/'Total Bachelor''s'!AI23)*100</f>
        <v>56.829074124704483</v>
      </c>
      <c r="AH21" s="37">
        <f>(Gender!CD23/'Total Bachelor''s'!AJ23)*100</f>
        <v>56.641244719689588</v>
      </c>
      <c r="AI21" s="37">
        <f>(Gender!CE23/'Total Bachelor''s'!AK23)*100</f>
        <v>56.634167329050321</v>
      </c>
      <c r="AJ21" s="37">
        <f>(Gender!CF23/'Total Bachelor''s'!AL23)*100</f>
        <v>56.669011229648213</v>
      </c>
      <c r="AK21" s="37">
        <f>(Gender!CG23/'Total Bachelor''s'!AM23)*100</f>
        <v>56.462867448031695</v>
      </c>
      <c r="AL21" s="37">
        <f>(Gender!CH23/'Total Bachelor''s'!AN23)*100</f>
        <v>56.605002777851269</v>
      </c>
      <c r="AM21" s="37">
        <f>(Gender!CI23/'Total Bachelor''s'!AO23)*100</f>
        <v>56.564327937853989</v>
      </c>
      <c r="AN21" s="37">
        <f>(Gender!CJ23/'Total Bachelor''s'!AP23)*100</f>
        <v>56.491254478128674</v>
      </c>
      <c r="AO21" s="37">
        <f>(Gender!CK23/'Total Bachelor''s'!AQ23)*100</f>
        <v>56.598079804782131</v>
      </c>
      <c r="AP21" s="37">
        <f>(Gender!CL23/'Total Bachelor''s'!AR23)*100</f>
        <v>56.743216716294008</v>
      </c>
      <c r="AQ21" s="37">
        <f>(Gender!CM23/'Total Bachelor''s'!AS23)*100</f>
        <v>56.376202777646114</v>
      </c>
      <c r="AR21" s="37">
        <f>(Gender!CN23/'Total Bachelor''s'!AT23)*100</f>
        <v>57.228719435950779</v>
      </c>
      <c r="AS21" s="37">
        <f>(Gender!CO23/'Total Bachelor''s'!AU23)*100</f>
        <v>57.230405496054907</v>
      </c>
      <c r="AT21" s="37" t="e">
        <f>(Gender!CP23/'Total Bachelor''s'!AV23)*100</f>
        <v>#DIV/0!</v>
      </c>
      <c r="AU21" s="37">
        <f>(Gender!CQ23/'Total Bachelor''s'!AW23)*100</f>
        <v>57.193268186753535</v>
      </c>
      <c r="AV21" s="37">
        <f>(Gender!CR23/'Total Bachelor''s'!AX23)*100</f>
        <v>57.027666921196577</v>
      </c>
      <c r="AW21" s="37">
        <f>(Gender!CS23/'Total Bachelor''s'!AY23)*100</f>
        <v>56.916710626575231</v>
      </c>
    </row>
    <row r="22" spans="1:49">
      <c r="A22" s="56"/>
      <c r="B22" s="37"/>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row>
    <row r="23" spans="1:49">
      <c r="A23" s="54" t="s">
        <v>167</v>
      </c>
      <c r="B23" s="37">
        <f>(Gender!AX25/'Total Bachelor''s'!D25)*100</f>
        <v>38.095238095238095</v>
      </c>
      <c r="C23" s="37">
        <f>(Gender!AY25/'Total Bachelor''s'!E25)*100</f>
        <v>44.173441734417345</v>
      </c>
      <c r="D23" s="37">
        <f>(Gender!AZ25/'Total Bachelor''s'!F25)*100</f>
        <v>37.307692307692307</v>
      </c>
      <c r="E23" s="37">
        <f>(Gender!BA25/'Total Bachelor''s'!G25)*100</f>
        <v>40.944881889763778</v>
      </c>
      <c r="F23" s="37">
        <f>(Gender!BB25/'Total Bachelor''s'!H25)*100</f>
        <v>41.222570532915356</v>
      </c>
      <c r="G23" s="37">
        <f>(Gender!BC25/'Total Bachelor''s'!I25)*100</f>
        <v>46.065573770491802</v>
      </c>
      <c r="H23" s="37">
        <f>(Gender!BD25/'Total Bachelor''s'!J25)*100</f>
        <v>51.157894736842103</v>
      </c>
      <c r="I23" s="37">
        <f>(Gender!BE25/'Total Bachelor''s'!K25)*100</f>
        <v>54.846335697399532</v>
      </c>
      <c r="J23" s="37">
        <f>(Gender!BF25/'Total Bachelor''s'!L25)*100</f>
        <v>56.022408963585434</v>
      </c>
      <c r="K23" s="37">
        <f>(Gender!BG25/'Total Bachelor''s'!M25)*100</f>
        <v>51.351351351351347</v>
      </c>
      <c r="L23" s="37">
        <f>(Gender!BH25/'Total Bachelor''s'!N25)*100</f>
        <v>57.279236276849645</v>
      </c>
      <c r="M23" s="37">
        <f>(Gender!BI25/'Total Bachelor''s'!O25)*100</f>
        <v>53.978494623655912</v>
      </c>
      <c r="N23" s="37">
        <f>(Gender!BJ25/'Total Bachelor''s'!P25)*100</f>
        <v>58.130841121495322</v>
      </c>
      <c r="O23" s="37">
        <f>(Gender!BK25/'Total Bachelor''s'!Q25)*100</f>
        <v>58.569299552906109</v>
      </c>
      <c r="P23" s="37">
        <f>(Gender!BL25/'Total Bachelor''s'!R25)*100</f>
        <v>57.080291970802918</v>
      </c>
      <c r="Q23" s="37">
        <f>(Gender!BM25/'Total Bachelor''s'!S25)*100</f>
        <v>58.048780487804876</v>
      </c>
      <c r="R23" s="37">
        <f>(Gender!BN25/'Total Bachelor''s'!T25)*100</f>
        <v>57.760814249363868</v>
      </c>
      <c r="S23" s="37">
        <f>(Gender!BO25/'Total Bachelor''s'!U25)*100</f>
        <v>53.340757238307347</v>
      </c>
      <c r="T23" s="37">
        <f>(Gender!BP25/'Total Bachelor''s'!V25)*100</f>
        <v>53.829557713052857</v>
      </c>
      <c r="U23" s="37">
        <f>(Gender!BQ25/'Total Bachelor''s'!W25)*100</f>
        <v>59.2482690405539</v>
      </c>
      <c r="V23" s="37">
        <f>(Gender!BR25/'Total Bachelor''s'!X25)*100</f>
        <v>59.539789069990412</v>
      </c>
      <c r="W23" s="37">
        <f>(Gender!BS25/'Total Bachelor''s'!Y25)*100</f>
        <v>61.411149825783973</v>
      </c>
      <c r="X23" s="37">
        <f>(Gender!BT25/'Total Bachelor''s'!Z25)*100</f>
        <v>60.682226211849191</v>
      </c>
      <c r="Y23" s="37">
        <f>(Gender!BU25/'Total Bachelor''s'!AA25)*100</f>
        <v>60.079365079365076</v>
      </c>
      <c r="Z23" s="37">
        <f>(Gender!BV25/'Total Bachelor''s'!AB25)*100</f>
        <v>60.530085959885383</v>
      </c>
      <c r="AA23" s="37">
        <f>(Gender!BW25/'Total Bachelor''s'!AC25)*100</f>
        <v>59.82961992136304</v>
      </c>
      <c r="AB23" s="37">
        <f>(Gender!BX25/'Total Bachelor''s'!AD25)*100</f>
        <v>60.147354320160751</v>
      </c>
      <c r="AC23" s="37">
        <f>(Gender!BY25/'Total Bachelor''s'!AE25)*100</f>
        <v>58.316361167684995</v>
      </c>
      <c r="AD23" s="37">
        <f>(Gender!BZ25/'Total Bachelor''s'!AF25)*100</f>
        <v>60.175794455713316</v>
      </c>
      <c r="AE23" s="37">
        <f>(Gender!CA25/'Total Bachelor''s'!AG25)*100</f>
        <v>62.381300219138055</v>
      </c>
      <c r="AF23" s="37">
        <f>(Gender!CB25/'Total Bachelor''s'!AH25)*100</f>
        <v>60.630498533724342</v>
      </c>
      <c r="AG23" s="37">
        <f>(Gender!CC25/'Total Bachelor''s'!AI25)*100</f>
        <v>61.584454409566511</v>
      </c>
      <c r="AH23" s="37">
        <f>(Gender!CD25/'Total Bachelor''s'!AJ25)*100</f>
        <v>63.326071169208419</v>
      </c>
      <c r="AI23" s="37">
        <f>(Gender!CE25/'Total Bachelor''s'!AK25)*100</f>
        <v>64.123257520176082</v>
      </c>
      <c r="AJ23" s="37">
        <f>(Gender!CF25/'Total Bachelor''s'!AL25)*100</f>
        <v>61.85053380782918</v>
      </c>
      <c r="AK23" s="37">
        <f>(Gender!CG25/'Total Bachelor''s'!AM25)*100</f>
        <v>60.546601261387522</v>
      </c>
      <c r="AL23" s="37">
        <f>(Gender!CH25/'Total Bachelor''s'!AN25)*100</f>
        <v>62.174189446916714</v>
      </c>
      <c r="AM23" s="37">
        <f>(Gender!CI25/'Total Bachelor''s'!AO25)*100</f>
        <v>62.764550264550266</v>
      </c>
      <c r="AN23" s="37">
        <f>(Gender!CJ25/'Total Bachelor''s'!AP25)*100</f>
        <v>63.21762349799733</v>
      </c>
      <c r="AO23" s="37">
        <f>(Gender!CK25/'Total Bachelor''s'!AQ25)*100</f>
        <v>62.177121771217713</v>
      </c>
      <c r="AP23" s="37">
        <f>(Gender!CL25/'Total Bachelor''s'!AR25)*100</f>
        <v>62.445954292773322</v>
      </c>
      <c r="AQ23" s="37">
        <f>(Gender!CM25/'Total Bachelor''s'!AS25)*100</f>
        <v>61.24293785310735</v>
      </c>
      <c r="AR23" s="37">
        <f>(Gender!CN25/'Total Bachelor''s'!AT25)*100</f>
        <v>58.342857142857142</v>
      </c>
      <c r="AS23" s="37">
        <f>(Gender!CO25/'Total Bachelor''s'!AU25)*100</f>
        <v>59.261213720316618</v>
      </c>
      <c r="AT23" s="37" t="e">
        <f>(Gender!CP25/'Total Bachelor''s'!AV25)*100</f>
        <v>#DIV/0!</v>
      </c>
      <c r="AU23" s="37">
        <f>(Gender!CQ25/'Total Bachelor''s'!AW25)*100</f>
        <v>59.575569358178051</v>
      </c>
      <c r="AV23" s="37">
        <f>(Gender!CR25/'Total Bachelor''s'!AX25)*100</f>
        <v>59.274399591211036</v>
      </c>
      <c r="AW23" s="37">
        <f>(Gender!CS25/'Total Bachelor''s'!AY25)*100</f>
        <v>58.075772681954142</v>
      </c>
    </row>
    <row r="24" spans="1:49">
      <c r="A24" s="54" t="s">
        <v>168</v>
      </c>
      <c r="B24" s="37">
        <f>(Gender!AX26/'Total Bachelor''s'!D26)*100</f>
        <v>39.387031408308005</v>
      </c>
      <c r="C24" s="37">
        <f>(Gender!AY26/'Total Bachelor''s'!E26)*100</f>
        <v>39.802195151368949</v>
      </c>
      <c r="D24" s="37">
        <f>(Gender!AZ26/'Total Bachelor''s'!F26)*100</f>
        <v>42.443404578221831</v>
      </c>
      <c r="E24" s="37">
        <f>(Gender!BA26/'Total Bachelor''s'!G26)*100</f>
        <v>43.360076637528437</v>
      </c>
      <c r="F24" s="37">
        <f>(Gender!BB26/'Total Bachelor''s'!H26)*100</f>
        <v>43.796125461254611</v>
      </c>
      <c r="G24" s="37">
        <f>(Gender!BC26/'Total Bachelor''s'!I26)*100</f>
        <v>43.529019346230818</v>
      </c>
      <c r="H24" s="37">
        <f>(Gender!BD26/'Total Bachelor''s'!J26)*100</f>
        <v>44.485373781148432</v>
      </c>
      <c r="I24" s="37">
        <f>(Gender!BE26/'Total Bachelor''s'!K26)*100</f>
        <v>44.943339747701515</v>
      </c>
      <c r="J24" s="37">
        <f>(Gender!BF26/'Total Bachelor''s'!L26)*100</f>
        <v>44.971537001897531</v>
      </c>
      <c r="K24" s="37">
        <f>(Gender!BG26/'Total Bachelor''s'!M26)*100</f>
        <v>46.663301362948005</v>
      </c>
      <c r="L24" s="37">
        <f>(Gender!BH26/'Total Bachelor''s'!N26)*100</f>
        <v>46.696770393638957</v>
      </c>
      <c r="M24" s="37">
        <f>(Gender!BI26/'Total Bachelor''s'!O26)*100</f>
        <v>48.134121559209305</v>
      </c>
      <c r="N24" s="37">
        <f>(Gender!BJ26/'Total Bachelor''s'!P26)*100</f>
        <v>48.337618583207728</v>
      </c>
      <c r="O24" s="37">
        <f>(Gender!BK26/'Total Bachelor''s'!Q26)*100</f>
        <v>48.52928710689158</v>
      </c>
      <c r="P24" s="37">
        <f>(Gender!BL26/'Total Bachelor''s'!R26)*100</f>
        <v>48.240985048372906</v>
      </c>
      <c r="Q24" s="37">
        <f>(Gender!BM26/'Total Bachelor''s'!S26)*100</f>
        <v>48.193854200719187</v>
      </c>
      <c r="R24" s="37">
        <f>(Gender!BN26/'Total Bachelor''s'!T26)*100</f>
        <v>48.22724618336531</v>
      </c>
      <c r="S24" s="37">
        <f>(Gender!BO26/'Total Bachelor''s'!U26)*100</f>
        <v>48.52282900626679</v>
      </c>
      <c r="T24" s="37">
        <f>(Gender!BP26/'Total Bachelor''s'!V26)*100</f>
        <v>49.603174603174608</v>
      </c>
      <c r="U24" s="37">
        <f>(Gender!BQ26/'Total Bachelor''s'!W26)*100</f>
        <v>47.156243190237525</v>
      </c>
      <c r="V24" s="37">
        <f>(Gender!BR26/'Total Bachelor''s'!X26)*100</f>
        <v>48.769716088328074</v>
      </c>
      <c r="W24" s="37">
        <f>(Gender!BS26/'Total Bachelor''s'!Y26)*100</f>
        <v>47.808279831746738</v>
      </c>
      <c r="X24" s="37">
        <f>(Gender!BT26/'Total Bachelor''s'!Z26)*100</f>
        <v>51.382833787465941</v>
      </c>
      <c r="Y24" s="37">
        <f>(Gender!BU26/'Total Bachelor''s'!AA26)*100</f>
        <v>51.964319605238188</v>
      </c>
      <c r="Z24" s="37">
        <f>(Gender!BV26/'Total Bachelor''s'!AB26)*100</f>
        <v>53.371030882992606</v>
      </c>
      <c r="AA24" s="37">
        <f>(Gender!BW26/'Total Bachelor''s'!AC26)*100</f>
        <v>52.432766615146832</v>
      </c>
      <c r="AB24" s="37">
        <f>(Gender!BX26/'Total Bachelor''s'!AD26)*100</f>
        <v>52.980015327477446</v>
      </c>
      <c r="AC24" s="37">
        <f>(Gender!BY26/'Total Bachelor''s'!AE26)*100</f>
        <v>54.25943581403174</v>
      </c>
      <c r="AD24" s="37">
        <f>(Gender!BZ26/'Total Bachelor''s'!AF26)*100</f>
        <v>53.27784124911593</v>
      </c>
      <c r="AE24" s="37">
        <f>(Gender!CA26/'Total Bachelor''s'!AG26)*100</f>
        <v>54.146033083974288</v>
      </c>
      <c r="AF24" s="37">
        <f>(Gender!CB26/'Total Bachelor''s'!AH26)*100</f>
        <v>54.8574167265756</v>
      </c>
      <c r="AG24" s="37">
        <f>(Gender!CC26/'Total Bachelor''s'!AI26)*100</f>
        <v>54.602991944764099</v>
      </c>
      <c r="AH24" s="37">
        <f>(Gender!CD26/'Total Bachelor''s'!AJ26)*100</f>
        <v>54.910511492686474</v>
      </c>
      <c r="AI24" s="37">
        <f>(Gender!CE26/'Total Bachelor''s'!AK26)*100</f>
        <v>54.91336898395722</v>
      </c>
      <c r="AJ24" s="37">
        <f>(Gender!CF26/'Total Bachelor''s'!AL26)*100</f>
        <v>55.05206545371324</v>
      </c>
      <c r="AK24" s="37">
        <f>(Gender!CG26/'Total Bachelor''s'!AM26)*100</f>
        <v>55.857618508220916</v>
      </c>
      <c r="AL24" s="37">
        <f>(Gender!CH26/'Total Bachelor''s'!AN26)*100</f>
        <v>55.599664769970445</v>
      </c>
      <c r="AM24" s="37">
        <f>(Gender!CI26/'Total Bachelor''s'!AO26)*100</f>
        <v>57.131539407184803</v>
      </c>
      <c r="AN24" s="37">
        <f>(Gender!CJ26/'Total Bachelor''s'!AP26)*100</f>
        <v>57.97621488620053</v>
      </c>
      <c r="AO24" s="37">
        <f>(Gender!CK26/'Total Bachelor''s'!AQ26)*100</f>
        <v>58.413955586746205</v>
      </c>
      <c r="AP24" s="37">
        <f>(Gender!CL26/'Total Bachelor''s'!AR26)*100</f>
        <v>60.019396017050454</v>
      </c>
      <c r="AQ24" s="37">
        <f>(Gender!CM26/'Total Bachelor''s'!AS26)*100</f>
        <v>56.541457503894755</v>
      </c>
      <c r="AR24" s="37">
        <f>(Gender!CN26/'Total Bachelor''s'!AT26)*100</f>
        <v>62.838878260463815</v>
      </c>
      <c r="AS24" s="37">
        <f>(Gender!CO26/'Total Bachelor''s'!AU26)*100</f>
        <v>63.073014134221864</v>
      </c>
      <c r="AT24" s="37" t="e">
        <f>(Gender!CP26/'Total Bachelor''s'!AV26)*100</f>
        <v>#DIV/0!</v>
      </c>
      <c r="AU24" s="37">
        <f>(Gender!CQ26/'Total Bachelor''s'!AW26)*100</f>
        <v>63.149232528325413</v>
      </c>
      <c r="AV24" s="37">
        <f>(Gender!CR26/'Total Bachelor''s'!AX26)*100</f>
        <v>62.237424114897657</v>
      </c>
      <c r="AW24" s="37">
        <f>(Gender!CS26/'Total Bachelor''s'!AY26)*100</f>
        <v>61.160409556313986</v>
      </c>
    </row>
    <row r="25" spans="1:49">
      <c r="A25" s="54" t="s">
        <v>169</v>
      </c>
      <c r="B25" s="37">
        <f>(Gender!AX27/'Total Bachelor''s'!D27)*100</f>
        <v>41.541364467244527</v>
      </c>
      <c r="C25" s="37">
        <f>(Gender!AY27/'Total Bachelor''s'!E27)*100</f>
        <v>41.12092556967513</v>
      </c>
      <c r="D25" s="37">
        <f>(Gender!AZ27/'Total Bachelor''s'!F27)*100</f>
        <v>40.534390929082612</v>
      </c>
      <c r="E25" s="37">
        <f>(Gender!BA27/'Total Bachelor''s'!G27)*100</f>
        <v>40.569971356401304</v>
      </c>
      <c r="F25" s="37">
        <f>(Gender!BB27/'Total Bachelor''s'!H27)*100</f>
        <v>41.700992051981203</v>
      </c>
      <c r="G25" s="37">
        <f>(Gender!BC27/'Total Bachelor''s'!I27)*100</f>
        <v>42.890237575260322</v>
      </c>
      <c r="H25" s="37">
        <f>(Gender!BD27/'Total Bachelor''s'!J27)*100</f>
        <v>43.559273353916851</v>
      </c>
      <c r="I25" s="37">
        <f>(Gender!BE27/'Total Bachelor''s'!K27)*100</f>
        <v>44.532731158904006</v>
      </c>
      <c r="J25" s="37">
        <f>(Gender!BF27/'Total Bachelor''s'!L27)*100</f>
        <v>46.279442301987537</v>
      </c>
      <c r="K25" s="37">
        <f>(Gender!BG27/'Total Bachelor''s'!M27)*100</f>
        <v>47.82103428239396</v>
      </c>
      <c r="L25" s="37">
        <f>(Gender!BH27/'Total Bachelor''s'!N27)*100</f>
        <v>48.351886395089956</v>
      </c>
      <c r="M25" s="37">
        <f>(Gender!BI27/'Total Bachelor''s'!O27)*100</f>
        <v>49.187518326654285</v>
      </c>
      <c r="N25" s="37">
        <f>(Gender!BJ27/'Total Bachelor''s'!P27)*100</f>
        <v>49.68829999051863</v>
      </c>
      <c r="O25" s="37">
        <f>(Gender!BK27/'Total Bachelor''s'!Q27)*100</f>
        <v>50.398322359942824</v>
      </c>
      <c r="P25" s="37">
        <f>(Gender!BL27/'Total Bachelor''s'!R27)*100</f>
        <v>50.712224718588551</v>
      </c>
      <c r="Q25" s="37">
        <f>(Gender!BM27/'Total Bachelor''s'!S27)*100</f>
        <v>50.728285867935973</v>
      </c>
      <c r="R25" s="37">
        <f>(Gender!BN27/'Total Bachelor''s'!T27)*100</f>
        <v>50.918016137222821</v>
      </c>
      <c r="S25" s="37">
        <f>(Gender!BO27/'Total Bachelor''s'!U27)*100</f>
        <v>51.169405464262304</v>
      </c>
      <c r="T25" s="37">
        <f>(Gender!BP27/'Total Bachelor''s'!V27)*100</f>
        <v>52.153234370410537</v>
      </c>
      <c r="U25" s="37">
        <f>(Gender!BQ27/'Total Bachelor''s'!W27)*100</f>
        <v>52.717795165450013</v>
      </c>
      <c r="V25" s="37">
        <f>(Gender!BR27/'Total Bachelor''s'!X27)*100</f>
        <v>53.111851421701971</v>
      </c>
      <c r="W25" s="37">
        <f>(Gender!BS27/'Total Bachelor''s'!Y27)*100</f>
        <v>53.43935352892003</v>
      </c>
      <c r="X25" s="37">
        <f>(Gender!BT27/'Total Bachelor''s'!Z27)*100</f>
        <v>54.056317582029003</v>
      </c>
      <c r="Y25" s="37">
        <f>(Gender!BU27/'Total Bachelor''s'!AA27)*100</f>
        <v>54.401405278803715</v>
      </c>
      <c r="Z25" s="37">
        <f>(Gender!BV27/'Total Bachelor''s'!AB27)*100</f>
        <v>54.353229382733716</v>
      </c>
      <c r="AA25" s="37">
        <f>(Gender!BW27/'Total Bachelor''s'!AC27)*100</f>
        <v>54.244672512168002</v>
      </c>
      <c r="AB25" s="37">
        <f>(Gender!BX27/'Total Bachelor''s'!AD27)*100</f>
        <v>55.105446959045757</v>
      </c>
      <c r="AC25" s="37">
        <f>(Gender!BY27/'Total Bachelor''s'!AE27)*100</f>
        <v>55.483060573473466</v>
      </c>
      <c r="AD25" s="37">
        <f>(Gender!BZ27/'Total Bachelor''s'!AF27)*100</f>
        <v>55.869633064336355</v>
      </c>
      <c r="AE25" s="37">
        <f>(Gender!CA27/'Total Bachelor''s'!AG27)*100</f>
        <v>56.926620881718392</v>
      </c>
      <c r="AF25" s="37">
        <f>(Gender!CB27/'Total Bachelor''s'!AH27)*100</f>
        <v>57.409540420910602</v>
      </c>
      <c r="AG25" s="37">
        <f>(Gender!CC27/'Total Bachelor''s'!AI27)*100</f>
        <v>57.965505503233864</v>
      </c>
      <c r="AH25" s="37">
        <f>(Gender!CD27/'Total Bachelor''s'!AJ27)*100</f>
        <v>57.873307307551549</v>
      </c>
      <c r="AI25" s="37">
        <f>(Gender!CE27/'Total Bachelor''s'!AK27)*100</f>
        <v>57.746893586950122</v>
      </c>
      <c r="AJ25" s="37">
        <f>(Gender!CF27/'Total Bachelor''s'!AL27)*100</f>
        <v>57.933047331035937</v>
      </c>
      <c r="AK25" s="37">
        <f>(Gender!CG27/'Total Bachelor''s'!AM27)*100</f>
        <v>57.881449928211268</v>
      </c>
      <c r="AL25" s="37">
        <f>(Gender!CH27/'Total Bachelor''s'!AN27)*100</f>
        <v>57.923070301481246</v>
      </c>
      <c r="AM25" s="37">
        <f>(Gender!CI27/'Total Bachelor''s'!AO27)*100</f>
        <v>57.690852640367353</v>
      </c>
      <c r="AN25" s="37">
        <f>(Gender!CJ27/'Total Bachelor''s'!AP27)*100</f>
        <v>57.142677054181476</v>
      </c>
      <c r="AO25" s="37">
        <f>(Gender!CK27/'Total Bachelor''s'!AQ27)*100</f>
        <v>57.351643571739267</v>
      </c>
      <c r="AP25" s="37">
        <f>(Gender!CL27/'Total Bachelor''s'!AR27)*100</f>
        <v>57.072362409074849</v>
      </c>
      <c r="AQ25" s="37">
        <f>(Gender!CM27/'Total Bachelor''s'!AS27)*100</f>
        <v>57.296436865582102</v>
      </c>
      <c r="AR25" s="37">
        <f>(Gender!CN27/'Total Bachelor''s'!AT27)*100</f>
        <v>56.914750453455035</v>
      </c>
      <c r="AS25" s="37">
        <f>(Gender!CO27/'Total Bachelor''s'!AU27)*100</f>
        <v>56.875243990853832</v>
      </c>
      <c r="AT25" s="37" t="e">
        <f>(Gender!CP27/'Total Bachelor''s'!AV27)*100</f>
        <v>#DIV/0!</v>
      </c>
      <c r="AU25" s="37">
        <f>(Gender!CQ27/'Total Bachelor''s'!AW27)*100</f>
        <v>57.284452411506528</v>
      </c>
      <c r="AV25" s="37">
        <f>(Gender!CR27/'Total Bachelor''s'!AX27)*100</f>
        <v>57.252224291330435</v>
      </c>
      <c r="AW25" s="37">
        <f>(Gender!CS27/'Total Bachelor''s'!AY27)*100</f>
        <v>57.294900010932956</v>
      </c>
    </row>
    <row r="26" spans="1:49">
      <c r="A26" s="54" t="s">
        <v>170</v>
      </c>
      <c r="B26" s="37">
        <f>(Gender!AX28/'Total Bachelor''s'!D28)*100</f>
        <v>43.034471190136706</v>
      </c>
      <c r="C26" s="37">
        <f>(Gender!AY28/'Total Bachelor''s'!E28)*100</f>
        <v>43.246512378034026</v>
      </c>
      <c r="D26" s="37">
        <f>(Gender!AZ28/'Total Bachelor''s'!F28)*100</f>
        <v>43.143240023823701</v>
      </c>
      <c r="E26" s="37">
        <f>(Gender!BA28/'Total Bachelor''s'!G28)*100</f>
        <v>43.742612293144205</v>
      </c>
      <c r="F26" s="37">
        <f>(Gender!BB28/'Total Bachelor''s'!H28)*100</f>
        <v>44.305961113880777</v>
      </c>
      <c r="G26" s="37">
        <f>(Gender!BC28/'Total Bachelor''s'!I28)*100</f>
        <v>45.711646415121152</v>
      </c>
      <c r="H26" s="37">
        <f>(Gender!BD28/'Total Bachelor''s'!J28)*100</f>
        <v>45.577031602708807</v>
      </c>
      <c r="I26" s="37">
        <f>(Gender!BE28/'Total Bachelor''s'!K28)*100</f>
        <v>45.129504504504503</v>
      </c>
      <c r="J26" s="37">
        <f>(Gender!BF28/'Total Bachelor''s'!L28)*100</f>
        <v>46.125690607734803</v>
      </c>
      <c r="K26" s="37">
        <f>(Gender!BG28/'Total Bachelor''s'!M28)*100</f>
        <v>47.042700519330637</v>
      </c>
      <c r="L26" s="37">
        <f>(Gender!BH28/'Total Bachelor''s'!N28)*100</f>
        <v>48.032276330690827</v>
      </c>
      <c r="M26" s="37">
        <f>(Gender!BI28/'Total Bachelor''s'!O28)*100</f>
        <v>48.375008516726851</v>
      </c>
      <c r="N26" s="37">
        <f>(Gender!BJ28/'Total Bachelor''s'!P28)*100</f>
        <v>49.343228687770917</v>
      </c>
      <c r="O26" s="37">
        <f>(Gender!BK28/'Total Bachelor''s'!Q28)*100</f>
        <v>49.219110378912681</v>
      </c>
      <c r="P26" s="37">
        <f>(Gender!BL28/'Total Bachelor''s'!R28)*100</f>
        <v>48.461641811097678</v>
      </c>
      <c r="Q26" s="37">
        <f>(Gender!BM28/'Total Bachelor''s'!S28)*100</f>
        <v>49.138797667716638</v>
      </c>
      <c r="R26" s="37">
        <f>(Gender!BN28/'Total Bachelor''s'!T28)*100</f>
        <v>49.108976482278898</v>
      </c>
      <c r="S26" s="37">
        <f>(Gender!BO28/'Total Bachelor''s'!U28)*100</f>
        <v>49.980286502825599</v>
      </c>
      <c r="T26" s="37">
        <f>(Gender!BP28/'Total Bachelor''s'!V28)*100</f>
        <v>50.019809825673534</v>
      </c>
      <c r="U26" s="37">
        <f>(Gender!BQ28/'Total Bachelor''s'!W28)*100</f>
        <v>50.883619304671932</v>
      </c>
      <c r="V26" s="37">
        <f>(Gender!BR28/'Total Bachelor''s'!X28)*100</f>
        <v>51.688469729236388</v>
      </c>
      <c r="W26" s="37">
        <f>(Gender!BS28/'Total Bachelor''s'!Y28)*100</f>
        <v>52.415112386417981</v>
      </c>
      <c r="X26" s="37">
        <f>(Gender!BT28/'Total Bachelor''s'!Z28)*100</f>
        <v>53.009180550833044</v>
      </c>
      <c r="Y26" s="37">
        <f>(Gender!BU28/'Total Bachelor''s'!AA28)*100</f>
        <v>52.67635402906209</v>
      </c>
      <c r="Z26" s="37">
        <f>(Gender!BV28/'Total Bachelor''s'!AB28)*100</f>
        <v>52.949245541838131</v>
      </c>
      <c r="AA26" s="37">
        <f>(Gender!BW28/'Total Bachelor''s'!AC28)*100</f>
        <v>52.516433338351142</v>
      </c>
      <c r="AB26" s="37">
        <f>(Gender!BX28/'Total Bachelor''s'!AD28)*100</f>
        <v>53.675600596738512</v>
      </c>
      <c r="AC26" s="37">
        <f>(Gender!BY28/'Total Bachelor''s'!AE28)*100</f>
        <v>53.116830886788655</v>
      </c>
      <c r="AD26" s="37">
        <f>(Gender!BZ28/'Total Bachelor''s'!AF28)*100</f>
        <v>54.348679689800726</v>
      </c>
      <c r="AE26" s="37">
        <f>(Gender!CA28/'Total Bachelor''s'!AG28)*100</f>
        <v>54.796371356880911</v>
      </c>
      <c r="AF26" s="37">
        <f>(Gender!CB28/'Total Bachelor''s'!AH28)*100</f>
        <v>55.282703555844392</v>
      </c>
      <c r="AG26" s="37">
        <f>(Gender!CC28/'Total Bachelor''s'!AI28)*100</f>
        <v>55.693601120971501</v>
      </c>
      <c r="AH26" s="37">
        <f>(Gender!CD28/'Total Bachelor''s'!AJ28)*100</f>
        <v>55.533108866442205</v>
      </c>
      <c r="AI26" s="37">
        <f>(Gender!CE28/'Total Bachelor''s'!AK28)*100</f>
        <v>55.217673814165046</v>
      </c>
      <c r="AJ26" s="37">
        <f>(Gender!CF28/'Total Bachelor''s'!AL28)*100</f>
        <v>55.2724405527659</v>
      </c>
      <c r="AK26" s="37">
        <f>(Gender!CG28/'Total Bachelor''s'!AM28)*100</f>
        <v>54.597701149425291</v>
      </c>
      <c r="AL26" s="37">
        <f>(Gender!CH28/'Total Bachelor''s'!AN28)*100</f>
        <v>55.226059232512583</v>
      </c>
      <c r="AM26" s="37">
        <f>(Gender!CI28/'Total Bachelor''s'!AO28)*100</f>
        <v>54.592066516542523</v>
      </c>
      <c r="AN26" s="37">
        <f>(Gender!CJ28/'Total Bachelor''s'!AP28)*100</f>
        <v>54.737022443035812</v>
      </c>
      <c r="AO26" s="37">
        <f>(Gender!CK28/'Total Bachelor''s'!AQ28)*100</f>
        <v>55.266534873235528</v>
      </c>
      <c r="AP26" s="37">
        <f>(Gender!CL28/'Total Bachelor''s'!AR28)*100</f>
        <v>55.573460379737973</v>
      </c>
      <c r="AQ26" s="37">
        <f>(Gender!CM28/'Total Bachelor''s'!AS28)*100</f>
        <v>55.413266986206146</v>
      </c>
      <c r="AR26" s="37">
        <f>(Gender!CN28/'Total Bachelor''s'!AT28)*100</f>
        <v>55.052586696986928</v>
      </c>
      <c r="AS26" s="37">
        <f>(Gender!CO28/'Total Bachelor''s'!AU28)*100</f>
        <v>55.439770884372521</v>
      </c>
      <c r="AT26" s="37" t="e">
        <f>(Gender!CP28/'Total Bachelor''s'!AV28)*100</f>
        <v>#DIV/0!</v>
      </c>
      <c r="AU26" s="37">
        <f>(Gender!CQ28/'Total Bachelor''s'!AW28)*100</f>
        <v>54.740061162079513</v>
      </c>
      <c r="AV26" s="37">
        <f>(Gender!CR28/'Total Bachelor''s'!AX28)*100</f>
        <v>54.904527747621181</v>
      </c>
      <c r="AW26" s="37">
        <f>(Gender!CS28/'Total Bachelor''s'!AY28)*100</f>
        <v>54.775228502145126</v>
      </c>
    </row>
    <row r="27" spans="1:49">
      <c r="A27" s="54" t="s">
        <v>173</v>
      </c>
      <c r="B27" s="37">
        <f>(Gender!AX29/'Total Bachelor''s'!D29)*100</f>
        <v>48.889739663093415</v>
      </c>
      <c r="C27" s="37">
        <f>(Gender!AY29/'Total Bachelor''s'!E29)*100</f>
        <v>48.836447066535563</v>
      </c>
      <c r="D27" s="37">
        <f>(Gender!AZ29/'Total Bachelor''s'!F29)*100</f>
        <v>47.119815668202762</v>
      </c>
      <c r="E27" s="37">
        <f>(Gender!BA29/'Total Bachelor''s'!G29)*100</f>
        <v>45.967287084038354</v>
      </c>
      <c r="F27" s="37">
        <f>(Gender!BB29/'Total Bachelor''s'!H29)*100</f>
        <v>47.072538860103627</v>
      </c>
      <c r="G27" s="37">
        <f>(Gender!BC29/'Total Bachelor''s'!I29)*100</f>
        <v>45.642201834862384</v>
      </c>
      <c r="H27" s="37">
        <f>(Gender!BD29/'Total Bachelor''s'!J29)*100</f>
        <v>46.471885336273431</v>
      </c>
      <c r="I27" s="37">
        <f>(Gender!BE29/'Total Bachelor''s'!K29)*100</f>
        <v>46.391752577319586</v>
      </c>
      <c r="J27" s="37">
        <f>(Gender!BF29/'Total Bachelor''s'!L29)*100</f>
        <v>46.055776892430281</v>
      </c>
      <c r="K27" s="37">
        <f>(Gender!BG29/'Total Bachelor''s'!M29)*100</f>
        <v>48.364069006543723</v>
      </c>
      <c r="L27" s="37">
        <f>(Gender!BH29/'Total Bachelor''s'!N29)*100</f>
        <v>50.468136514648144</v>
      </c>
      <c r="M27" s="37">
        <f>(Gender!BI29/'Total Bachelor''s'!O29)*100</f>
        <v>49.69806763285024</v>
      </c>
      <c r="N27" s="37">
        <f>(Gender!BJ29/'Total Bachelor''s'!P29)*100</f>
        <v>50.373245744998506</v>
      </c>
      <c r="O27" s="37">
        <f>(Gender!BK29/'Total Bachelor''s'!Q29)*100</f>
        <v>51.945754716981128</v>
      </c>
      <c r="P27" s="37">
        <f>(Gender!BL29/'Total Bachelor''s'!R29)*100</f>
        <v>52.650978168415087</v>
      </c>
      <c r="Q27" s="37">
        <f>(Gender!BM29/'Total Bachelor''s'!S29)*100</f>
        <v>51.581085001450532</v>
      </c>
      <c r="R27" s="37">
        <f>(Gender!BN29/'Total Bachelor''s'!T29)*100</f>
        <v>51.455213337100879</v>
      </c>
      <c r="S27" s="37">
        <f>(Gender!BO29/'Total Bachelor''s'!U29)*100</f>
        <v>52.391245609294792</v>
      </c>
      <c r="T27" s="37">
        <f>(Gender!BP29/'Total Bachelor''s'!V29)*100</f>
        <v>53.088077336197635</v>
      </c>
      <c r="U27" s="37">
        <f>(Gender!BQ29/'Total Bachelor''s'!W29)*100</f>
        <v>52.894156560088199</v>
      </c>
      <c r="V27" s="37">
        <f>(Gender!BR29/'Total Bachelor''s'!X29)*100</f>
        <v>53.655913978494617</v>
      </c>
      <c r="W27" s="37">
        <f>(Gender!BS29/'Total Bachelor''s'!Y29)*100</f>
        <v>55.241174885475608</v>
      </c>
      <c r="X27" s="37">
        <f>(Gender!BT29/'Total Bachelor''s'!Z29)*100</f>
        <v>55.404344412457476</v>
      </c>
      <c r="Y27" s="37">
        <f>(Gender!BU29/'Total Bachelor''s'!AA29)*100</f>
        <v>55.972288580984234</v>
      </c>
      <c r="Z27" s="37">
        <f>(Gender!BV29/'Total Bachelor''s'!AB29)*100</f>
        <v>55.679184051923968</v>
      </c>
      <c r="AA27" s="37">
        <f>(Gender!BW29/'Total Bachelor''s'!AC29)*100</f>
        <v>56.2</v>
      </c>
      <c r="AB27" s="37">
        <f>(Gender!BX29/'Total Bachelor''s'!AD29)*100</f>
        <v>56.404304705634104</v>
      </c>
      <c r="AC27" s="37">
        <f>(Gender!BY29/'Total Bachelor''s'!AE29)*100</f>
        <v>57.034700315457407</v>
      </c>
      <c r="AD27" s="37">
        <f>(Gender!BZ29/'Total Bachelor''s'!AF29)*100</f>
        <v>56.973995271867615</v>
      </c>
      <c r="AE27" s="37">
        <f>(Gender!CA29/'Total Bachelor''s'!AG29)*100</f>
        <v>56.705539358600589</v>
      </c>
      <c r="AF27" s="37">
        <f>(Gender!CB29/'Total Bachelor''s'!AH29)*100</f>
        <v>57.847181300333929</v>
      </c>
      <c r="AG27" s="37">
        <f>(Gender!CC29/'Total Bachelor''s'!AI29)*100</f>
        <v>59.21160130718954</v>
      </c>
      <c r="AH27" s="37">
        <f>(Gender!CD29/'Total Bachelor''s'!AJ29)*100</f>
        <v>57.294429708222815</v>
      </c>
      <c r="AI27" s="37">
        <f>(Gender!CE29/'Total Bachelor''s'!AK29)*100</f>
        <v>60.808401030315039</v>
      </c>
      <c r="AJ27" s="37">
        <f>(Gender!CF29/'Total Bachelor''s'!AL29)*100</f>
        <v>59.610838334242587</v>
      </c>
      <c r="AK27" s="37">
        <f>(Gender!CG29/'Total Bachelor''s'!AM29)*100</f>
        <v>61.377358490566039</v>
      </c>
      <c r="AL27" s="37">
        <f>(Gender!CH29/'Total Bachelor''s'!AN29)*100</f>
        <v>61.207638052640633</v>
      </c>
      <c r="AM27" s="37">
        <f>(Gender!CI29/'Total Bachelor''s'!AO29)*100</f>
        <v>61.334503950834062</v>
      </c>
      <c r="AN27" s="37">
        <f>(Gender!CJ29/'Total Bachelor''s'!AP29)*100</f>
        <v>61.233555441653856</v>
      </c>
      <c r="AO27" s="37">
        <f>(Gender!CK29/'Total Bachelor''s'!AQ29)*100</f>
        <v>59.80679661894083</v>
      </c>
      <c r="AP27" s="37">
        <f>(Gender!CL29/'Total Bachelor''s'!AR29)*100</f>
        <v>59.521158129175944</v>
      </c>
      <c r="AQ27" s="37">
        <f>(Gender!CM29/'Total Bachelor''s'!AS29)*100</f>
        <v>58.911493653277688</v>
      </c>
      <c r="AR27" s="37">
        <f>(Gender!CN29/'Total Bachelor''s'!AT29)*100</f>
        <v>59.125664893617028</v>
      </c>
      <c r="AS27" s="37">
        <f>(Gender!CO29/'Total Bachelor''s'!AU29)*100</f>
        <v>56.545654565456552</v>
      </c>
      <c r="AT27" s="37" t="e">
        <f>(Gender!CP29/'Total Bachelor''s'!AV29)*100</f>
        <v>#DIV/0!</v>
      </c>
      <c r="AU27" s="37">
        <f>(Gender!CQ29/'Total Bachelor''s'!AW29)*100</f>
        <v>57.680160780935971</v>
      </c>
      <c r="AV27" s="37">
        <f>(Gender!CR29/'Total Bachelor''s'!AX29)*100</f>
        <v>58.277954348454209</v>
      </c>
      <c r="AW27" s="37">
        <f>(Gender!CS29/'Total Bachelor''s'!AY29)*100</f>
        <v>58.323546682325315</v>
      </c>
    </row>
    <row r="28" spans="1:49">
      <c r="A28" s="54" t="s">
        <v>175</v>
      </c>
      <c r="B28" s="37">
        <f>(Gender!AX30/'Total Bachelor''s'!D30)*100</f>
        <v>39.227123587313159</v>
      </c>
      <c r="C28" s="37">
        <f>(Gender!AY30/'Total Bachelor''s'!E30)*100</f>
        <v>41.727405247813408</v>
      </c>
      <c r="D28" s="37">
        <f>(Gender!AZ30/'Total Bachelor''s'!F30)*100</f>
        <v>39.49152542372881</v>
      </c>
      <c r="E28" s="37">
        <f>(Gender!BA30/'Total Bachelor''s'!G30)*100</f>
        <v>37.724957555178271</v>
      </c>
      <c r="F28" s="37">
        <f>(Gender!BB30/'Total Bachelor''s'!H30)*100</f>
        <v>38.775510204081634</v>
      </c>
      <c r="G28" s="37">
        <f>(Gender!BC30/'Total Bachelor''s'!I30)*100</f>
        <v>38.181818181818187</v>
      </c>
      <c r="H28" s="37">
        <f>(Gender!BD30/'Total Bachelor''s'!J30)*100</f>
        <v>39.093782929399367</v>
      </c>
      <c r="I28" s="37">
        <f>(Gender!BE30/'Total Bachelor''s'!K30)*100</f>
        <v>38.707334785766157</v>
      </c>
      <c r="J28" s="37">
        <f>(Gender!BF30/'Total Bachelor''s'!L30)*100</f>
        <v>39.033715676051443</v>
      </c>
      <c r="K28" s="37">
        <f>(Gender!BG30/'Total Bachelor''s'!M30)*100</f>
        <v>41.202672605790646</v>
      </c>
      <c r="L28" s="37">
        <f>(Gender!BH30/'Total Bachelor''s'!N30)*100</f>
        <v>43.928448572411419</v>
      </c>
      <c r="M28" s="37">
        <f>(Gender!BI30/'Total Bachelor''s'!O30)*100</f>
        <v>44.146429865893438</v>
      </c>
      <c r="N28" s="37">
        <f>(Gender!BJ30/'Total Bachelor''s'!P30)*100</f>
        <v>44.675685050294831</v>
      </c>
      <c r="O28" s="37">
        <f>(Gender!BK30/'Total Bachelor''s'!Q30)*100</f>
        <v>45.100542610916058</v>
      </c>
      <c r="P28" s="37">
        <f>(Gender!BL30/'Total Bachelor''s'!R30)*100</f>
        <v>43.940375891121192</v>
      </c>
      <c r="Q28" s="37">
        <f>(Gender!BM30/'Total Bachelor''s'!S30)*100</f>
        <v>45.043536503683853</v>
      </c>
      <c r="R28" s="37">
        <f>(Gender!BN30/'Total Bachelor''s'!T30)*100</f>
        <v>46.72715489306546</v>
      </c>
      <c r="S28" s="37">
        <f>(Gender!BO30/'Total Bachelor''s'!U30)*100</f>
        <v>45.601317957166394</v>
      </c>
      <c r="T28" s="37">
        <f>(Gender!BP30/'Total Bachelor''s'!V30)*100</f>
        <v>47.255997371015447</v>
      </c>
      <c r="U28" s="37">
        <f>(Gender!BQ30/'Total Bachelor''s'!W30)*100</f>
        <v>49.254226052369901</v>
      </c>
      <c r="V28" s="37">
        <f>(Gender!BR30/'Total Bachelor''s'!X30)*100</f>
        <v>49.668665194067529</v>
      </c>
      <c r="W28" s="37">
        <f>(Gender!BS30/'Total Bachelor''s'!Y30)*100</f>
        <v>52.008928571428569</v>
      </c>
      <c r="X28" s="37">
        <f>(Gender!BT30/'Total Bachelor''s'!Z30)*100</f>
        <v>52.252762822329267</v>
      </c>
      <c r="Y28" s="37">
        <f>(Gender!BU30/'Total Bachelor''s'!AA30)*100</f>
        <v>52.383380066275805</v>
      </c>
      <c r="Z28" s="37">
        <f>(Gender!BV30/'Total Bachelor''s'!AB30)*100</f>
        <v>52.295979062574347</v>
      </c>
      <c r="AA28" s="37">
        <f>(Gender!BW30/'Total Bachelor''s'!AC30)*100</f>
        <v>51.782762691853598</v>
      </c>
      <c r="AB28" s="37">
        <f>(Gender!BX30/'Total Bachelor''s'!AD30)*100</f>
        <v>51.258632212073962</v>
      </c>
      <c r="AC28" s="37">
        <f>(Gender!BY30/'Total Bachelor''s'!AE30)*100</f>
        <v>52.14016411621202</v>
      </c>
      <c r="AD28" s="37">
        <f>(Gender!BZ30/'Total Bachelor''s'!AF30)*100</f>
        <v>55.193394176445018</v>
      </c>
      <c r="AE28" s="37">
        <f>(Gender!CA30/'Total Bachelor''s'!AG30)*100</f>
        <v>54.311454311454312</v>
      </c>
      <c r="AF28" s="37">
        <f>(Gender!CB30/'Total Bachelor''s'!AH30)*100</f>
        <v>53.513054553173426</v>
      </c>
      <c r="AG28" s="37">
        <f>(Gender!CC30/'Total Bachelor''s'!AI30)*100</f>
        <v>55.015066724063708</v>
      </c>
      <c r="AH28" s="37">
        <f>(Gender!CD30/'Total Bachelor''s'!AJ30)*100</f>
        <v>55.851821697537154</v>
      </c>
      <c r="AI28" s="37">
        <f>(Gender!CE30/'Total Bachelor''s'!AK30)*100</f>
        <v>54.30962343096234</v>
      </c>
      <c r="AJ28" s="37">
        <f>(Gender!CF30/'Total Bachelor''s'!AL30)*100</f>
        <v>54.054948692485929</v>
      </c>
      <c r="AK28" s="37">
        <f>(Gender!CG30/'Total Bachelor''s'!AM30)*100</f>
        <v>53.625771076079509</v>
      </c>
      <c r="AL28" s="37">
        <f>(Gender!CH30/'Total Bachelor''s'!AN30)*100</f>
        <v>53.155121449685126</v>
      </c>
      <c r="AM28" s="37">
        <f>(Gender!CI30/'Total Bachelor''s'!AO30)*100</f>
        <v>53.83941970985493</v>
      </c>
      <c r="AN28" s="37">
        <f>(Gender!CJ30/'Total Bachelor''s'!AP30)*100</f>
        <v>53.222952477249748</v>
      </c>
      <c r="AO28" s="37">
        <f>(Gender!CK30/'Total Bachelor''s'!AQ30)*100</f>
        <v>53.662033973086253</v>
      </c>
      <c r="AP28" s="37">
        <f>(Gender!CL30/'Total Bachelor''s'!AR30)*100</f>
        <v>55.134164377773089</v>
      </c>
      <c r="AQ28" s="37">
        <f>(Gender!CM30/'Total Bachelor''s'!AS30)*100</f>
        <v>55.261149274888233</v>
      </c>
      <c r="AR28" s="37">
        <f>(Gender!CN30/'Total Bachelor''s'!AT30)*100</f>
        <v>55.403332992536548</v>
      </c>
      <c r="AS28" s="37">
        <f>(Gender!CO30/'Total Bachelor''s'!AU30)*100</f>
        <v>54.285990712074309</v>
      </c>
      <c r="AT28" s="37" t="e">
        <f>(Gender!CP30/'Total Bachelor''s'!AV30)*100</f>
        <v>#DIV/0!</v>
      </c>
      <c r="AU28" s="37">
        <f>(Gender!CQ30/'Total Bachelor''s'!AW30)*100</f>
        <v>54.620613632188132</v>
      </c>
      <c r="AV28" s="37">
        <f>(Gender!CR30/'Total Bachelor''s'!AX30)*100</f>
        <v>55.628501400560225</v>
      </c>
      <c r="AW28" s="37">
        <f>(Gender!CS30/'Total Bachelor''s'!AY30)*100</f>
        <v>54.664512288459896</v>
      </c>
    </row>
    <row r="29" spans="1:49">
      <c r="A29" s="54" t="s">
        <v>184</v>
      </c>
      <c r="B29" s="37">
        <f>(Gender!AX31/'Total Bachelor''s'!D31)*100</f>
        <v>41.45755472504004</v>
      </c>
      <c r="C29" s="37">
        <f>(Gender!AY31/'Total Bachelor''s'!E31)*100</f>
        <v>42.144825858180909</v>
      </c>
      <c r="D29" s="37">
        <f>(Gender!AZ31/'Total Bachelor''s'!F31)*100</f>
        <v>44.150485436893206</v>
      </c>
      <c r="E29" s="37">
        <f>(Gender!BA31/'Total Bachelor''s'!G31)*100</f>
        <v>37.48826291079812</v>
      </c>
      <c r="F29" s="37">
        <f>(Gender!BB31/'Total Bachelor''s'!H31)*100</f>
        <v>41.853860056803512</v>
      </c>
      <c r="G29" s="37">
        <f>(Gender!BC31/'Total Bachelor''s'!I31)*100</f>
        <v>44.035464803868891</v>
      </c>
      <c r="H29" s="37">
        <f>(Gender!BD31/'Total Bachelor''s'!J31)*100</f>
        <v>42.52993232691307</v>
      </c>
      <c r="I29" s="37">
        <f>(Gender!BE31/'Total Bachelor''s'!K31)*100</f>
        <v>44.672131147540981</v>
      </c>
      <c r="J29" s="37">
        <f>(Gender!BF31/'Total Bachelor''s'!L31)*100</f>
        <v>45.317305004193457</v>
      </c>
      <c r="K29" s="37">
        <f>(Gender!BG31/'Total Bachelor''s'!M31)*100</f>
        <v>45.409233997901367</v>
      </c>
      <c r="L29" s="37">
        <f>(Gender!BH31/'Total Bachelor''s'!N31)*100</f>
        <v>47.293814432989691</v>
      </c>
      <c r="M29" s="37">
        <f>(Gender!BI31/'Total Bachelor''s'!O31)*100</f>
        <v>45.89777195281782</v>
      </c>
      <c r="N29" s="37">
        <f>(Gender!BJ31/'Total Bachelor''s'!P31)*100</f>
        <v>46.278072167549837</v>
      </c>
      <c r="O29" s="37">
        <f>(Gender!BK31/'Total Bachelor''s'!Q31)*100</f>
        <v>47.429274292742932</v>
      </c>
      <c r="P29" s="37">
        <f>(Gender!BL31/'Total Bachelor''s'!R31)*100</f>
        <v>46.59036719122556</v>
      </c>
      <c r="Q29" s="37">
        <f>(Gender!BM31/'Total Bachelor''s'!S31)*100</f>
        <v>45.027752081406106</v>
      </c>
      <c r="R29" s="37">
        <f>(Gender!BN31/'Total Bachelor''s'!T31)*100</f>
        <v>46.854912764003679</v>
      </c>
      <c r="S29" s="37">
        <f>(Gender!BO31/'Total Bachelor''s'!U31)*100</f>
        <v>47.584541062801932</v>
      </c>
      <c r="T29" s="37">
        <f>(Gender!BP31/'Total Bachelor''s'!V31)*100</f>
        <v>48.489208633093526</v>
      </c>
      <c r="U29" s="37">
        <f>(Gender!BQ31/'Total Bachelor''s'!W31)*100</f>
        <v>49.318240288139954</v>
      </c>
      <c r="V29" s="37">
        <f>(Gender!BR31/'Total Bachelor''s'!X31)*100</f>
        <v>49.093733816675297</v>
      </c>
      <c r="W29" s="37">
        <f>(Gender!BS31/'Total Bachelor''s'!Y31)*100</f>
        <v>50.56818181818182</v>
      </c>
      <c r="X29" s="37">
        <f>(Gender!BT31/'Total Bachelor''s'!Z31)*100</f>
        <v>50.877192982456144</v>
      </c>
      <c r="Y29" s="37">
        <f>(Gender!BU31/'Total Bachelor''s'!AA31)*100</f>
        <v>51.192179303767283</v>
      </c>
      <c r="Z29" s="37">
        <f>(Gender!BV31/'Total Bachelor''s'!AB31)*100</f>
        <v>52.260729859995415</v>
      </c>
      <c r="AA29" s="37">
        <f>(Gender!BW31/'Total Bachelor''s'!AC31)*100</f>
        <v>51.883325677537897</v>
      </c>
      <c r="AB29" s="37">
        <f>(Gender!BX31/'Total Bachelor''s'!AD31)*100</f>
        <v>52.476489028213166</v>
      </c>
      <c r="AC29" s="37">
        <f>(Gender!BY31/'Total Bachelor''s'!AE31)*100</f>
        <v>53.051346801346796</v>
      </c>
      <c r="AD29" s="37">
        <f>(Gender!BZ31/'Total Bachelor''s'!AF31)*100</f>
        <v>52.270884022708842</v>
      </c>
      <c r="AE29" s="37">
        <f>(Gender!CA31/'Total Bachelor''s'!AG31)*100</f>
        <v>53.743693239152371</v>
      </c>
      <c r="AF29" s="37">
        <f>(Gender!CB31/'Total Bachelor''s'!AH31)*100</f>
        <v>53.084509766002711</v>
      </c>
      <c r="AG29" s="37">
        <f>(Gender!CC31/'Total Bachelor''s'!AI31)*100</f>
        <v>52.884429866872459</v>
      </c>
      <c r="AH29" s="37">
        <f>(Gender!CD31/'Total Bachelor''s'!AJ31)*100</f>
        <v>53.060451013833621</v>
      </c>
      <c r="AI29" s="37">
        <f>(Gender!CE31/'Total Bachelor''s'!AK31)*100</f>
        <v>53.780068728522338</v>
      </c>
      <c r="AJ29" s="37">
        <f>(Gender!CF31/'Total Bachelor''s'!AL31)*100</f>
        <v>53.957906500279385</v>
      </c>
      <c r="AK29" s="37">
        <f>(Gender!CG31/'Total Bachelor''s'!AM31)*100</f>
        <v>54.278539694803939</v>
      </c>
      <c r="AL29" s="37">
        <f>(Gender!CH31/'Total Bachelor''s'!AN31)*100</f>
        <v>55.529503712387651</v>
      </c>
      <c r="AM29" s="37">
        <f>(Gender!CI31/'Total Bachelor''s'!AO31)*100</f>
        <v>54.092390262603033</v>
      </c>
      <c r="AN29" s="37">
        <f>(Gender!CJ31/'Total Bachelor''s'!AP31)*100</f>
        <v>55.098114659484423</v>
      </c>
      <c r="AO29" s="37">
        <f>(Gender!CK31/'Total Bachelor''s'!AQ31)*100</f>
        <v>52.608530083777602</v>
      </c>
      <c r="AP29" s="37">
        <f>(Gender!CL31/'Total Bachelor''s'!AR31)*100</f>
        <v>54.032874617737001</v>
      </c>
      <c r="AQ29" s="37">
        <f>(Gender!CM31/'Total Bachelor''s'!AS31)*100</f>
        <v>53.483309143686498</v>
      </c>
      <c r="AR29" s="37">
        <f>(Gender!CN31/'Total Bachelor''s'!AT31)*100</f>
        <v>54.123328380386326</v>
      </c>
      <c r="AS29" s="37">
        <f>(Gender!CO31/'Total Bachelor''s'!AU31)*100</f>
        <v>53.685329553508154</v>
      </c>
      <c r="AT29" s="37" t="e">
        <f>(Gender!CP31/'Total Bachelor''s'!AV31)*100</f>
        <v>#DIV/0!</v>
      </c>
      <c r="AU29" s="37">
        <f>(Gender!CQ31/'Total Bachelor''s'!AW31)*100</f>
        <v>54.808317089018843</v>
      </c>
      <c r="AV29" s="37">
        <f>(Gender!CR31/'Total Bachelor''s'!AX31)*100</f>
        <v>53.818000332723336</v>
      </c>
      <c r="AW29" s="37">
        <f>(Gender!CS31/'Total Bachelor''s'!AY31)*100</f>
        <v>53.26993660326994</v>
      </c>
    </row>
    <row r="30" spans="1:49">
      <c r="A30" s="54" t="s">
        <v>190</v>
      </c>
      <c r="B30" s="37">
        <f>(Gender!AX32/'Total Bachelor''s'!D32)*100</f>
        <v>43.141153081510936</v>
      </c>
      <c r="C30" s="37">
        <f>(Gender!AY32/'Total Bachelor''s'!E32)*100</f>
        <v>38.707102952913012</v>
      </c>
      <c r="D30" s="37">
        <f>(Gender!AZ32/'Total Bachelor''s'!F32)*100</f>
        <v>38.335809806835073</v>
      </c>
      <c r="E30" s="37">
        <f>(Gender!BA32/'Total Bachelor''s'!G32)*100</f>
        <v>38.784370477568743</v>
      </c>
      <c r="F30" s="37">
        <f>(Gender!BB32/'Total Bachelor''s'!H32)*100</f>
        <v>39.985642498205316</v>
      </c>
      <c r="G30" s="37">
        <f>(Gender!BC32/'Total Bachelor''s'!I32)*100</f>
        <v>42.016806722689076</v>
      </c>
      <c r="H30" s="37">
        <f>(Gender!BD32/'Total Bachelor''s'!J32)*100</f>
        <v>41.409395973154361</v>
      </c>
      <c r="I30" s="37">
        <f>(Gender!BE32/'Total Bachelor''s'!K32)*100</f>
        <v>42.481751824817522</v>
      </c>
      <c r="J30" s="37">
        <f>(Gender!BF32/'Total Bachelor''s'!L32)*100</f>
        <v>44.977316915100452</v>
      </c>
      <c r="K30" s="37">
        <f>(Gender!BG32/'Total Bachelor''s'!M32)*100</f>
        <v>44.931703810208482</v>
      </c>
      <c r="L30" s="37">
        <f>(Gender!BH32/'Total Bachelor''s'!N32)*100</f>
        <v>45.537596626844696</v>
      </c>
      <c r="M30" s="37">
        <f>(Gender!BI32/'Total Bachelor''s'!O32)*100</f>
        <v>45.429925524712253</v>
      </c>
      <c r="N30" s="37">
        <f>(Gender!BJ32/'Total Bachelor''s'!P32)*100</f>
        <v>44.386422976501308</v>
      </c>
      <c r="O30" s="37">
        <f>(Gender!BK32/'Total Bachelor''s'!Q32)*100</f>
        <v>47.026125625347412</v>
      </c>
      <c r="P30" s="37">
        <f>(Gender!BL32/'Total Bachelor''s'!R32)*100</f>
        <v>47.768086198050277</v>
      </c>
      <c r="Q30" s="37">
        <f>(Gender!BM32/'Total Bachelor''s'!S32)*100</f>
        <v>49.235474006116206</v>
      </c>
      <c r="R30" s="37">
        <f>(Gender!BN32/'Total Bachelor''s'!T32)*100</f>
        <v>47.915594441585178</v>
      </c>
      <c r="S30" s="37">
        <f>(Gender!BO32/'Total Bachelor''s'!U32)*100</f>
        <v>48.937273198548468</v>
      </c>
      <c r="T30" s="37">
        <f>(Gender!BP32/'Total Bachelor''s'!V32)*100</f>
        <v>52.238805970149251</v>
      </c>
      <c r="U30" s="37">
        <f>(Gender!BQ32/'Total Bachelor''s'!W32)*100</f>
        <v>49.728126544735538</v>
      </c>
      <c r="V30" s="37">
        <f>(Gender!BR32/'Total Bachelor''s'!X32)*100</f>
        <v>51.76733780760626</v>
      </c>
      <c r="W30" s="37">
        <f>(Gender!BS32/'Total Bachelor''s'!Y32)*100</f>
        <v>55.246523388116309</v>
      </c>
      <c r="X30" s="37">
        <f>(Gender!BT32/'Total Bachelor''s'!Z32)*100</f>
        <v>57.126948775055673</v>
      </c>
      <c r="Y30" s="37">
        <f>(Gender!BU32/'Total Bachelor''s'!AA32)*100</f>
        <v>54.077253218884124</v>
      </c>
      <c r="Z30" s="37">
        <f>(Gender!BV32/'Total Bachelor''s'!AB32)*100</f>
        <v>56.654456654456652</v>
      </c>
      <c r="AA30" s="37">
        <f>(Gender!BW32/'Total Bachelor''s'!AC32)*100</f>
        <v>54.138237911598928</v>
      </c>
      <c r="AB30" s="37">
        <f>(Gender!BX32/'Total Bachelor''s'!AD32)*100</f>
        <v>55.422391113709445</v>
      </c>
      <c r="AC30" s="37">
        <f>(Gender!BY32/'Total Bachelor''s'!AE32)*100</f>
        <v>54.70985155195681</v>
      </c>
      <c r="AD30" s="37">
        <f>(Gender!BZ32/'Total Bachelor''s'!AF32)*100</f>
        <v>54.686309372618744</v>
      </c>
      <c r="AE30" s="37">
        <f>(Gender!CA32/'Total Bachelor''s'!AG32)*100</f>
        <v>56.474729695750568</v>
      </c>
      <c r="AF30" s="37">
        <f>(Gender!CB32/'Total Bachelor''s'!AH32)*100</f>
        <v>57.832744405182567</v>
      </c>
      <c r="AG30" s="37">
        <f>(Gender!CC32/'Total Bachelor''s'!AI32)*100</f>
        <v>57.503441945846724</v>
      </c>
      <c r="AH30" s="37">
        <f>(Gender!CD32/'Total Bachelor''s'!AJ32)*100</f>
        <v>58.921808866117175</v>
      </c>
      <c r="AI30" s="37">
        <f>(Gender!CE32/'Total Bachelor''s'!AK32)*100</f>
        <v>59.462784498667212</v>
      </c>
      <c r="AJ30" s="37">
        <f>(Gender!CF32/'Total Bachelor''s'!AL32)*100</f>
        <v>59.929906542056074</v>
      </c>
      <c r="AK30" s="37">
        <f>(Gender!CG32/'Total Bachelor''s'!AM32)*100</f>
        <v>59.896576319543506</v>
      </c>
      <c r="AL30" s="37">
        <f>(Gender!CH32/'Total Bachelor''s'!AN32)*100</f>
        <v>60.864291129643668</v>
      </c>
      <c r="AM30" s="37">
        <f>(Gender!CI32/'Total Bachelor''s'!AO32)*100</f>
        <v>60.76682316118935</v>
      </c>
      <c r="AN30" s="37">
        <f>(Gender!CJ32/'Total Bachelor''s'!AP32)*100</f>
        <v>59.795918367346935</v>
      </c>
      <c r="AO30" s="37">
        <f>(Gender!CK32/'Total Bachelor''s'!AQ32)*100</f>
        <v>59.502739148756845</v>
      </c>
      <c r="AP30" s="37">
        <f>(Gender!CL32/'Total Bachelor''s'!AR32)*100</f>
        <v>58.825147888292747</v>
      </c>
      <c r="AQ30" s="37">
        <f>(Gender!CM32/'Total Bachelor''s'!AS32)*100</f>
        <v>58.575966119640022</v>
      </c>
      <c r="AR30" s="37">
        <f>(Gender!CN32/'Total Bachelor''s'!AT32)*100</f>
        <v>57.350438539075796</v>
      </c>
      <c r="AS30" s="37">
        <f>(Gender!CO32/'Total Bachelor''s'!AU32)*100</f>
        <v>58.066541117388567</v>
      </c>
      <c r="AT30" s="37" t="e">
        <f>(Gender!CP32/'Total Bachelor''s'!AV32)*100</f>
        <v>#DIV/0!</v>
      </c>
      <c r="AU30" s="37">
        <f>(Gender!CQ32/'Total Bachelor''s'!AW32)*100</f>
        <v>57.553703486324679</v>
      </c>
      <c r="AV30" s="37">
        <f>(Gender!CR32/'Total Bachelor''s'!AX32)*100</f>
        <v>58.196341745774482</v>
      </c>
      <c r="AW30" s="37">
        <f>(Gender!CS32/'Total Bachelor''s'!AY32)*100</f>
        <v>58.832737030411451</v>
      </c>
    </row>
    <row r="31" spans="1:49">
      <c r="A31" s="54" t="s">
        <v>189</v>
      </c>
      <c r="B31" s="37">
        <f>(Gender!AX33/'Total Bachelor''s'!D33)*100</f>
        <v>35.873560401862285</v>
      </c>
      <c r="C31" s="37">
        <f>(Gender!AY33/'Total Bachelor''s'!E33)*100</f>
        <v>36.861397479954185</v>
      </c>
      <c r="D31" s="37">
        <f>(Gender!AZ33/'Total Bachelor''s'!F33)*100</f>
        <v>38.174186778593914</v>
      </c>
      <c r="E31" s="37">
        <f>(Gender!BA33/'Total Bachelor''s'!G33)*100</f>
        <v>37.765851719340091</v>
      </c>
      <c r="F31" s="37">
        <f>(Gender!BB33/'Total Bachelor''s'!H33)*100</f>
        <v>38.646329837940897</v>
      </c>
      <c r="G31" s="37">
        <f>(Gender!BC33/'Total Bachelor''s'!I33)*100</f>
        <v>41.254472742580511</v>
      </c>
      <c r="H31" s="37">
        <f>(Gender!BD33/'Total Bachelor''s'!J33)*100</f>
        <v>41.945647892871207</v>
      </c>
      <c r="I31" s="37">
        <f>(Gender!BE33/'Total Bachelor''s'!K33)*100</f>
        <v>40.615773935048502</v>
      </c>
      <c r="J31" s="37">
        <f>(Gender!BF33/'Total Bachelor''s'!L33)*100</f>
        <v>42.25171232876712</v>
      </c>
      <c r="K31" s="37">
        <f>(Gender!BG33/'Total Bachelor''s'!M33)*100</f>
        <v>44.217540842648326</v>
      </c>
      <c r="L31" s="37">
        <f>(Gender!BH33/'Total Bachelor''s'!N33)*100</f>
        <v>46.287751677852349</v>
      </c>
      <c r="M31" s="37">
        <f>(Gender!BI33/'Total Bachelor''s'!O33)*100</f>
        <v>47.480916030534353</v>
      </c>
      <c r="N31" s="37">
        <f>(Gender!BJ33/'Total Bachelor''s'!P33)*100</f>
        <v>48.684787373958791</v>
      </c>
      <c r="O31" s="37">
        <f>(Gender!BK33/'Total Bachelor''s'!Q33)*100</f>
        <v>47.305915988563889</v>
      </c>
      <c r="P31" s="37">
        <f>(Gender!BL33/'Total Bachelor''s'!R33)*100</f>
        <v>49.026192075218269</v>
      </c>
      <c r="Q31" s="37">
        <f>(Gender!BM33/'Total Bachelor''s'!S33)*100</f>
        <v>49.1869918699187</v>
      </c>
      <c r="R31" s="37">
        <f>(Gender!BN33/'Total Bachelor''s'!T33)*100</f>
        <v>47.597883597883602</v>
      </c>
      <c r="S31" s="37">
        <f>(Gender!BO33/'Total Bachelor''s'!U33)*100</f>
        <v>48.878627968337732</v>
      </c>
      <c r="T31" s="37">
        <f>(Gender!BP33/'Total Bachelor''s'!V33)*100</f>
        <v>50.690665550439519</v>
      </c>
      <c r="U31" s="37">
        <f>(Gender!BQ33/'Total Bachelor''s'!W33)*100</f>
        <v>50.252066948981643</v>
      </c>
      <c r="V31" s="37">
        <f>(Gender!BR33/'Total Bachelor''s'!X33)*100</f>
        <v>52.907208283552364</v>
      </c>
      <c r="W31" s="37">
        <f>(Gender!BS33/'Total Bachelor''s'!Y33)*100</f>
        <v>53.47195726821824</v>
      </c>
      <c r="X31" s="37">
        <f>(Gender!BT33/'Total Bachelor''s'!Z33)*100</f>
        <v>55.589892746773316</v>
      </c>
      <c r="Y31" s="37">
        <f>(Gender!BU33/'Total Bachelor''s'!AA33)*100</f>
        <v>54.526204340921126</v>
      </c>
      <c r="Z31" s="37">
        <f>(Gender!BV33/'Total Bachelor''s'!AB33)*100</f>
        <v>54.723765936580584</v>
      </c>
      <c r="AA31" s="37">
        <f>(Gender!BW33/'Total Bachelor''s'!AC33)*100</f>
        <v>55.288385981455292</v>
      </c>
      <c r="AB31" s="37">
        <f>(Gender!BX33/'Total Bachelor''s'!AD33)*100</f>
        <v>56.361589190928093</v>
      </c>
      <c r="AC31" s="37">
        <f>(Gender!BY33/'Total Bachelor''s'!AE33)*100</f>
        <v>56.655074296553906</v>
      </c>
      <c r="AD31" s="37">
        <f>(Gender!BZ33/'Total Bachelor''s'!AF33)*100</f>
        <v>58.2801580066849</v>
      </c>
      <c r="AE31" s="37">
        <f>(Gender!CA33/'Total Bachelor''s'!AG33)*100</f>
        <v>59.25022858884487</v>
      </c>
      <c r="AF31" s="37">
        <f>(Gender!CB33/'Total Bachelor''s'!AH33)*100</f>
        <v>58.763193102423074</v>
      </c>
      <c r="AG31" s="37">
        <f>(Gender!CC33/'Total Bachelor''s'!AI33)*100</f>
        <v>58.891772248511678</v>
      </c>
      <c r="AH31" s="37">
        <f>(Gender!CD33/'Total Bachelor''s'!AJ33)*100</f>
        <v>59.1728855721393</v>
      </c>
      <c r="AI31" s="37">
        <f>(Gender!CE33/'Total Bachelor''s'!AK33)*100</f>
        <v>58.858687918030448</v>
      </c>
      <c r="AJ31" s="37">
        <f>(Gender!CF33/'Total Bachelor''s'!AL33)*100</f>
        <v>58.833310239711793</v>
      </c>
      <c r="AK31" s="37">
        <f>(Gender!CG33/'Total Bachelor''s'!AM33)*100</f>
        <v>58.894034323072731</v>
      </c>
      <c r="AL31" s="37">
        <f>(Gender!CH33/'Total Bachelor''s'!AN33)*100</f>
        <v>60.405820317714586</v>
      </c>
      <c r="AM31" s="37">
        <f>(Gender!CI33/'Total Bachelor''s'!AO33)*100</f>
        <v>59.395331037122077</v>
      </c>
      <c r="AN31" s="37">
        <f>(Gender!CJ33/'Total Bachelor''s'!AP33)*100</f>
        <v>61.866255936336799</v>
      </c>
      <c r="AO31" s="37">
        <f>(Gender!CK33/'Total Bachelor''s'!AQ33)*100</f>
        <v>59.453968253968256</v>
      </c>
      <c r="AP31" s="37">
        <f>(Gender!CL33/'Total Bachelor''s'!AR33)*100</f>
        <v>59.390275276562896</v>
      </c>
      <c r="AQ31" s="37">
        <f>(Gender!CM33/'Total Bachelor''s'!AS33)*100</f>
        <v>58.79691893874557</v>
      </c>
      <c r="AR31" s="37">
        <f>(Gender!CN33/'Total Bachelor''s'!AT33)*100</f>
        <v>58.832788473180777</v>
      </c>
      <c r="AS31" s="37">
        <f>(Gender!CO33/'Total Bachelor''s'!AU33)*100</f>
        <v>59.270906126252044</v>
      </c>
      <c r="AT31" s="37" t="e">
        <f>(Gender!CP33/'Total Bachelor''s'!AV33)*100</f>
        <v>#DIV/0!</v>
      </c>
      <c r="AU31" s="37">
        <f>(Gender!CQ33/'Total Bachelor''s'!AW33)*100</f>
        <v>57.263109998862468</v>
      </c>
      <c r="AV31" s="37">
        <f>(Gender!CR33/'Total Bachelor''s'!AX33)*100</f>
        <v>57.051072634215394</v>
      </c>
      <c r="AW31" s="37">
        <f>(Gender!CS33/'Total Bachelor''s'!AY33)*100</f>
        <v>56.837189095253613</v>
      </c>
    </row>
    <row r="32" spans="1:49">
      <c r="A32" s="54" t="s">
        <v>193</v>
      </c>
      <c r="B32" s="37">
        <f>(Gender!AX34/'Total Bachelor''s'!D34)*100</f>
        <v>43.555376398266652</v>
      </c>
      <c r="C32" s="37">
        <f>(Gender!AY34/'Total Bachelor''s'!E34)*100</f>
        <v>42.129307776343232</v>
      </c>
      <c r="D32" s="37">
        <f>(Gender!AZ34/'Total Bachelor''s'!F34)*100</f>
        <v>42.510589141316906</v>
      </c>
      <c r="E32" s="37">
        <f>(Gender!BA34/'Total Bachelor''s'!G34)*100</f>
        <v>41.148233486943163</v>
      </c>
      <c r="F32" s="37">
        <f>(Gender!BB34/'Total Bachelor''s'!H34)*100</f>
        <v>42.090656799259946</v>
      </c>
      <c r="G32" s="37">
        <f>(Gender!BC34/'Total Bachelor''s'!I34)*100</f>
        <v>42.903735916188964</v>
      </c>
      <c r="H32" s="37">
        <f>(Gender!BD34/'Total Bachelor''s'!J34)*100</f>
        <v>42.525107604017215</v>
      </c>
      <c r="I32" s="37">
        <f>(Gender!BE34/'Total Bachelor''s'!K34)*100</f>
        <v>43.939393939393938</v>
      </c>
      <c r="J32" s="37">
        <f>(Gender!BF34/'Total Bachelor''s'!L34)*100</f>
        <v>45.299641785264789</v>
      </c>
      <c r="K32" s="37">
        <f>(Gender!BG34/'Total Bachelor''s'!M34)*100</f>
        <v>46.804473736768529</v>
      </c>
      <c r="L32" s="37">
        <f>(Gender!BH34/'Total Bachelor''s'!N34)*100</f>
        <v>46.812787136294027</v>
      </c>
      <c r="M32" s="37">
        <f>(Gender!BI34/'Total Bachelor''s'!O34)*100</f>
        <v>48.195849943780026</v>
      </c>
      <c r="N32" s="37">
        <f>(Gender!BJ34/'Total Bachelor''s'!P34)*100</f>
        <v>46.756806139228942</v>
      </c>
      <c r="O32" s="37">
        <f>(Gender!BK34/'Total Bachelor''s'!Q34)*100</f>
        <v>47.37581183078813</v>
      </c>
      <c r="P32" s="37">
        <f>(Gender!BL34/'Total Bachelor''s'!R34)*100</f>
        <v>48.243876080691642</v>
      </c>
      <c r="Q32" s="37">
        <f>(Gender!BM34/'Total Bachelor''s'!S34)*100</f>
        <v>47.58347168419111</v>
      </c>
      <c r="R32" s="37">
        <f>(Gender!BN34/'Total Bachelor''s'!T34)*100</f>
        <v>47.82409946973852</v>
      </c>
      <c r="S32" s="37">
        <f>(Gender!BO34/'Total Bachelor''s'!U34)*100</f>
        <v>48.690715986083134</v>
      </c>
      <c r="T32" s="37">
        <f>(Gender!BP34/'Total Bachelor''s'!V34)*100</f>
        <v>49.346724735579059</v>
      </c>
      <c r="U32" s="37">
        <f>(Gender!BQ34/'Total Bachelor''s'!W34)*100</f>
        <v>50.190307028672919</v>
      </c>
      <c r="V32" s="37">
        <f>(Gender!BR34/'Total Bachelor''s'!X34)*100</f>
        <v>51.406324487525822</v>
      </c>
      <c r="W32" s="37">
        <f>(Gender!BS34/'Total Bachelor''s'!Y34)*100</f>
        <v>51.994137159608108</v>
      </c>
      <c r="X32" s="37">
        <f>(Gender!BT34/'Total Bachelor''s'!Z34)*100</f>
        <v>52.471028037383185</v>
      </c>
      <c r="Y32" s="37">
        <f>(Gender!BU34/'Total Bachelor''s'!AA34)*100</f>
        <v>51.73909734378568</v>
      </c>
      <c r="Z32" s="37">
        <f>(Gender!BV34/'Total Bachelor''s'!AB34)*100</f>
        <v>53.134418324291744</v>
      </c>
      <c r="AA32" s="37">
        <f>(Gender!BW34/'Total Bachelor''s'!AC34)*100</f>
        <v>53.774096152357352</v>
      </c>
      <c r="AB32" s="37">
        <f>(Gender!BX34/'Total Bachelor''s'!AD34)*100</f>
        <v>54.276216379570862</v>
      </c>
      <c r="AC32" s="37">
        <f>(Gender!BY34/'Total Bachelor''s'!AE34)*100</f>
        <v>54.221218961625283</v>
      </c>
      <c r="AD32" s="37">
        <f>(Gender!BZ34/'Total Bachelor''s'!AF34)*100</f>
        <v>54.519484324641077</v>
      </c>
      <c r="AE32" s="37">
        <f>(Gender!CA34/'Total Bachelor''s'!AG34)*100</f>
        <v>55.682145947505049</v>
      </c>
      <c r="AF32" s="37">
        <f>(Gender!CB34/'Total Bachelor''s'!AH34)*100</f>
        <v>56.584419184918211</v>
      </c>
      <c r="AG32" s="37">
        <f>(Gender!CC34/'Total Bachelor''s'!AI34)*100</f>
        <v>56.772521062864541</v>
      </c>
      <c r="AH32" s="37">
        <f>(Gender!CD34/'Total Bachelor''s'!AJ34)*100</f>
        <v>56.138408304498263</v>
      </c>
      <c r="AI32" s="37">
        <f>(Gender!CE34/'Total Bachelor''s'!AK34)*100</f>
        <v>57.06639480056073</v>
      </c>
      <c r="AJ32" s="37">
        <f>(Gender!CF34/'Total Bachelor''s'!AL34)*100</f>
        <v>56.343014882381183</v>
      </c>
      <c r="AK32" s="37">
        <f>(Gender!CG34/'Total Bachelor''s'!AM34)*100</f>
        <v>56.506788403391241</v>
      </c>
      <c r="AL32" s="37">
        <f>(Gender!CH34/'Total Bachelor''s'!AN34)*100</f>
        <v>56.457376212353239</v>
      </c>
      <c r="AM32" s="37">
        <f>(Gender!CI34/'Total Bachelor''s'!AO34)*100</f>
        <v>55.808109013738417</v>
      </c>
      <c r="AN32" s="37">
        <f>(Gender!CJ34/'Total Bachelor''s'!AP34)*100</f>
        <v>57.0703125</v>
      </c>
      <c r="AO32" s="37">
        <f>(Gender!CK34/'Total Bachelor''s'!AQ34)*100</f>
        <v>56.373479182944529</v>
      </c>
      <c r="AP32" s="37">
        <f>(Gender!CL34/'Total Bachelor''s'!AR34)*100</f>
        <v>56.170190218831138</v>
      </c>
      <c r="AQ32" s="37">
        <f>(Gender!CM34/'Total Bachelor''s'!AS34)*100</f>
        <v>56.463002763279093</v>
      </c>
      <c r="AR32" s="37">
        <f>(Gender!CN34/'Total Bachelor''s'!AT34)*100</f>
        <v>55.617126077484137</v>
      </c>
      <c r="AS32" s="37">
        <f>(Gender!CO34/'Total Bachelor''s'!AU34)*100</f>
        <v>55.920307901290464</v>
      </c>
      <c r="AT32" s="37" t="e">
        <f>(Gender!CP34/'Total Bachelor''s'!AV34)*100</f>
        <v>#DIV/0!</v>
      </c>
      <c r="AU32" s="37">
        <f>(Gender!CQ34/'Total Bachelor''s'!AW34)*100</f>
        <v>55.857168079096041</v>
      </c>
      <c r="AV32" s="37">
        <f>(Gender!CR34/'Total Bachelor''s'!AX34)*100</f>
        <v>55.320657713956479</v>
      </c>
      <c r="AW32" s="37">
        <f>(Gender!CS34/'Total Bachelor''s'!AY34)*100</f>
        <v>56.23504273504274</v>
      </c>
    </row>
    <row r="33" spans="1:49">
      <c r="A33" s="54" t="s">
        <v>197</v>
      </c>
      <c r="B33" s="37">
        <f>(Gender!AX35/'Total Bachelor''s'!D35)*100</f>
        <v>38.9159216928822</v>
      </c>
      <c r="C33" s="37">
        <f>(Gender!AY35/'Total Bachelor''s'!E35)*100</f>
        <v>37.832942680588111</v>
      </c>
      <c r="D33" s="37">
        <f>(Gender!AZ35/'Total Bachelor''s'!F35)*100</f>
        <v>38.322042730588848</v>
      </c>
      <c r="E33" s="37">
        <f>(Gender!BA35/'Total Bachelor''s'!G35)*100</f>
        <v>39.993533785968317</v>
      </c>
      <c r="F33" s="37">
        <f>(Gender!BB35/'Total Bachelor''s'!H35)*100</f>
        <v>40.785593934288123</v>
      </c>
      <c r="G33" s="37">
        <f>(Gender!BC35/'Total Bachelor''s'!I35)*100</f>
        <v>40.38671618964387</v>
      </c>
      <c r="H33" s="37">
        <f>(Gender!BD35/'Total Bachelor''s'!J35)*100</f>
        <v>39.042762776683276</v>
      </c>
      <c r="I33" s="37">
        <f>(Gender!BE35/'Total Bachelor''s'!K35)*100</f>
        <v>38.985055370390285</v>
      </c>
      <c r="J33" s="37">
        <f>(Gender!BF35/'Total Bachelor''s'!L35)*100</f>
        <v>42.020463365870867</v>
      </c>
      <c r="K33" s="37">
        <f>(Gender!BG35/'Total Bachelor''s'!M35)*100</f>
        <v>41.084936243786466</v>
      </c>
      <c r="L33" s="37">
        <f>(Gender!BH35/'Total Bachelor''s'!N35)*100</f>
        <v>41.164331486912133</v>
      </c>
      <c r="M33" s="37">
        <f>(Gender!BI35/'Total Bachelor''s'!O35)*100</f>
        <v>39.302728453876135</v>
      </c>
      <c r="N33" s="37">
        <f>(Gender!BJ35/'Total Bachelor''s'!P35)*100</f>
        <v>41.33430021754895</v>
      </c>
      <c r="O33" s="37">
        <f>(Gender!BK35/'Total Bachelor''s'!Q35)*100</f>
        <v>40.553696379677518</v>
      </c>
      <c r="P33" s="37">
        <f>(Gender!BL35/'Total Bachelor''s'!R35)*100</f>
        <v>41.621990447412024</v>
      </c>
      <c r="Q33" s="37">
        <f>(Gender!BM35/'Total Bachelor''s'!S35)*100</f>
        <v>41.106408111034547</v>
      </c>
      <c r="R33" s="37">
        <f>(Gender!BN35/'Total Bachelor''s'!T35)*100</f>
        <v>40.043742868010654</v>
      </c>
      <c r="S33" s="37">
        <f>(Gender!BO35/'Total Bachelor''s'!U35)*100</f>
        <v>41.659900766801982</v>
      </c>
      <c r="T33" s="37">
        <f>(Gender!BP35/'Total Bachelor''s'!V35)*100</f>
        <v>43.179297597042513</v>
      </c>
      <c r="U33" s="37">
        <f>(Gender!BQ35/'Total Bachelor''s'!W35)*100</f>
        <v>43.128627597828121</v>
      </c>
      <c r="V33" s="37">
        <f>(Gender!BR35/'Total Bachelor''s'!X35)*100</f>
        <v>45.007793160355739</v>
      </c>
      <c r="W33" s="37">
        <f>(Gender!BS35/'Total Bachelor''s'!Y35)*100</f>
        <v>46.031746031746032</v>
      </c>
      <c r="X33" s="37">
        <f>(Gender!BT35/'Total Bachelor''s'!Z35)*100</f>
        <v>46.662782956058592</v>
      </c>
      <c r="Y33" s="37">
        <f>(Gender!BU35/'Total Bachelor''s'!AA35)*100</f>
        <v>47.081621579722501</v>
      </c>
      <c r="Z33" s="37">
        <f>(Gender!BV35/'Total Bachelor''s'!AB35)*100</f>
        <v>48.636459727996616</v>
      </c>
      <c r="AA33" s="37">
        <f>(Gender!BW35/'Total Bachelor''s'!AC35)*100</f>
        <v>49.356990578364623</v>
      </c>
      <c r="AB33" s="37">
        <f>(Gender!BX35/'Total Bachelor''s'!AD35)*100</f>
        <v>49.511254019292608</v>
      </c>
      <c r="AC33" s="37">
        <f>(Gender!BY35/'Total Bachelor''s'!AE35)*100</f>
        <v>49.455902821713273</v>
      </c>
      <c r="AD33" s="37">
        <f>(Gender!BZ35/'Total Bachelor''s'!AF35)*100</f>
        <v>50.113977204559092</v>
      </c>
      <c r="AE33" s="37">
        <f>(Gender!CA35/'Total Bachelor''s'!AG35)*100</f>
        <v>50.11363636363636</v>
      </c>
      <c r="AF33" s="37">
        <f>(Gender!CB35/'Total Bachelor''s'!AH35)*100</f>
        <v>51.383515066244577</v>
      </c>
      <c r="AG33" s="37">
        <f>(Gender!CC35/'Total Bachelor''s'!AI35)*100</f>
        <v>51.477385758586394</v>
      </c>
      <c r="AH33" s="37">
        <f>(Gender!CD35/'Total Bachelor''s'!AJ35)*100</f>
        <v>50.252914009236861</v>
      </c>
      <c r="AI33" s="37">
        <f>(Gender!CE35/'Total Bachelor''s'!AK35)*100</f>
        <v>49.811380069160641</v>
      </c>
      <c r="AJ33" s="37">
        <f>(Gender!CF35/'Total Bachelor''s'!AL35)*100</f>
        <v>48.455472399417346</v>
      </c>
      <c r="AK33" s="37">
        <f>(Gender!CG35/'Total Bachelor''s'!AM35)*100</f>
        <v>48.391749603346312</v>
      </c>
      <c r="AL33" s="37">
        <f>(Gender!CH35/'Total Bachelor''s'!AN35)*100</f>
        <v>46.997980594000886</v>
      </c>
      <c r="AM33" s="37">
        <f>(Gender!CI35/'Total Bachelor''s'!AO35)*100</f>
        <v>48.045119969410187</v>
      </c>
      <c r="AN33" s="37">
        <f>(Gender!CJ35/'Total Bachelor''s'!AP35)*100</f>
        <v>47.697886349539573</v>
      </c>
      <c r="AO33" s="37">
        <f>(Gender!CK35/'Total Bachelor''s'!AQ35)*100</f>
        <v>48.935081845238095</v>
      </c>
      <c r="AP33" s="37">
        <f>(Gender!CL35/'Total Bachelor''s'!AR35)*100</f>
        <v>49.015047879616965</v>
      </c>
      <c r="AQ33" s="37">
        <f>(Gender!CM35/'Total Bachelor''s'!AS35)*100</f>
        <v>48.371862912656297</v>
      </c>
      <c r="AR33" s="37">
        <f>(Gender!CN35/'Total Bachelor''s'!AT35)*100</f>
        <v>49.424736337488021</v>
      </c>
      <c r="AS33" s="37">
        <f>(Gender!CO35/'Total Bachelor''s'!AU35)*100</f>
        <v>49.946601734375669</v>
      </c>
      <c r="AT33" s="37" t="e">
        <f>(Gender!CP35/'Total Bachelor''s'!AV35)*100</f>
        <v>#DIV/0!</v>
      </c>
      <c r="AU33" s="37">
        <f>(Gender!CQ35/'Total Bachelor''s'!AW35)*100</f>
        <v>49.482168211809906</v>
      </c>
      <c r="AV33" s="37">
        <f>(Gender!CR35/'Total Bachelor''s'!AX35)*100</f>
        <v>48.832236152459224</v>
      </c>
      <c r="AW33" s="37">
        <f>(Gender!CS35/'Total Bachelor''s'!AY35)*100</f>
        <v>49.543523076275818</v>
      </c>
    </row>
    <row r="34" spans="1:49">
      <c r="A34" s="54" t="s">
        <v>76</v>
      </c>
      <c r="B34" s="37">
        <f>(Gender!AX36/'Total Bachelor''s'!D36)*100</f>
        <v>42.89722184206925</v>
      </c>
      <c r="C34" s="37">
        <f>(Gender!AY36/'Total Bachelor''s'!E36)*100</f>
        <v>41.845856487074172</v>
      </c>
      <c r="D34" s="37">
        <f>(Gender!AZ36/'Total Bachelor''s'!F36)*100</f>
        <v>41.326471608650401</v>
      </c>
      <c r="E34" s="37">
        <f>(Gender!BA36/'Total Bachelor''s'!G36)*100</f>
        <v>40.509478672985786</v>
      </c>
      <c r="F34" s="37">
        <f>(Gender!BB36/'Total Bachelor''s'!H36)*100</f>
        <v>41.395971591570614</v>
      </c>
      <c r="G34" s="37">
        <f>(Gender!BC36/'Total Bachelor''s'!I36)*100</f>
        <v>43.209876543209873</v>
      </c>
      <c r="H34" s="37">
        <f>(Gender!BD36/'Total Bachelor''s'!J36)*100</f>
        <v>43.985318493961643</v>
      </c>
      <c r="I34" s="37">
        <f>(Gender!BE36/'Total Bachelor''s'!K36)*100</f>
        <v>44.940786647849293</v>
      </c>
      <c r="J34" s="37">
        <f>(Gender!BF36/'Total Bachelor''s'!L36)*100</f>
        <v>47.307763801970381</v>
      </c>
      <c r="K34" s="37">
        <f>(Gender!BG36/'Total Bachelor''s'!M36)*100</f>
        <v>47.492680495857471</v>
      </c>
      <c r="L34" s="37">
        <f>(Gender!BH36/'Total Bachelor''s'!N36)*100</f>
        <v>48.711149481993097</v>
      </c>
      <c r="M34" s="37">
        <f>(Gender!BI36/'Total Bachelor''s'!O36)*100</f>
        <v>48.720567035079284</v>
      </c>
      <c r="N34" s="37">
        <f>(Gender!BJ36/'Total Bachelor''s'!P36)*100</f>
        <v>50.079850212016076</v>
      </c>
      <c r="O34" s="37">
        <f>(Gender!BK36/'Total Bachelor''s'!Q36)*100</f>
        <v>49.247477810243126</v>
      </c>
      <c r="P34" s="37">
        <f>(Gender!BL36/'Total Bachelor''s'!R36)*100</f>
        <v>49.563525159855438</v>
      </c>
      <c r="Q34" s="37">
        <f>(Gender!BM36/'Total Bachelor''s'!S36)*100</f>
        <v>49.176591258761185</v>
      </c>
      <c r="R34" s="37">
        <f>(Gender!BN36/'Total Bachelor''s'!T36)*100</f>
        <v>49.789394726213146</v>
      </c>
      <c r="S34" s="37">
        <f>(Gender!BO36/'Total Bachelor''s'!U36)*100</f>
        <v>51.25795013226768</v>
      </c>
      <c r="T34" s="37">
        <f>(Gender!BP36/'Total Bachelor''s'!V36)*100</f>
        <v>50.968550592525062</v>
      </c>
      <c r="U34" s="37">
        <f>(Gender!BQ36/'Total Bachelor''s'!W36)*100</f>
        <v>52.268462302682416</v>
      </c>
      <c r="V34" s="37">
        <f>(Gender!BR36/'Total Bachelor''s'!X36)*100</f>
        <v>53.042104689797917</v>
      </c>
      <c r="W34" s="37">
        <f>(Gender!BS36/'Total Bachelor''s'!Y36)*100</f>
        <v>53.882610280714552</v>
      </c>
      <c r="X34" s="37">
        <f>(Gender!BT36/'Total Bachelor''s'!Z36)*100</f>
        <v>54.060900846126572</v>
      </c>
      <c r="Y34" s="37">
        <f>(Gender!BU36/'Total Bachelor''s'!AA36)*100</f>
        <v>54.630563157136677</v>
      </c>
      <c r="Z34" s="37">
        <f>(Gender!BV36/'Total Bachelor''s'!AB36)*100</f>
        <v>54.598752403733407</v>
      </c>
      <c r="AA34" s="37">
        <f>(Gender!BW36/'Total Bachelor''s'!AC36)*100</f>
        <v>54.695803555066888</v>
      </c>
      <c r="AB34" s="37">
        <f>(Gender!BX36/'Total Bachelor''s'!AD36)*100</f>
        <v>54.821682044002841</v>
      </c>
      <c r="AC34" s="37">
        <f>(Gender!BY36/'Total Bachelor''s'!AE36)*100</f>
        <v>55.711352815271042</v>
      </c>
      <c r="AD34" s="37">
        <f>(Gender!BZ36/'Total Bachelor''s'!AF36)*100</f>
        <v>56.159883968944627</v>
      </c>
      <c r="AE34" s="37">
        <f>(Gender!CA36/'Total Bachelor''s'!AG36)*100</f>
        <v>56.15891741845941</v>
      </c>
      <c r="AF34" s="37">
        <f>(Gender!CB36/'Total Bachelor''s'!AH36)*100</f>
        <v>57.86601116573619</v>
      </c>
      <c r="AG34" s="37">
        <f>(Gender!CC36/'Total Bachelor''s'!AI36)*100</f>
        <v>57.570069536282588</v>
      </c>
      <c r="AH34" s="37">
        <f>(Gender!CD36/'Total Bachelor''s'!AJ36)*100</f>
        <v>57.092633472324415</v>
      </c>
      <c r="AI34" s="37">
        <f>(Gender!CE36/'Total Bachelor''s'!AK36)*100</f>
        <v>57.136791724563842</v>
      </c>
      <c r="AJ34" s="37">
        <f>(Gender!CF36/'Total Bachelor''s'!AL36)*100</f>
        <v>58.218120311810559</v>
      </c>
      <c r="AK34" s="37">
        <f>(Gender!CG36/'Total Bachelor''s'!AM36)*100</f>
        <v>55.920750044224313</v>
      </c>
      <c r="AL34" s="37">
        <f>(Gender!CH36/'Total Bachelor''s'!AN36)*100</f>
        <v>56.569828491424566</v>
      </c>
      <c r="AM34" s="37">
        <f>(Gender!CI36/'Total Bachelor''s'!AO36)*100</f>
        <v>56.824417009602193</v>
      </c>
      <c r="AN34" s="37">
        <f>(Gender!CJ36/'Total Bachelor''s'!AP36)*100</f>
        <v>56.377862078309171</v>
      </c>
      <c r="AO34" s="37">
        <f>(Gender!CK36/'Total Bachelor''s'!AQ36)*100</f>
        <v>56.186235086903061</v>
      </c>
      <c r="AP34" s="37">
        <f>(Gender!CL36/'Total Bachelor''s'!AR36)*100</f>
        <v>56.148734902294528</v>
      </c>
      <c r="AQ34" s="37">
        <f>(Gender!CM36/'Total Bachelor''s'!AS36)*100</f>
        <v>56.637365437288999</v>
      </c>
      <c r="AR34" s="37">
        <f>(Gender!CN36/'Total Bachelor''s'!AT36)*100</f>
        <v>56.464665184086982</v>
      </c>
      <c r="AS34" s="37">
        <f>(Gender!CO36/'Total Bachelor''s'!AU36)*100</f>
        <v>56.000489461286676</v>
      </c>
      <c r="AT34" s="37" t="e">
        <f>(Gender!CP36/'Total Bachelor''s'!AV36)*100</f>
        <v>#DIV/0!</v>
      </c>
      <c r="AU34" s="37">
        <f>(Gender!CQ36/'Total Bachelor''s'!AW36)*100</f>
        <v>55.951844846738119</v>
      </c>
      <c r="AV34" s="37">
        <f>(Gender!CR36/'Total Bachelor''s'!AX36)*100</f>
        <v>56.30989939877373</v>
      </c>
      <c r="AW34" s="37">
        <f>(Gender!CS36/'Total Bachelor''s'!AY36)*100</f>
        <v>56.011455958852061</v>
      </c>
    </row>
    <row r="35" spans="1:49">
      <c r="A35" s="58" t="s">
        <v>200</v>
      </c>
      <c r="B35" s="37">
        <f>(Gender!AX37/'Total Bachelor''s'!D37)*100</f>
        <v>37.730287398673546</v>
      </c>
      <c r="C35" s="37">
        <f>(Gender!AY37/'Total Bachelor''s'!E37)*100</f>
        <v>37.034220532319388</v>
      </c>
      <c r="D35" s="37">
        <f>(Gender!AZ37/'Total Bachelor''s'!F37)*100</f>
        <v>37.437005039596833</v>
      </c>
      <c r="E35" s="37">
        <f>(Gender!BA37/'Total Bachelor''s'!G37)*100</f>
        <v>41.343490304709142</v>
      </c>
      <c r="F35" s="37">
        <f>(Gender!BB37/'Total Bachelor''s'!H37)*100</f>
        <v>39.275766016713092</v>
      </c>
      <c r="G35" s="37">
        <f>(Gender!BC37/'Total Bachelor''s'!I37)*100</f>
        <v>41.271056661562021</v>
      </c>
      <c r="H35" s="37">
        <f>(Gender!BD37/'Total Bachelor''s'!J37)*100</f>
        <v>40.749414519906324</v>
      </c>
      <c r="I35" s="37">
        <f>(Gender!BE37/'Total Bachelor''s'!K37)*100</f>
        <v>43.024162120031178</v>
      </c>
      <c r="J35" s="37">
        <f>(Gender!BF37/'Total Bachelor''s'!L37)*100</f>
        <v>43.046357615894038</v>
      </c>
      <c r="K35" s="37">
        <f>(Gender!BG37/'Total Bachelor''s'!M37)*100</f>
        <v>44.453064391000773</v>
      </c>
      <c r="L35" s="37">
        <f>(Gender!BH37/'Total Bachelor''s'!N37)*100</f>
        <v>45.12012012012012</v>
      </c>
      <c r="M35" s="37">
        <f>(Gender!BI37/'Total Bachelor''s'!O37)*100</f>
        <v>46.136363636363633</v>
      </c>
      <c r="N35" s="37">
        <f>(Gender!BJ37/'Total Bachelor''s'!P37)*100</f>
        <v>45.105421686746986</v>
      </c>
      <c r="O35" s="37">
        <f>(Gender!BK37/'Total Bachelor''s'!Q37)*100</f>
        <v>46.053584359160027</v>
      </c>
      <c r="P35" s="37">
        <f>(Gender!BL37/'Total Bachelor''s'!R37)*100</f>
        <v>44.922663080026901</v>
      </c>
      <c r="Q35" s="37">
        <f>(Gender!BM37/'Total Bachelor''s'!S37)*100</f>
        <v>46.828358208955223</v>
      </c>
      <c r="R35" s="37">
        <f>(Gender!BN37/'Total Bachelor''s'!T37)*100</f>
        <v>50.875075437537717</v>
      </c>
      <c r="S35" s="37">
        <f>(Gender!BO37/'Total Bachelor''s'!U37)*100</f>
        <v>46.338461538461537</v>
      </c>
      <c r="T35" s="37">
        <f>(Gender!BP37/'Total Bachelor''s'!V37)*100</f>
        <v>48.927038626609445</v>
      </c>
      <c r="U35" s="37">
        <f>(Gender!BQ37/'Total Bachelor''s'!W37)*100</f>
        <v>51.244687310261085</v>
      </c>
      <c r="V35" s="37">
        <f>(Gender!BR37/'Total Bachelor''s'!X37)*100</f>
        <v>53.341433778857841</v>
      </c>
      <c r="W35" s="37">
        <f>(Gender!BS37/'Total Bachelor''s'!Y37)*100</f>
        <v>51.553930530164536</v>
      </c>
      <c r="X35" s="37">
        <f>(Gender!BT37/'Total Bachelor''s'!Z37)*100</f>
        <v>52.667040988208868</v>
      </c>
      <c r="Y35" s="37">
        <f>(Gender!BU37/'Total Bachelor''s'!AA37)*100</f>
        <v>51.616379310344826</v>
      </c>
      <c r="Z35" s="37">
        <f>(Gender!BV37/'Total Bachelor''s'!AB37)*100</f>
        <v>52.564102564102569</v>
      </c>
      <c r="AA35" s="37">
        <f>(Gender!BW37/'Total Bachelor''s'!AC37)*100</f>
        <v>54.361283061339336</v>
      </c>
      <c r="AB35" s="37">
        <f>(Gender!BX37/'Total Bachelor''s'!AD37)*100</f>
        <v>52.955514929920774</v>
      </c>
      <c r="AC35" s="37">
        <f>(Gender!BY37/'Total Bachelor''s'!AE37)*100</f>
        <v>51.150121065375295</v>
      </c>
      <c r="AD35" s="37">
        <f>(Gender!BZ37/'Total Bachelor''s'!AF37)*100</f>
        <v>54.865181711606091</v>
      </c>
      <c r="AE35" s="37">
        <f>(Gender!CA37/'Total Bachelor''s'!AG37)*100</f>
        <v>53.867713004484308</v>
      </c>
      <c r="AF35" s="37">
        <f>(Gender!CB37/'Total Bachelor''s'!AH37)*100</f>
        <v>55.926544240400666</v>
      </c>
      <c r="AG35" s="37">
        <f>(Gender!CC37/'Total Bachelor''s'!AI37)*100</f>
        <v>56.708407871198574</v>
      </c>
      <c r="AH35" s="37">
        <f>(Gender!CD37/'Total Bachelor''s'!AJ37)*100</f>
        <v>55.105740181268878</v>
      </c>
      <c r="AI35" s="37">
        <f>(Gender!CE37/'Total Bachelor''s'!AK37)*100</f>
        <v>56.814261069580219</v>
      </c>
      <c r="AJ35" s="37">
        <f>(Gender!CF37/'Total Bachelor''s'!AL37)*100</f>
        <v>55.269461077844305</v>
      </c>
      <c r="AK35" s="37">
        <f>(Gender!CG37/'Total Bachelor''s'!AM37)*100</f>
        <v>57.463126843657818</v>
      </c>
      <c r="AL35" s="37">
        <f>(Gender!CH37/'Total Bachelor''s'!AN37)*100</f>
        <v>55.803571428571431</v>
      </c>
      <c r="AM35" s="37">
        <f>(Gender!CI37/'Total Bachelor''s'!AO37)*100</f>
        <v>54.642223536369016</v>
      </c>
      <c r="AN35" s="37">
        <f>(Gender!CJ37/'Total Bachelor''s'!AP37)*100</f>
        <v>55.327413984461707</v>
      </c>
      <c r="AO35" s="37">
        <f>(Gender!CK37/'Total Bachelor''s'!AQ37)*100</f>
        <v>58.073654390934848</v>
      </c>
      <c r="AP35" s="37">
        <f>(Gender!CL37/'Total Bachelor''s'!AR37)*100</f>
        <v>57.894736842105267</v>
      </c>
      <c r="AQ35" s="37">
        <f>(Gender!CM37/'Total Bachelor''s'!AS37)*100</f>
        <v>57.043010752688176</v>
      </c>
      <c r="AR35" s="37">
        <f>(Gender!CN37/'Total Bachelor''s'!AT37)*100</f>
        <v>56.782945736434108</v>
      </c>
      <c r="AS35" s="37">
        <f>(Gender!CO37/'Total Bachelor''s'!AU37)*100</f>
        <v>56.246961594555181</v>
      </c>
      <c r="AT35" s="37" t="e">
        <f>(Gender!CP37/'Total Bachelor''s'!AV37)*100</f>
        <v>#DIV/0!</v>
      </c>
      <c r="AU35" s="37">
        <f>(Gender!CQ37/'Total Bachelor''s'!AW37)*100</f>
        <v>55.92300098716683</v>
      </c>
      <c r="AV35" s="37">
        <f>(Gender!CR37/'Total Bachelor''s'!AX37)*100</f>
        <v>57.024029574861366</v>
      </c>
      <c r="AW35" s="37">
        <f>(Gender!CS37/'Total Bachelor''s'!AY37)*100</f>
        <v>54.780244676030811</v>
      </c>
    </row>
    <row r="36" spans="1:49">
      <c r="A36" s="54" t="s">
        <v>246</v>
      </c>
      <c r="B36" s="37">
        <f>(Gender!AX38/'Total Bachelor''s'!D38)*100</f>
        <v>43.295929574582701</v>
      </c>
      <c r="C36" s="37">
        <f>(Gender!AY38/'Total Bachelor''s'!E38)*100</f>
        <v>43.549189257464043</v>
      </c>
      <c r="D36" s="37">
        <f>(Gender!AZ38/'Total Bachelor''s'!F38)*100</f>
        <v>44.077399110956158</v>
      </c>
      <c r="E36" s="37">
        <f>(Gender!BA38/'Total Bachelor''s'!G38)*100</f>
        <v>44.461359958023252</v>
      </c>
      <c r="F36" s="37">
        <f>(Gender!BB38/'Total Bachelor''s'!H38)*100</f>
        <v>44.438376115055526</v>
      </c>
      <c r="G36" s="37">
        <f>(Gender!BC38/'Total Bachelor''s'!I38)*100</f>
        <v>45.087134581070138</v>
      </c>
      <c r="H36" s="37">
        <f>(Gender!BD38/'Total Bachelor''s'!J38)*100</f>
        <v>45.112778942053779</v>
      </c>
      <c r="I36" s="37">
        <f>(Gender!BE38/'Total Bachelor''s'!K38)*100</f>
        <v>45.733583123707191</v>
      </c>
      <c r="J36" s="37">
        <f>(Gender!BF38/'Total Bachelor''s'!L38)*100</f>
        <v>46.705945804595821</v>
      </c>
      <c r="K36" s="37">
        <f>(Gender!BG38/'Total Bachelor''s'!M38)*100</f>
        <v>47.810653764800271</v>
      </c>
      <c r="L36" s="37">
        <f>(Gender!BH38/'Total Bachelor''s'!N38)*100</f>
        <v>48.54354137593635</v>
      </c>
      <c r="M36" s="37">
        <f>(Gender!BI38/'Total Bachelor''s'!O38)*100</f>
        <v>49.472606246799792</v>
      </c>
      <c r="N36" s="37">
        <f>(Gender!BJ38/'Total Bachelor''s'!P38)*100</f>
        <v>49.784757591449043</v>
      </c>
      <c r="O36" s="37">
        <f>(Gender!BK38/'Total Bachelor''s'!Q38)*100</f>
        <v>49.728225946673319</v>
      </c>
      <c r="P36" s="37">
        <f>(Gender!BL38/'Total Bachelor''s'!R38)*100</f>
        <v>49.614092572691135</v>
      </c>
      <c r="Q36" s="37">
        <f>(Gender!BM38/'Total Bachelor''s'!S38)*100</f>
        <v>49.828204530588614</v>
      </c>
      <c r="R36" s="37">
        <f>(Gender!BN38/'Total Bachelor''s'!T38)*100</f>
        <v>49.780631153371019</v>
      </c>
      <c r="S36" s="37">
        <f>(Gender!BO38/'Total Bachelor''s'!U38)*100</f>
        <v>50.584246623509777</v>
      </c>
      <c r="T36" s="37">
        <f>(Gender!BP38/'Total Bachelor''s'!V38)*100</f>
        <v>51.312878359760802</v>
      </c>
      <c r="U36" s="37">
        <f>(Gender!BQ38/'Total Bachelor''s'!W38)*100</f>
        <v>51.767860095023835</v>
      </c>
      <c r="V36" s="37">
        <f>(Gender!BR38/'Total Bachelor''s'!X38)*100</f>
        <v>52.749529322013736</v>
      </c>
      <c r="W36" s="37">
        <f>(Gender!BS38/'Total Bachelor''s'!Y38)*100</f>
        <v>53.647750893257438</v>
      </c>
      <c r="X36" s="37">
        <f>(Gender!BT38/'Total Bachelor''s'!Z38)*100</f>
        <v>53.670222294601423</v>
      </c>
      <c r="Y36" s="37">
        <f>(Gender!BU38/'Total Bachelor''s'!AA38)*100</f>
        <v>53.696165182217605</v>
      </c>
      <c r="Z36" s="37">
        <f>(Gender!BV38/'Total Bachelor''s'!AB38)*100</f>
        <v>53.971495302983371</v>
      </c>
      <c r="AA36" s="37">
        <f>(Gender!BW38/'Total Bachelor''s'!AC38)*100</f>
        <v>54.289521035323929</v>
      </c>
      <c r="AB36" s="37">
        <f>(Gender!BX38/'Total Bachelor''s'!AD38)*100</f>
        <v>54.903567936956243</v>
      </c>
      <c r="AC36" s="37">
        <f>(Gender!BY38/'Total Bachelor''s'!AE38)*100</f>
        <v>55.402390124493849</v>
      </c>
      <c r="AD36" s="37">
        <f>(Gender!BZ38/'Total Bachelor''s'!AF38)*100</f>
        <v>55.81871698458383</v>
      </c>
      <c r="AE36" s="37">
        <f>(Gender!CA38/'Total Bachelor''s'!AG38)*100</f>
        <v>56.549394531186749</v>
      </c>
      <c r="AF36" s="37">
        <f>(Gender!CB38/'Total Bachelor''s'!AH38)*100</f>
        <v>56.753374791445474</v>
      </c>
      <c r="AG36" s="37">
        <f>(Gender!CC38/'Total Bachelor''s'!AI38)*100</f>
        <v>56.879510756962134</v>
      </c>
      <c r="AH36" s="37">
        <f>(Gender!CD38/'Total Bachelor''s'!AJ38)*100</f>
        <v>56.985531370810641</v>
      </c>
      <c r="AI36" s="37">
        <f>(Gender!CE38/'Total Bachelor''s'!AK38)*100</f>
        <v>56.878422082484157</v>
      </c>
      <c r="AJ36" s="37">
        <f>(Gender!CF38/'Total Bachelor''s'!AL38)*100</f>
        <v>56.835616632028383</v>
      </c>
      <c r="AK36" s="37">
        <f>(Gender!CG38/'Total Bachelor''s'!AM38)*100</f>
        <v>56.7191308413542</v>
      </c>
      <c r="AL36" s="37">
        <f>(Gender!CH38/'Total Bachelor''s'!AN38)*100</f>
        <v>56.6402271703368</v>
      </c>
      <c r="AM36" s="37">
        <f>(Gender!CI38/'Total Bachelor''s'!AO38)*100</f>
        <v>56.665774503012365</v>
      </c>
      <c r="AN36" s="37">
        <f>(Gender!CJ38/'Total Bachelor''s'!AP38)*100</f>
        <v>56.609529343404994</v>
      </c>
      <c r="AO36" s="37">
        <f>(Gender!CK38/'Total Bachelor''s'!AQ38)*100</f>
        <v>56.545317446817158</v>
      </c>
      <c r="AP36" s="37">
        <f>(Gender!CL38/'Total Bachelor''s'!AR38)*100</f>
        <v>56.416289859776199</v>
      </c>
      <c r="AQ36" s="37">
        <f>(Gender!CM38/'Total Bachelor''s'!AS38)*100</f>
        <v>56.610999437929287</v>
      </c>
      <c r="AR36" s="37">
        <f>(Gender!CN38/'Total Bachelor''s'!AT38)*100</f>
        <v>56.78702778812724</v>
      </c>
      <c r="AS36" s="37">
        <f>(Gender!CO38/'Total Bachelor''s'!AU38)*100</f>
        <v>56.911197609392453</v>
      </c>
      <c r="AT36" s="37" t="e">
        <f>(Gender!CP38/'Total Bachelor''s'!AV38)*100</f>
        <v>#DIV/0!</v>
      </c>
      <c r="AU36" s="37">
        <f>(Gender!CQ38/'Total Bachelor''s'!AW38)*100</f>
        <v>56.760190916993317</v>
      </c>
      <c r="AV36" s="37">
        <f>(Gender!CR38/'Total Bachelor''s'!AX38)*100</f>
        <v>56.7666923923517</v>
      </c>
      <c r="AW36" s="37">
        <f>(Gender!CS38/'Total Bachelor''s'!AY38)*100</f>
        <v>56.682986841716996</v>
      </c>
    </row>
    <row r="37" spans="1:49">
      <c r="A37" s="56"/>
      <c r="B37" s="37"/>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row>
    <row r="38" spans="1:49">
      <c r="A38" s="54" t="s">
        <v>176</v>
      </c>
      <c r="B38" s="37">
        <f>(Gender!AX40/'Total Bachelor''s'!D40)*100</f>
        <v>44.07916980935785</v>
      </c>
      <c r="C38" s="37">
        <f>(Gender!AY40/'Total Bachelor''s'!E40)*100</f>
        <v>44.821020563594821</v>
      </c>
      <c r="D38" s="37">
        <f>(Gender!AZ40/'Total Bachelor''s'!F40)*100</f>
        <v>44.953033484362912</v>
      </c>
      <c r="E38" s="37">
        <f>(Gender!BA40/'Total Bachelor''s'!G40)*100</f>
        <v>45.163901254552812</v>
      </c>
      <c r="F38" s="37">
        <f>(Gender!BB40/'Total Bachelor''s'!H40)*100</f>
        <v>45.546405613209529</v>
      </c>
      <c r="G38" s="37">
        <f>(Gender!BC40/'Total Bachelor''s'!I40)*100</f>
        <v>46.943491037979229</v>
      </c>
      <c r="H38" s="37">
        <f>(Gender!BD40/'Total Bachelor''s'!J40)*100</f>
        <v>46.415894631097224</v>
      </c>
      <c r="I38" s="37">
        <f>(Gender!BE40/'Total Bachelor''s'!K40)*100</f>
        <v>46.803380231837885</v>
      </c>
      <c r="J38" s="37">
        <f>(Gender!BF40/'Total Bachelor''s'!L40)*100</f>
        <v>48.023389130933268</v>
      </c>
      <c r="K38" s="37">
        <f>(Gender!BG40/'Total Bachelor''s'!M40)*100</f>
        <v>48.987826405924025</v>
      </c>
      <c r="L38" s="37">
        <f>(Gender!BH40/'Total Bachelor''s'!N40)*100</f>
        <v>49.557921328040415</v>
      </c>
      <c r="M38" s="37">
        <f>(Gender!BI40/'Total Bachelor''s'!O40)*100</f>
        <v>50.565471524869551</v>
      </c>
      <c r="N38" s="37">
        <f>(Gender!BJ40/'Total Bachelor''s'!P40)*100</f>
        <v>50.001102268468514</v>
      </c>
      <c r="O38" s="37">
        <f>(Gender!BK40/'Total Bachelor''s'!Q40)*100</f>
        <v>50.233730423730641</v>
      </c>
      <c r="P38" s="37">
        <f>(Gender!BL40/'Total Bachelor''s'!R40)*100</f>
        <v>49.697517119690794</v>
      </c>
      <c r="Q38" s="37">
        <f>(Gender!BM40/'Total Bachelor''s'!S40)*100</f>
        <v>50.07196099069877</v>
      </c>
      <c r="R38" s="37">
        <f>(Gender!BN40/'Total Bachelor''s'!T40)*100</f>
        <v>49.365219958665485</v>
      </c>
      <c r="S38" s="37">
        <f>(Gender!BO40/'Total Bachelor''s'!U40)*100</f>
        <v>50.308590141909484</v>
      </c>
      <c r="T38" s="37">
        <f>(Gender!BP40/'Total Bachelor''s'!V40)*100</f>
        <v>50.590099670545065</v>
      </c>
      <c r="U38" s="37">
        <f>(Gender!BQ40/'Total Bachelor''s'!W40)*100</f>
        <v>51.382630069643589</v>
      </c>
      <c r="V38" s="37">
        <f>(Gender!BR40/'Total Bachelor''s'!X40)*100</f>
        <v>52.336354683763084</v>
      </c>
      <c r="W38" s="37">
        <f>(Gender!BS40/'Total Bachelor''s'!Y40)*100</f>
        <v>53.102478815237184</v>
      </c>
      <c r="X38" s="37">
        <f>(Gender!BT40/'Total Bachelor''s'!Z40)*100</f>
        <v>53.162608189549964</v>
      </c>
      <c r="Y38" s="37">
        <f>(Gender!BU40/'Total Bachelor''s'!AA40)*100</f>
        <v>51.781205081387668</v>
      </c>
      <c r="Z38" s="37">
        <f>(Gender!BV40/'Total Bachelor''s'!AB40)*100</f>
        <v>53.401490540798783</v>
      </c>
      <c r="AA38" s="37">
        <f>(Gender!BW40/'Total Bachelor''s'!AC40)*100</f>
        <v>53.883680887698496</v>
      </c>
      <c r="AB38" s="37">
        <f>(Gender!BX40/'Total Bachelor''s'!AD40)*100</f>
        <v>54.189705682633914</v>
      </c>
      <c r="AC38" s="37">
        <f>(Gender!BY40/'Total Bachelor''s'!AE40)*100</f>
        <v>54.968381275545617</v>
      </c>
      <c r="AD38" s="37">
        <f>(Gender!BZ40/'Total Bachelor''s'!AF40)*100</f>
        <v>56.088589163920609</v>
      </c>
      <c r="AE38" s="37">
        <f>(Gender!CA40/'Total Bachelor''s'!AG40)*100</f>
        <v>56.425347875141028</v>
      </c>
      <c r="AF38" s="37">
        <f>(Gender!CB40/'Total Bachelor''s'!AH40)*100</f>
        <v>57.148048550039974</v>
      </c>
      <c r="AG38" s="37">
        <f>(Gender!CC40/'Total Bachelor''s'!AI40)*100</f>
        <v>57.012923983966346</v>
      </c>
      <c r="AH38" s="37">
        <f>(Gender!CD40/'Total Bachelor''s'!AJ40)*100</f>
        <v>57.012014626501831</v>
      </c>
      <c r="AI38" s="37">
        <f>(Gender!CE40/'Total Bachelor''s'!AK40)*100</f>
        <v>57.071631217579608</v>
      </c>
      <c r="AJ38" s="37">
        <f>(Gender!CF40/'Total Bachelor''s'!AL40)*100</f>
        <v>56.847358515929557</v>
      </c>
      <c r="AK38" s="37">
        <f>(Gender!CG40/'Total Bachelor''s'!AM40)*100</f>
        <v>56.21704504560887</v>
      </c>
      <c r="AL38" s="37">
        <f>(Gender!CH40/'Total Bachelor''s'!AN40)*100</f>
        <v>56.912766887352895</v>
      </c>
      <c r="AM38" s="37">
        <f>(Gender!CI40/'Total Bachelor''s'!AO40)*100</f>
        <v>56.739484745375002</v>
      </c>
      <c r="AN38" s="37">
        <f>(Gender!CJ40/'Total Bachelor''s'!AP40)*100</f>
        <v>57.382111719165195</v>
      </c>
      <c r="AO38" s="37">
        <f>(Gender!CK40/'Total Bachelor''s'!AQ40)*100</f>
        <v>56.271362436723926</v>
      </c>
      <c r="AP38" s="37">
        <f>(Gender!CL40/'Total Bachelor''s'!AR40)*100</f>
        <v>56.037658616455175</v>
      </c>
      <c r="AQ38" s="37">
        <f>(Gender!CM40/'Total Bachelor''s'!AS40)*100</f>
        <v>55.693463736970607</v>
      </c>
      <c r="AR38" s="37">
        <f>(Gender!CN40/'Total Bachelor''s'!AT40)*100</f>
        <v>55.5069667738478</v>
      </c>
      <c r="AS38" s="37">
        <f>(Gender!CO40/'Total Bachelor''s'!AU40)*100</f>
        <v>57.308252856967734</v>
      </c>
      <c r="AT38" s="37" t="e">
        <f>(Gender!CP40/'Total Bachelor''s'!AV40)*100</f>
        <v>#DIV/0!</v>
      </c>
      <c r="AU38" s="37">
        <f>(Gender!CQ40/'Total Bachelor''s'!AW40)*100</f>
        <v>57.892999587402002</v>
      </c>
      <c r="AV38" s="37">
        <f>(Gender!CR40/'Total Bachelor''s'!AX40)*100</f>
        <v>57.980749814902069</v>
      </c>
      <c r="AW38" s="37">
        <f>(Gender!CS40/'Total Bachelor''s'!AY40)*100</f>
        <v>58.502755336793108</v>
      </c>
    </row>
    <row r="39" spans="1:49">
      <c r="A39" s="54" t="s">
        <v>177</v>
      </c>
      <c r="B39" s="37">
        <f>(Gender!AX41/'Total Bachelor''s'!D41)*100</f>
        <v>40.7833062916892</v>
      </c>
      <c r="C39" s="37">
        <f>(Gender!AY41/'Total Bachelor''s'!E41)*100</f>
        <v>40.984784446322905</v>
      </c>
      <c r="D39" s="37">
        <f>(Gender!AZ41/'Total Bachelor''s'!F41)*100</f>
        <v>41.812925872393144</v>
      </c>
      <c r="E39" s="37">
        <f>(Gender!BA41/'Total Bachelor''s'!G41)*100</f>
        <v>42.344442745757526</v>
      </c>
      <c r="F39" s="37">
        <f>(Gender!BB41/'Total Bachelor''s'!H41)*100</f>
        <v>42.50419577690176</v>
      </c>
      <c r="G39" s="37">
        <f>(Gender!BC41/'Total Bachelor''s'!I41)*100</f>
        <v>42.704248366013069</v>
      </c>
      <c r="H39" s="37">
        <f>(Gender!BD41/'Total Bachelor''s'!J41)*100</f>
        <v>43.60049833887043</v>
      </c>
      <c r="I39" s="37">
        <f>(Gender!BE41/'Total Bachelor''s'!K41)*100</f>
        <v>44.17500210137009</v>
      </c>
      <c r="J39" s="37">
        <f>(Gender!BF41/'Total Bachelor''s'!L41)*100</f>
        <v>45.287414749862329</v>
      </c>
      <c r="K39" s="37">
        <f>(Gender!BG41/'Total Bachelor''s'!M41)*100</f>
        <v>46.133378384085823</v>
      </c>
      <c r="L39" s="37">
        <f>(Gender!BH41/'Total Bachelor''s'!N41)*100</f>
        <v>46.833718626155878</v>
      </c>
      <c r="M39" s="37">
        <f>(Gender!BI41/'Total Bachelor''s'!O41)*100</f>
        <v>47.35846017556576</v>
      </c>
      <c r="N39" s="37">
        <f>(Gender!BJ41/'Total Bachelor''s'!P41)*100</f>
        <v>48.317888014952104</v>
      </c>
      <c r="O39" s="37">
        <f>(Gender!BK41/'Total Bachelor''s'!Q41)*100</f>
        <v>48.73819418209294</v>
      </c>
      <c r="P39" s="37">
        <f>(Gender!BL41/'Total Bachelor''s'!R41)*100</f>
        <v>47.840467674320223</v>
      </c>
      <c r="Q39" s="37">
        <f>(Gender!BM41/'Total Bachelor''s'!S41)*100</f>
        <v>48.651004168245549</v>
      </c>
      <c r="R39" s="37">
        <f>(Gender!BN41/'Total Bachelor''s'!T41)*100</f>
        <v>48.447065009201182</v>
      </c>
      <c r="S39" s="37">
        <f>(Gender!BO41/'Total Bachelor''s'!U41)*100</f>
        <v>48.623370769635279</v>
      </c>
      <c r="T39" s="37">
        <f>(Gender!BP41/'Total Bachelor''s'!V41)*100</f>
        <v>49.746289003332322</v>
      </c>
      <c r="U39" s="37">
        <f>(Gender!BQ41/'Total Bachelor''s'!W41)*100</f>
        <v>50.632581677457765</v>
      </c>
      <c r="V39" s="37">
        <f>(Gender!BR41/'Total Bachelor''s'!X41)*100</f>
        <v>51.080670811045245</v>
      </c>
      <c r="W39" s="37">
        <f>(Gender!BS41/'Total Bachelor''s'!Y41)*100</f>
        <v>51.796718133351796</v>
      </c>
      <c r="X39" s="37">
        <f>(Gender!BT41/'Total Bachelor''s'!Z41)*100</f>
        <v>51.702957426064344</v>
      </c>
      <c r="Y39" s="37">
        <f>(Gender!BU41/'Total Bachelor''s'!AA41)*100</f>
        <v>52.68495850952214</v>
      </c>
      <c r="Z39" s="37">
        <f>(Gender!BV41/'Total Bachelor''s'!AB41)*100</f>
        <v>52.260391952939642</v>
      </c>
      <c r="AA39" s="37">
        <f>(Gender!BW41/'Total Bachelor''s'!AC41)*100</f>
        <v>52.589825802399758</v>
      </c>
      <c r="AB39" s="37">
        <f>(Gender!BX41/'Total Bachelor''s'!AD41)*100</f>
        <v>53.550750711458569</v>
      </c>
      <c r="AC39" s="37">
        <f>(Gender!BY41/'Total Bachelor''s'!AE41)*100</f>
        <v>53.912786691603507</v>
      </c>
      <c r="AD39" s="37">
        <f>(Gender!BZ41/'Total Bachelor''s'!AF41)*100</f>
        <v>54.039503129763567</v>
      </c>
      <c r="AE39" s="37">
        <f>(Gender!CA41/'Total Bachelor''s'!AG41)*100</f>
        <v>54.827900318823609</v>
      </c>
      <c r="AF39" s="37">
        <f>(Gender!CB41/'Total Bachelor''s'!AH41)*100</f>
        <v>54.707538317172343</v>
      </c>
      <c r="AG39" s="37">
        <f>(Gender!CC41/'Total Bachelor''s'!AI41)*100</f>
        <v>54.825758288635861</v>
      </c>
      <c r="AH39" s="37">
        <f>(Gender!CD41/'Total Bachelor''s'!AJ41)*100</f>
        <v>54.835478834654019</v>
      </c>
      <c r="AI39" s="37">
        <f>(Gender!CE41/'Total Bachelor''s'!AK41)*100</f>
        <v>54.36589557916092</v>
      </c>
      <c r="AJ39" s="37">
        <f>(Gender!CF41/'Total Bachelor''s'!AL41)*100</f>
        <v>54.847752006155879</v>
      </c>
      <c r="AK39" s="37">
        <f>(Gender!CG41/'Total Bachelor''s'!AM41)*100</f>
        <v>54.576456145137087</v>
      </c>
      <c r="AL39" s="37">
        <f>(Gender!CH41/'Total Bachelor''s'!AN41)*100</f>
        <v>54.38006982910246</v>
      </c>
      <c r="AM39" s="37">
        <f>(Gender!CI41/'Total Bachelor''s'!AO41)*100</f>
        <v>54.304102976669341</v>
      </c>
      <c r="AN39" s="37">
        <f>(Gender!CJ41/'Total Bachelor''s'!AP41)*100</f>
        <v>55.32302326177836</v>
      </c>
      <c r="AO39" s="37">
        <f>(Gender!CK41/'Total Bachelor''s'!AQ41)*100</f>
        <v>54.952883813758433</v>
      </c>
      <c r="AP39" s="37">
        <f>(Gender!CL41/'Total Bachelor''s'!AR41)*100</f>
        <v>54.753280399165206</v>
      </c>
      <c r="AQ39" s="37">
        <f>(Gender!CM41/'Total Bachelor''s'!AS41)*100</f>
        <v>54.62671476826214</v>
      </c>
      <c r="AR39" s="37">
        <f>(Gender!CN41/'Total Bachelor''s'!AT41)*100</f>
        <v>55.044803654572604</v>
      </c>
      <c r="AS39" s="37">
        <f>(Gender!CO41/'Total Bachelor''s'!AU41)*100</f>
        <v>55.90857339262314</v>
      </c>
      <c r="AT39" s="37" t="e">
        <f>(Gender!CP41/'Total Bachelor''s'!AV41)*100</f>
        <v>#DIV/0!</v>
      </c>
      <c r="AU39" s="37">
        <f>(Gender!CQ41/'Total Bachelor''s'!AW41)*100</f>
        <v>56.006405723555595</v>
      </c>
      <c r="AV39" s="37">
        <f>(Gender!CR41/'Total Bachelor''s'!AX41)*100</f>
        <v>56.4098794472214</v>
      </c>
      <c r="AW39" s="37">
        <f>(Gender!CS41/'Total Bachelor''s'!AY41)*100</f>
        <v>55.873154866149612</v>
      </c>
    </row>
    <row r="40" spans="1:49">
      <c r="A40" s="54" t="s">
        <v>174</v>
      </c>
      <c r="B40" s="37">
        <f>(Gender!AX42/'Total Bachelor''s'!D42)*100</f>
        <v>44.088876467300167</v>
      </c>
      <c r="C40" s="37">
        <f>(Gender!AY42/'Total Bachelor''s'!E42)*100</f>
        <v>45.238095238095241</v>
      </c>
      <c r="D40" s="37">
        <f>(Gender!AZ42/'Total Bachelor''s'!F42)*100</f>
        <v>45.290288295469644</v>
      </c>
      <c r="E40" s="37">
        <f>(Gender!BA42/'Total Bachelor''s'!G42)*100</f>
        <v>46.841486196637376</v>
      </c>
      <c r="F40" s="37">
        <f>(Gender!BB42/'Total Bachelor''s'!H42)*100</f>
        <v>46.241897669286999</v>
      </c>
      <c r="G40" s="37">
        <f>(Gender!BC42/'Total Bachelor''s'!I42)*100</f>
        <v>46.327893175074188</v>
      </c>
      <c r="H40" s="37">
        <f>(Gender!BD42/'Total Bachelor''s'!J42)*100</f>
        <v>46.308574834239735</v>
      </c>
      <c r="I40" s="37">
        <f>(Gender!BE42/'Total Bachelor''s'!K42)*100</f>
        <v>47.252241894688432</v>
      </c>
      <c r="J40" s="37">
        <f>(Gender!BF42/'Total Bachelor''s'!L42)*100</f>
        <v>48.094552617622547</v>
      </c>
      <c r="K40" s="37">
        <f>(Gender!BG42/'Total Bachelor''s'!M42)*100</f>
        <v>48.886231125728806</v>
      </c>
      <c r="L40" s="37">
        <f>(Gender!BH42/'Total Bachelor''s'!N42)*100</f>
        <v>49.626230478869068</v>
      </c>
      <c r="M40" s="37">
        <f>(Gender!BI42/'Total Bachelor''s'!O42)*100</f>
        <v>49.560279759019458</v>
      </c>
      <c r="N40" s="37">
        <f>(Gender!BJ42/'Total Bachelor''s'!P42)*100</f>
        <v>50.328424254995511</v>
      </c>
      <c r="O40" s="37">
        <f>(Gender!BK42/'Total Bachelor''s'!Q42)*100</f>
        <v>50.67614185180075</v>
      </c>
      <c r="P40" s="37">
        <f>(Gender!BL42/'Total Bachelor''s'!R42)*100</f>
        <v>49.798034199542215</v>
      </c>
      <c r="Q40" s="37">
        <f>(Gender!BM42/'Total Bachelor''s'!S42)*100</f>
        <v>49.141996332198062</v>
      </c>
      <c r="R40" s="37">
        <f>(Gender!BN42/'Total Bachelor''s'!T42)*100</f>
        <v>48.838677101741986</v>
      </c>
      <c r="S40" s="37">
        <f>(Gender!BO42/'Total Bachelor''s'!U42)*100</f>
        <v>49.787234042553195</v>
      </c>
      <c r="T40" s="37">
        <f>(Gender!BP42/'Total Bachelor''s'!V42)*100</f>
        <v>51.012121574013257</v>
      </c>
      <c r="U40" s="37">
        <f>(Gender!BQ42/'Total Bachelor''s'!W42)*100</f>
        <v>52.506079838661847</v>
      </c>
      <c r="V40" s="37">
        <f>(Gender!BR42/'Total Bachelor''s'!X42)*100</f>
        <v>51.261702523405049</v>
      </c>
      <c r="W40" s="37">
        <f>(Gender!BS42/'Total Bachelor''s'!Y42)*100</f>
        <v>52.671216756883979</v>
      </c>
      <c r="X40" s="37">
        <f>(Gender!BT42/'Total Bachelor''s'!Z42)*100</f>
        <v>53.432000932292276</v>
      </c>
      <c r="Y40" s="37">
        <f>(Gender!BU42/'Total Bachelor''s'!AA42)*100</f>
        <v>53.579952267303099</v>
      </c>
      <c r="Z40" s="37">
        <f>(Gender!BV42/'Total Bachelor''s'!AB42)*100</f>
        <v>53.440546901266394</v>
      </c>
      <c r="AA40" s="37">
        <f>(Gender!BW42/'Total Bachelor''s'!AC42)*100</f>
        <v>54.015268928304913</v>
      </c>
      <c r="AB40" s="37">
        <f>(Gender!BX42/'Total Bachelor''s'!AD42)*100</f>
        <v>54.411764705882348</v>
      </c>
      <c r="AC40" s="37">
        <f>(Gender!BY42/'Total Bachelor''s'!AE42)*100</f>
        <v>55.208391452323838</v>
      </c>
      <c r="AD40" s="37">
        <f>(Gender!BZ42/'Total Bachelor''s'!AF42)*100</f>
        <v>55.845636436185373</v>
      </c>
      <c r="AE40" s="37">
        <f>(Gender!CA42/'Total Bachelor''s'!AG42)*100</f>
        <v>56.779707445351448</v>
      </c>
      <c r="AF40" s="37">
        <f>(Gender!CB42/'Total Bachelor''s'!AH42)*100</f>
        <v>56.415999999999997</v>
      </c>
      <c r="AG40" s="37">
        <f>(Gender!CC42/'Total Bachelor''s'!AI42)*100</f>
        <v>57.018014153978122</v>
      </c>
      <c r="AH40" s="37">
        <f>(Gender!CD42/'Total Bachelor''s'!AJ42)*100</f>
        <v>57.318960181555603</v>
      </c>
      <c r="AI40" s="37">
        <f>(Gender!CE42/'Total Bachelor''s'!AK42)*100</f>
        <v>56.953179594689033</v>
      </c>
      <c r="AJ40" s="37">
        <f>(Gender!CF42/'Total Bachelor''s'!AL42)*100</f>
        <v>56.438980866461783</v>
      </c>
      <c r="AK40" s="37">
        <f>(Gender!CG42/'Total Bachelor''s'!AM42)*100</f>
        <v>57.014336572693161</v>
      </c>
      <c r="AL40" s="37">
        <f>(Gender!CH42/'Total Bachelor''s'!AN42)*100</f>
        <v>56.864940517844644</v>
      </c>
      <c r="AM40" s="37">
        <f>(Gender!CI42/'Total Bachelor''s'!AO42)*100</f>
        <v>57.548686796498124</v>
      </c>
      <c r="AN40" s="37">
        <f>(Gender!CJ42/'Total Bachelor''s'!AP42)*100</f>
        <v>58.269111889552846</v>
      </c>
      <c r="AO40" s="37">
        <f>(Gender!CK42/'Total Bachelor''s'!AQ42)*100</f>
        <v>59.952742101452039</v>
      </c>
      <c r="AP40" s="37">
        <f>(Gender!CL42/'Total Bachelor''s'!AR42)*100</f>
        <v>60.330442238564785</v>
      </c>
      <c r="AQ40" s="37">
        <f>(Gender!CM42/'Total Bachelor''s'!AS42)*100</f>
        <v>62.220812882589748</v>
      </c>
      <c r="AR40" s="37">
        <f>(Gender!CN42/'Total Bachelor''s'!AT42)*100</f>
        <v>62.341429835775401</v>
      </c>
      <c r="AS40" s="37">
        <f>(Gender!CO42/'Total Bachelor''s'!AU42)*100</f>
        <v>61.676357758100707</v>
      </c>
      <c r="AT40" s="37" t="e">
        <f>(Gender!CP42/'Total Bachelor''s'!AV42)*100</f>
        <v>#DIV/0!</v>
      </c>
      <c r="AU40" s="37">
        <f>(Gender!CQ42/'Total Bachelor''s'!AW42)*100</f>
        <v>57.763909081238253</v>
      </c>
      <c r="AV40" s="37">
        <f>(Gender!CR42/'Total Bachelor''s'!AX42)*100</f>
        <v>57.984222470372103</v>
      </c>
      <c r="AW40" s="37">
        <f>(Gender!CS42/'Total Bachelor''s'!AY42)*100</f>
        <v>56.855100714749838</v>
      </c>
    </row>
    <row r="41" spans="1:49">
      <c r="A41" s="54" t="s">
        <v>178</v>
      </c>
      <c r="B41" s="37">
        <f>(Gender!AX43/'Total Bachelor''s'!D43)*100</f>
        <v>41.731765479812516</v>
      </c>
      <c r="C41" s="37">
        <f>(Gender!AY43/'Total Bachelor''s'!E43)*100</f>
        <v>41.982200647249194</v>
      </c>
      <c r="D41" s="37">
        <f>(Gender!AZ43/'Total Bachelor''s'!F43)*100</f>
        <v>42.416673171493244</v>
      </c>
      <c r="E41" s="37">
        <f>(Gender!BA43/'Total Bachelor''s'!G43)*100</f>
        <v>41.198821339950371</v>
      </c>
      <c r="F41" s="37">
        <f>(Gender!BB43/'Total Bachelor''s'!H43)*100</f>
        <v>42.538376325367935</v>
      </c>
      <c r="G41" s="37">
        <f>(Gender!BC43/'Total Bachelor''s'!I43)*100</f>
        <v>43.84325299229382</v>
      </c>
      <c r="H41" s="37">
        <f>(Gender!BD43/'Total Bachelor''s'!J43)*100</f>
        <v>44.386963269529225</v>
      </c>
      <c r="I41" s="37">
        <f>(Gender!BE43/'Total Bachelor''s'!K43)*100</f>
        <v>45.690383640358291</v>
      </c>
      <c r="J41" s="37">
        <f>(Gender!BF43/'Total Bachelor''s'!L43)*100</f>
        <v>46.691334652783759</v>
      </c>
      <c r="K41" s="37">
        <f>(Gender!BG43/'Total Bachelor''s'!M43)*100</f>
        <v>48.540641438995422</v>
      </c>
      <c r="L41" s="37">
        <f>(Gender!BH43/'Total Bachelor''s'!N43)*100</f>
        <v>48.718605843157356</v>
      </c>
      <c r="M41" s="37">
        <f>(Gender!BI43/'Total Bachelor''s'!O43)*100</f>
        <v>50.257025359835502</v>
      </c>
      <c r="N41" s="37">
        <f>(Gender!BJ43/'Total Bachelor''s'!P43)*100</f>
        <v>49.753365103252236</v>
      </c>
      <c r="O41" s="37">
        <f>(Gender!BK43/'Total Bachelor''s'!Q43)*100</f>
        <v>50.30040855563567</v>
      </c>
      <c r="P41" s="37">
        <f>(Gender!BL43/'Total Bachelor''s'!R43)*100</f>
        <v>49.574381840291856</v>
      </c>
      <c r="Q41" s="37">
        <f>(Gender!BM43/'Total Bachelor''s'!S43)*100</f>
        <v>51.055094835372358</v>
      </c>
      <c r="R41" s="37">
        <f>(Gender!BN43/'Total Bachelor''s'!T43)*100</f>
        <v>49.750332889480688</v>
      </c>
      <c r="S41" s="37">
        <f>(Gender!BO43/'Total Bachelor''s'!U43)*100</f>
        <v>49.829264128393376</v>
      </c>
      <c r="T41" s="37">
        <f>(Gender!BP43/'Total Bachelor''s'!V43)*100</f>
        <v>50.403700588730025</v>
      </c>
      <c r="U41" s="37">
        <f>(Gender!BQ43/'Total Bachelor''s'!W43)*100</f>
        <v>50.799901550578383</v>
      </c>
      <c r="V41" s="37">
        <f>(Gender!BR43/'Total Bachelor''s'!X43)*100</f>
        <v>52.42195043450274</v>
      </c>
      <c r="W41" s="37">
        <f>(Gender!BS43/'Total Bachelor''s'!Y43)*100</f>
        <v>53.4867663981588</v>
      </c>
      <c r="X41" s="37">
        <f>(Gender!BT43/'Total Bachelor''s'!Z43)*100</f>
        <v>53.192111029948862</v>
      </c>
      <c r="Y41" s="37">
        <f>(Gender!BU43/'Total Bachelor''s'!AA43)*100</f>
        <v>53.500910236661539</v>
      </c>
      <c r="Z41" s="37">
        <f>(Gender!BV43/'Total Bachelor''s'!AB43)*100</f>
        <v>54.003698883485171</v>
      </c>
      <c r="AA41" s="37">
        <f>(Gender!BW43/'Total Bachelor''s'!AC43)*100</f>
        <v>53.700150746882279</v>
      </c>
      <c r="AB41" s="37">
        <f>(Gender!BX43/'Total Bachelor''s'!AD43)*100</f>
        <v>54.206311178040934</v>
      </c>
      <c r="AC41" s="37">
        <f>(Gender!BY43/'Total Bachelor''s'!AE43)*100</f>
        <v>54.352647629609095</v>
      </c>
      <c r="AD41" s="37">
        <f>(Gender!BZ43/'Total Bachelor''s'!AF43)*100</f>
        <v>54.833879937259375</v>
      </c>
      <c r="AE41" s="37">
        <f>(Gender!CA43/'Total Bachelor''s'!AG43)*100</f>
        <v>54.544161570189168</v>
      </c>
      <c r="AF41" s="37">
        <f>(Gender!CB43/'Total Bachelor''s'!AH43)*100</f>
        <v>55.676549107770121</v>
      </c>
      <c r="AG41" s="37">
        <f>(Gender!CC43/'Total Bachelor''s'!AI43)*100</f>
        <v>56.438412222070653</v>
      </c>
      <c r="AH41" s="37">
        <f>(Gender!CD43/'Total Bachelor''s'!AJ43)*100</f>
        <v>56.164198282274967</v>
      </c>
      <c r="AI41" s="37">
        <f>(Gender!CE43/'Total Bachelor''s'!AK43)*100</f>
        <v>56.199186991869922</v>
      </c>
      <c r="AJ41" s="37">
        <f>(Gender!CF43/'Total Bachelor''s'!AL43)*100</f>
        <v>56.06041692672575</v>
      </c>
      <c r="AK41" s="37">
        <f>(Gender!CG43/'Total Bachelor''s'!AM43)*100</f>
        <v>56.685777695579809</v>
      </c>
      <c r="AL41" s="37">
        <f>(Gender!CH43/'Total Bachelor''s'!AN43)*100</f>
        <v>55.429633627151162</v>
      </c>
      <c r="AM41" s="37">
        <f>(Gender!CI43/'Total Bachelor''s'!AO43)*100</f>
        <v>55.851157339583949</v>
      </c>
      <c r="AN41" s="37">
        <f>(Gender!CJ43/'Total Bachelor''s'!AP43)*100</f>
        <v>55.877522290004691</v>
      </c>
      <c r="AO41" s="37">
        <f>(Gender!CK43/'Total Bachelor''s'!AQ43)*100</f>
        <v>55.339307117173675</v>
      </c>
      <c r="AP41" s="37">
        <f>(Gender!CL43/'Total Bachelor''s'!AR43)*100</f>
        <v>55.665825623773479</v>
      </c>
      <c r="AQ41" s="37">
        <f>(Gender!CM43/'Total Bachelor''s'!AS43)*100</f>
        <v>55.785828156780823</v>
      </c>
      <c r="AR41" s="37">
        <f>(Gender!CN43/'Total Bachelor''s'!AT43)*100</f>
        <v>55.739775777672506</v>
      </c>
      <c r="AS41" s="37">
        <f>(Gender!CO43/'Total Bachelor''s'!AU43)*100</f>
        <v>54.875353379593939</v>
      </c>
      <c r="AT41" s="37" t="e">
        <f>(Gender!CP43/'Total Bachelor''s'!AV43)*100</f>
        <v>#DIV/0!</v>
      </c>
      <c r="AU41" s="37">
        <f>(Gender!CQ43/'Total Bachelor''s'!AW43)*100</f>
        <v>55.547905301625974</v>
      </c>
      <c r="AV41" s="37">
        <f>(Gender!CR43/'Total Bachelor''s'!AX43)*100</f>
        <v>55.250286190030181</v>
      </c>
      <c r="AW41" s="37">
        <f>(Gender!CS43/'Total Bachelor''s'!AY43)*100</f>
        <v>55.51747416523861</v>
      </c>
    </row>
    <row r="42" spans="1:49">
      <c r="A42" s="54" t="s">
        <v>181</v>
      </c>
      <c r="B42" s="37">
        <f>(Gender!AX44/'Total Bachelor''s'!D44)*100</f>
        <v>43.980733814987957</v>
      </c>
      <c r="C42" s="37">
        <f>(Gender!AY44/'Total Bachelor''s'!E44)*100</f>
        <v>43.218034480883233</v>
      </c>
      <c r="D42" s="37">
        <f>(Gender!AZ44/'Total Bachelor''s'!F44)*100</f>
        <v>44.023709348786753</v>
      </c>
      <c r="E42" s="37">
        <f>(Gender!BA44/'Total Bachelor''s'!G44)*100</f>
        <v>44.34769324778491</v>
      </c>
      <c r="F42" s="37">
        <f>(Gender!BB44/'Total Bachelor''s'!H44)*100</f>
        <v>43.610236117980897</v>
      </c>
      <c r="G42" s="37">
        <f>(Gender!BC44/'Total Bachelor''s'!I44)*100</f>
        <v>44.459837557384617</v>
      </c>
      <c r="H42" s="37">
        <f>(Gender!BD44/'Total Bachelor''s'!J44)*100</f>
        <v>43.912385890995516</v>
      </c>
      <c r="I42" s="37">
        <f>(Gender!BE44/'Total Bachelor''s'!K44)*100</f>
        <v>44.8485017111377</v>
      </c>
      <c r="J42" s="37">
        <f>(Gender!BF44/'Total Bachelor''s'!L44)*100</f>
        <v>45.541497836213793</v>
      </c>
      <c r="K42" s="37">
        <f>(Gender!BG44/'Total Bachelor''s'!M44)*100</f>
        <v>47.015593220338978</v>
      </c>
      <c r="L42" s="37">
        <f>(Gender!BH44/'Total Bachelor''s'!N44)*100</f>
        <v>47.35161882465615</v>
      </c>
      <c r="M42" s="37">
        <f>(Gender!BI44/'Total Bachelor''s'!O44)*100</f>
        <v>47.87693740781949</v>
      </c>
      <c r="N42" s="37">
        <f>(Gender!BJ44/'Total Bachelor''s'!P44)*100</f>
        <v>49.166217014825662</v>
      </c>
      <c r="O42" s="37">
        <f>(Gender!BK44/'Total Bachelor''s'!Q44)*100</f>
        <v>48.936877926464192</v>
      </c>
      <c r="P42" s="37">
        <f>(Gender!BL44/'Total Bachelor''s'!R44)*100</f>
        <v>48.756497808582203</v>
      </c>
      <c r="Q42" s="37">
        <f>(Gender!BM44/'Total Bachelor''s'!S44)*100</f>
        <v>49.367984894576736</v>
      </c>
      <c r="R42" s="37">
        <f>(Gender!BN44/'Total Bachelor''s'!T44)*100</f>
        <v>50.018682609159818</v>
      </c>
      <c r="S42" s="37">
        <f>(Gender!BO44/'Total Bachelor''s'!U44)*100</f>
        <v>51.439197506613233</v>
      </c>
      <c r="T42" s="37">
        <f>(Gender!BP44/'Total Bachelor''s'!V44)*100</f>
        <v>52.232979788900593</v>
      </c>
      <c r="U42" s="37">
        <f>(Gender!BQ44/'Total Bachelor''s'!W44)*100</f>
        <v>52.844212230480537</v>
      </c>
      <c r="V42" s="37">
        <f>(Gender!BR44/'Total Bachelor''s'!X44)*100</f>
        <v>53.294993871971343</v>
      </c>
      <c r="W42" s="37">
        <f>(Gender!BS44/'Total Bachelor''s'!Y44)*100</f>
        <v>54.248750367538953</v>
      </c>
      <c r="X42" s="37">
        <f>(Gender!BT44/'Total Bachelor''s'!Z44)*100</f>
        <v>53.964142981535645</v>
      </c>
      <c r="Y42" s="37">
        <f>(Gender!BU44/'Total Bachelor''s'!AA44)*100</f>
        <v>53.962941086390579</v>
      </c>
      <c r="Z42" s="37">
        <f>(Gender!BV44/'Total Bachelor''s'!AB44)*100</f>
        <v>54.123539232053417</v>
      </c>
      <c r="AA42" s="37">
        <f>(Gender!BW44/'Total Bachelor''s'!AC44)*100</f>
        <v>53.925130311167266</v>
      </c>
      <c r="AB42" s="37">
        <f>(Gender!BX44/'Total Bachelor''s'!AD44)*100</f>
        <v>55.302893716758319</v>
      </c>
      <c r="AC42" s="37">
        <f>(Gender!BY44/'Total Bachelor''s'!AE44)*100</f>
        <v>55.38496325607688</v>
      </c>
      <c r="AD42" s="37">
        <f>(Gender!BZ44/'Total Bachelor''s'!AF44)*100</f>
        <v>55.86158511745802</v>
      </c>
      <c r="AE42" s="37">
        <f>(Gender!CA44/'Total Bachelor''s'!AG44)*100</f>
        <v>57.0593149540518</v>
      </c>
      <c r="AF42" s="37">
        <f>(Gender!CB44/'Total Bachelor''s'!AH44)*100</f>
        <v>57.094461686409936</v>
      </c>
      <c r="AG42" s="37">
        <f>(Gender!CC44/'Total Bachelor''s'!AI44)*100</f>
        <v>57.176623658245695</v>
      </c>
      <c r="AH42" s="37">
        <f>(Gender!CD44/'Total Bachelor''s'!AJ44)*100</f>
        <v>57.645684241273557</v>
      </c>
      <c r="AI42" s="37">
        <f>(Gender!CE44/'Total Bachelor''s'!AK44)*100</f>
        <v>57.496887175161667</v>
      </c>
      <c r="AJ42" s="37">
        <f>(Gender!CF44/'Total Bachelor''s'!AL44)*100</f>
        <v>57.461986475393815</v>
      </c>
      <c r="AK42" s="37">
        <f>(Gender!CG44/'Total Bachelor''s'!AM44)*100</f>
        <v>57.27927822368035</v>
      </c>
      <c r="AL42" s="37">
        <f>(Gender!CH44/'Total Bachelor''s'!AN44)*100</f>
        <v>57.031068861581268</v>
      </c>
      <c r="AM42" s="37">
        <f>(Gender!CI44/'Total Bachelor''s'!AO44)*100</f>
        <v>56.950075075075077</v>
      </c>
      <c r="AN42" s="37">
        <f>(Gender!CJ44/'Total Bachelor''s'!AP44)*100</f>
        <v>55.84521384928717</v>
      </c>
      <c r="AO42" s="37">
        <f>(Gender!CK44/'Total Bachelor''s'!AQ44)*100</f>
        <v>55.815230321553408</v>
      </c>
      <c r="AP42" s="37">
        <f>(Gender!CL44/'Total Bachelor''s'!AR44)*100</f>
        <v>55.386372967280131</v>
      </c>
      <c r="AQ42" s="37">
        <f>(Gender!CM44/'Total Bachelor''s'!AS44)*100</f>
        <v>55.547254389241687</v>
      </c>
      <c r="AR42" s="37">
        <f>(Gender!CN44/'Total Bachelor''s'!AT44)*100</f>
        <v>55.516734411484912</v>
      </c>
      <c r="AS42" s="37">
        <f>(Gender!CO44/'Total Bachelor''s'!AU44)*100</f>
        <v>55.49313571477358</v>
      </c>
      <c r="AT42" s="37" t="e">
        <f>(Gender!CP44/'Total Bachelor''s'!AV44)*100</f>
        <v>#DIV/0!</v>
      </c>
      <c r="AU42" s="37">
        <f>(Gender!CQ44/'Total Bachelor''s'!AW44)*100</f>
        <v>55.719526429881604</v>
      </c>
      <c r="AV42" s="37">
        <f>(Gender!CR44/'Total Bachelor''s'!AX44)*100</f>
        <v>55.536025205206862</v>
      </c>
      <c r="AW42" s="37">
        <f>(Gender!CS44/'Total Bachelor''s'!AY44)*100</f>
        <v>55.545230759198581</v>
      </c>
    </row>
    <row r="43" spans="1:49">
      <c r="A43" s="54" t="s">
        <v>182</v>
      </c>
      <c r="B43" s="37">
        <f>(Gender!AX45/'Total Bachelor''s'!D45)*100</f>
        <v>44.767184035476717</v>
      </c>
      <c r="C43" s="37">
        <f>(Gender!AY45/'Total Bachelor''s'!E45)*100</f>
        <v>44.97697333190532</v>
      </c>
      <c r="D43" s="37">
        <f>(Gender!AZ45/'Total Bachelor''s'!F45)*100</f>
        <v>45.312901732915101</v>
      </c>
      <c r="E43" s="37">
        <f>(Gender!BA45/'Total Bachelor''s'!G45)*100</f>
        <v>45.265623442639288</v>
      </c>
      <c r="F43" s="37">
        <f>(Gender!BB45/'Total Bachelor''s'!H45)*100</f>
        <v>44.949729311678269</v>
      </c>
      <c r="G43" s="37">
        <f>(Gender!BC45/'Total Bachelor''s'!I45)*100</f>
        <v>45.824515708937</v>
      </c>
      <c r="H43" s="37">
        <f>(Gender!BD45/'Total Bachelor''s'!J45)*100</f>
        <v>45.786562996221868</v>
      </c>
      <c r="I43" s="37">
        <f>(Gender!BE45/'Total Bachelor''s'!K45)*100</f>
        <v>46.165281065903208</v>
      </c>
      <c r="J43" s="37">
        <f>(Gender!BF45/'Total Bachelor''s'!L45)*100</f>
        <v>47.753643112455322</v>
      </c>
      <c r="K43" s="37">
        <f>(Gender!BG45/'Total Bachelor''s'!M45)*100</f>
        <v>48.524394866518655</v>
      </c>
      <c r="L43" s="37">
        <f>(Gender!BH45/'Total Bachelor''s'!N45)*100</f>
        <v>49.973167328539233</v>
      </c>
      <c r="M43" s="37">
        <f>(Gender!BI45/'Total Bachelor''s'!O45)*100</f>
        <v>51.567656765676574</v>
      </c>
      <c r="N43" s="37">
        <f>(Gender!BJ45/'Total Bachelor''s'!P45)*100</f>
        <v>51.78752278711768</v>
      </c>
      <c r="O43" s="37">
        <f>(Gender!BK45/'Total Bachelor''s'!Q45)*100</f>
        <v>51.306620209059226</v>
      </c>
      <c r="P43" s="37">
        <f>(Gender!BL45/'Total Bachelor''s'!R45)*100</f>
        <v>52.337630746776945</v>
      </c>
      <c r="Q43" s="37">
        <f>(Gender!BM45/'Total Bachelor''s'!S45)*100</f>
        <v>52.740289266192619</v>
      </c>
      <c r="R43" s="37">
        <f>(Gender!BN45/'Total Bachelor''s'!T45)*100</f>
        <v>52.187453655642891</v>
      </c>
      <c r="S43" s="37">
        <f>(Gender!BO45/'Total Bachelor''s'!U45)*100</f>
        <v>52.677923460254483</v>
      </c>
      <c r="T43" s="37">
        <f>(Gender!BP45/'Total Bachelor''s'!V45)*100</f>
        <v>53.677894836301789</v>
      </c>
      <c r="U43" s="37">
        <f>(Gender!BQ45/'Total Bachelor''s'!W45)*100</f>
        <v>53.915346331217748</v>
      </c>
      <c r="V43" s="37">
        <f>(Gender!BR45/'Total Bachelor''s'!X45)*100</f>
        <v>54.997596258904771</v>
      </c>
      <c r="W43" s="37">
        <f>(Gender!BS45/'Total Bachelor''s'!Y45)*100</f>
        <v>55.662813836318215</v>
      </c>
      <c r="X43" s="37">
        <f>(Gender!BT45/'Total Bachelor''s'!Z45)*100</f>
        <v>55.134339344865658</v>
      </c>
      <c r="Y43" s="37">
        <f>(Gender!BU45/'Total Bachelor''s'!AA45)*100</f>
        <v>55.93651562878604</v>
      </c>
      <c r="Z43" s="37">
        <f>(Gender!BV45/'Total Bachelor''s'!AB45)*100</f>
        <v>55.996928796573187</v>
      </c>
      <c r="AA43" s="37">
        <f>(Gender!BW45/'Total Bachelor''s'!AC45)*100</f>
        <v>55.696360312448064</v>
      </c>
      <c r="AB43" s="37">
        <f>(Gender!BX45/'Total Bachelor''s'!AD45)*100</f>
        <v>55.89157609862967</v>
      </c>
      <c r="AC43" s="37">
        <f>(Gender!BY45/'Total Bachelor''s'!AE45)*100</f>
        <v>56.777787602794241</v>
      </c>
      <c r="AD43" s="37">
        <f>(Gender!BZ45/'Total Bachelor''s'!AF45)*100</f>
        <v>56.669848984551294</v>
      </c>
      <c r="AE43" s="37">
        <f>(Gender!CA45/'Total Bachelor''s'!AG45)*100</f>
        <v>57.966760198575443</v>
      </c>
      <c r="AF43" s="37">
        <f>(Gender!CB45/'Total Bachelor''s'!AH45)*100</f>
        <v>57.9848975188781</v>
      </c>
      <c r="AG43" s="37">
        <f>(Gender!CC45/'Total Bachelor''s'!AI45)*100</f>
        <v>58.073217726396919</v>
      </c>
      <c r="AH43" s="37">
        <f>(Gender!CD45/'Total Bachelor''s'!AJ45)*100</f>
        <v>58.394721929895574</v>
      </c>
      <c r="AI43" s="37">
        <f>(Gender!CE45/'Total Bachelor''s'!AK45)*100</f>
        <v>58.39506651669705</v>
      </c>
      <c r="AJ43" s="37">
        <f>(Gender!CF45/'Total Bachelor''s'!AL45)*100</f>
        <v>58.029571073049333</v>
      </c>
      <c r="AK43" s="37">
        <f>(Gender!CG45/'Total Bachelor''s'!AM45)*100</f>
        <v>57.729442970822284</v>
      </c>
      <c r="AL43" s="37">
        <f>(Gender!CH45/'Total Bachelor''s'!AN45)*100</f>
        <v>57.527832691707417</v>
      </c>
      <c r="AM43" s="37">
        <f>(Gender!CI45/'Total Bachelor''s'!AO45)*100</f>
        <v>57.292862448511038</v>
      </c>
      <c r="AN43" s="37">
        <f>(Gender!CJ45/'Total Bachelor''s'!AP45)*100</f>
        <v>56.810849957205875</v>
      </c>
      <c r="AO43" s="37">
        <f>(Gender!CK45/'Total Bachelor''s'!AQ45)*100</f>
        <v>57.205435651478822</v>
      </c>
      <c r="AP43" s="37">
        <f>(Gender!CL45/'Total Bachelor''s'!AR45)*100</f>
        <v>56.591136705057586</v>
      </c>
      <c r="AQ43" s="37">
        <f>(Gender!CM45/'Total Bachelor''s'!AS45)*100</f>
        <v>56.2375874606618</v>
      </c>
      <c r="AR43" s="37">
        <f>(Gender!CN45/'Total Bachelor''s'!AT45)*100</f>
        <v>56.628770924715774</v>
      </c>
      <c r="AS43" s="37">
        <f>(Gender!CO45/'Total Bachelor''s'!AU45)*100</f>
        <v>55.966485374099662</v>
      </c>
      <c r="AT43" s="37" t="e">
        <f>(Gender!CP45/'Total Bachelor''s'!AV45)*100</f>
        <v>#DIV/0!</v>
      </c>
      <c r="AU43" s="37">
        <f>(Gender!CQ45/'Total Bachelor''s'!AW45)*100</f>
        <v>56.823021412516262</v>
      </c>
      <c r="AV43" s="37">
        <f>(Gender!CR45/'Total Bachelor''s'!AX45)*100</f>
        <v>56.465478237263596</v>
      </c>
      <c r="AW43" s="37">
        <f>(Gender!CS45/'Total Bachelor''s'!AY45)*100</f>
        <v>56.85444579780755</v>
      </c>
    </row>
    <row r="44" spans="1:49">
      <c r="A44" s="54" t="s">
        <v>183</v>
      </c>
      <c r="B44" s="37">
        <f>(Gender!AX46/'Total Bachelor''s'!D46)*100</f>
        <v>43.909085954106942</v>
      </c>
      <c r="C44" s="37">
        <f>(Gender!AY46/'Total Bachelor''s'!E46)*100</f>
        <v>43.234595933532873</v>
      </c>
      <c r="D44" s="37">
        <f>(Gender!AZ46/'Total Bachelor''s'!F46)*100</f>
        <v>44.435129937373638</v>
      </c>
      <c r="E44" s="37">
        <f>(Gender!BA46/'Total Bachelor''s'!G46)*100</f>
        <v>44.507619890944675</v>
      </c>
      <c r="F44" s="37">
        <f>(Gender!BB46/'Total Bachelor''s'!H46)*100</f>
        <v>43.965794676106846</v>
      </c>
      <c r="G44" s="37">
        <f>(Gender!BC46/'Total Bachelor''s'!I46)*100</f>
        <v>44.095749693714069</v>
      </c>
      <c r="H44" s="37">
        <f>(Gender!BD46/'Total Bachelor''s'!J46)*100</f>
        <v>43.987773336468379</v>
      </c>
      <c r="I44" s="37">
        <f>(Gender!BE46/'Total Bachelor''s'!K46)*100</f>
        <v>45.276963862145948</v>
      </c>
      <c r="J44" s="37">
        <f>(Gender!BF46/'Total Bachelor''s'!L46)*100</f>
        <v>45.828523939240043</v>
      </c>
      <c r="K44" s="37">
        <f>(Gender!BG46/'Total Bachelor''s'!M46)*100</f>
        <v>46.566210045662096</v>
      </c>
      <c r="L44" s="37">
        <f>(Gender!BH46/'Total Bachelor''s'!N46)*100</f>
        <v>46.691295312860767</v>
      </c>
      <c r="M44" s="37">
        <f>(Gender!BI46/'Total Bachelor''s'!O46)*100</f>
        <v>49.057553298563455</v>
      </c>
      <c r="N44" s="37">
        <f>(Gender!BJ46/'Total Bachelor''s'!P46)*100</f>
        <v>48.743652020313533</v>
      </c>
      <c r="O44" s="37">
        <f>(Gender!BK46/'Total Bachelor''s'!Q46)*100</f>
        <v>48.163337302112275</v>
      </c>
      <c r="P44" s="37">
        <f>(Gender!BL46/'Total Bachelor''s'!R46)*100</f>
        <v>49.529849114366939</v>
      </c>
      <c r="Q44" s="37">
        <f>(Gender!BM46/'Total Bachelor''s'!S46)*100</f>
        <v>49.618752995512175</v>
      </c>
      <c r="R44" s="37">
        <f>(Gender!BN46/'Total Bachelor''s'!T46)*100</f>
        <v>49.873439443991593</v>
      </c>
      <c r="S44" s="37">
        <f>(Gender!BO46/'Total Bachelor''s'!U46)*100</f>
        <v>50.825806451612898</v>
      </c>
      <c r="T44" s="37">
        <f>(Gender!BP46/'Total Bachelor''s'!V46)*100</f>
        <v>50.601415606409304</v>
      </c>
      <c r="U44" s="37">
        <f>(Gender!BQ46/'Total Bachelor''s'!W46)*100</f>
        <v>51.679324894514764</v>
      </c>
      <c r="V44" s="37">
        <f>(Gender!BR46/'Total Bachelor''s'!X46)*100</f>
        <v>52.496856111313939</v>
      </c>
      <c r="W44" s="37">
        <f>(Gender!BS46/'Total Bachelor''s'!Y46)*100</f>
        <v>53.722358229321344</v>
      </c>
      <c r="X44" s="37">
        <f>(Gender!BT46/'Total Bachelor''s'!Z46)*100</f>
        <v>53.67203977101537</v>
      </c>
      <c r="Y44" s="37">
        <f>(Gender!BU46/'Total Bachelor''s'!AA46)*100</f>
        <v>54.362988795726054</v>
      </c>
      <c r="Z44" s="37">
        <f>(Gender!BV46/'Total Bachelor''s'!AB46)*100</f>
        <v>53.673528769913439</v>
      </c>
      <c r="AA44" s="37">
        <f>(Gender!BW46/'Total Bachelor''s'!AC46)*100</f>
        <v>55.264759586122949</v>
      </c>
      <c r="AB44" s="37">
        <f>(Gender!BX46/'Total Bachelor''s'!AD46)*100</f>
        <v>55.526257965282355</v>
      </c>
      <c r="AC44" s="37">
        <f>(Gender!BY46/'Total Bachelor''s'!AE46)*100</f>
        <v>55.84693223116939</v>
      </c>
      <c r="AD44" s="37">
        <f>(Gender!BZ46/'Total Bachelor''s'!AF46)*100</f>
        <v>56.594433674882303</v>
      </c>
      <c r="AE44" s="37">
        <f>(Gender!CA46/'Total Bachelor''s'!AG46)*100</f>
        <v>57.029067963173688</v>
      </c>
      <c r="AF44" s="37">
        <f>(Gender!CB46/'Total Bachelor''s'!AH46)*100</f>
        <v>57.356417512901615</v>
      </c>
      <c r="AG44" s="37">
        <f>(Gender!CC46/'Total Bachelor''s'!AI46)*100</f>
        <v>56.68787698018162</v>
      </c>
      <c r="AH44" s="37">
        <f>(Gender!CD46/'Total Bachelor''s'!AJ46)*100</f>
        <v>56.932236144878743</v>
      </c>
      <c r="AI44" s="37">
        <f>(Gender!CE46/'Total Bachelor''s'!AK46)*100</f>
        <v>57.132558349103356</v>
      </c>
      <c r="AJ44" s="37">
        <f>(Gender!CF46/'Total Bachelor''s'!AL46)*100</f>
        <v>57.039839224494628</v>
      </c>
      <c r="AK44" s="37">
        <f>(Gender!CG46/'Total Bachelor''s'!AM46)*100</f>
        <v>56.951560316721007</v>
      </c>
      <c r="AL44" s="37">
        <f>(Gender!CH46/'Total Bachelor''s'!AN46)*100</f>
        <v>57.052028043484427</v>
      </c>
      <c r="AM44" s="37">
        <f>(Gender!CI46/'Total Bachelor''s'!AO46)*100</f>
        <v>57.334638512096213</v>
      </c>
      <c r="AN44" s="37">
        <f>(Gender!CJ46/'Total Bachelor''s'!AP46)*100</f>
        <v>57.549809715692859</v>
      </c>
      <c r="AO44" s="37">
        <f>(Gender!CK46/'Total Bachelor''s'!AQ46)*100</f>
        <v>58.43627834245504</v>
      </c>
      <c r="AP44" s="37">
        <f>(Gender!CL46/'Total Bachelor''s'!AR46)*100</f>
        <v>59.077380952380956</v>
      </c>
      <c r="AQ44" s="37">
        <f>(Gender!CM46/'Total Bachelor''s'!AS46)*100</f>
        <v>59.860958653494336</v>
      </c>
      <c r="AR44" s="37">
        <f>(Gender!CN46/'Total Bachelor''s'!AT46)*100</f>
        <v>60.321047481478033</v>
      </c>
      <c r="AS44" s="37">
        <f>(Gender!CO46/'Total Bachelor''s'!AU46)*100</f>
        <v>58.0102779025096</v>
      </c>
      <c r="AT44" s="37" t="e">
        <f>(Gender!CP46/'Total Bachelor''s'!AV46)*100</f>
        <v>#DIV/0!</v>
      </c>
      <c r="AU44" s="37">
        <f>(Gender!CQ46/'Total Bachelor''s'!AW46)*100</f>
        <v>57.249793418558305</v>
      </c>
      <c r="AV44" s="37">
        <f>(Gender!CR46/'Total Bachelor''s'!AX46)*100</f>
        <v>58.15755176907853</v>
      </c>
      <c r="AW44" s="37">
        <f>(Gender!CS46/'Total Bachelor''s'!AY46)*100</f>
        <v>57.823277955892351</v>
      </c>
    </row>
    <row r="45" spans="1:49">
      <c r="A45" s="54" t="s">
        <v>186</v>
      </c>
      <c r="B45" s="37">
        <f>(Gender!AX47/'Total Bachelor''s'!D47)*100</f>
        <v>40.639269406392692</v>
      </c>
      <c r="C45" s="37">
        <f>(Gender!AY47/'Total Bachelor''s'!E47)*100</f>
        <v>39.560550830295668</v>
      </c>
      <c r="D45" s="37">
        <f>(Gender!AZ47/'Total Bachelor''s'!F47)*100</f>
        <v>40.631534922626514</v>
      </c>
      <c r="E45" s="37">
        <f>(Gender!BA47/'Total Bachelor''s'!G47)*100</f>
        <v>41.943976411120474</v>
      </c>
      <c r="F45" s="37">
        <f>(Gender!BB47/'Total Bachelor''s'!H47)*100</f>
        <v>41.690356439973755</v>
      </c>
      <c r="G45" s="37">
        <f>(Gender!BC47/'Total Bachelor''s'!I47)*100</f>
        <v>41.522491349480966</v>
      </c>
      <c r="H45" s="37">
        <f>(Gender!BD47/'Total Bachelor''s'!J47)*100</f>
        <v>43.646694214876028</v>
      </c>
      <c r="I45" s="37">
        <f>(Gender!BE47/'Total Bachelor''s'!K47)*100</f>
        <v>44.570740839796734</v>
      </c>
      <c r="J45" s="37">
        <f>(Gender!BF47/'Total Bachelor''s'!L47)*100</f>
        <v>44.691132297244351</v>
      </c>
      <c r="K45" s="37">
        <f>(Gender!BG47/'Total Bachelor''s'!M47)*100</f>
        <v>48.040010813733439</v>
      </c>
      <c r="L45" s="37">
        <f>(Gender!BH47/'Total Bachelor''s'!N47)*100</f>
        <v>49.424069905997612</v>
      </c>
      <c r="M45" s="37">
        <f>(Gender!BI47/'Total Bachelor''s'!O47)*100</f>
        <v>50.823878984332794</v>
      </c>
      <c r="N45" s="37">
        <f>(Gender!BJ47/'Total Bachelor''s'!P47)*100</f>
        <v>50.753186558516802</v>
      </c>
      <c r="O45" s="37">
        <f>(Gender!BK47/'Total Bachelor''s'!Q47)*100</f>
        <v>50.322820958529924</v>
      </c>
      <c r="P45" s="37">
        <f>(Gender!BL47/'Total Bachelor''s'!R47)*100</f>
        <v>51.073487915593176</v>
      </c>
      <c r="Q45" s="37">
        <f>(Gender!BM47/'Total Bachelor''s'!S47)*100</f>
        <v>51.16446578631453</v>
      </c>
      <c r="R45" s="37">
        <f>(Gender!BN47/'Total Bachelor''s'!T47)*100</f>
        <v>51.374384827751776</v>
      </c>
      <c r="S45" s="37">
        <f>(Gender!BO47/'Total Bachelor''s'!U47)*100</f>
        <v>52.354340071343643</v>
      </c>
      <c r="T45" s="37">
        <f>(Gender!BP47/'Total Bachelor''s'!V47)*100</f>
        <v>53.692084942084939</v>
      </c>
      <c r="U45" s="37">
        <f>(Gender!BQ47/'Total Bachelor''s'!W47)*100</f>
        <v>52.664763264335001</v>
      </c>
      <c r="V45" s="37">
        <f>(Gender!BR47/'Total Bachelor''s'!X47)*100</f>
        <v>53.647574046329375</v>
      </c>
      <c r="W45" s="37">
        <f>(Gender!BS47/'Total Bachelor''s'!Y47)*100</f>
        <v>53.96310788149804</v>
      </c>
      <c r="X45" s="37">
        <f>(Gender!BT47/'Total Bachelor''s'!Z47)*100</f>
        <v>54.73080598916853</v>
      </c>
      <c r="Y45" s="37">
        <f>(Gender!BU47/'Total Bachelor''s'!AA47)*100</f>
        <v>55.019953791220331</v>
      </c>
      <c r="Z45" s="37">
        <f>(Gender!BV47/'Total Bachelor''s'!AB47)*100</f>
        <v>55.844155844155843</v>
      </c>
      <c r="AA45" s="37">
        <f>(Gender!BW47/'Total Bachelor''s'!AC47)*100</f>
        <v>56.061355764473028</v>
      </c>
      <c r="AB45" s="37">
        <f>(Gender!BX47/'Total Bachelor''s'!AD47)*100</f>
        <v>55.425219941348971</v>
      </c>
      <c r="AC45" s="37">
        <f>(Gender!BY47/'Total Bachelor''s'!AE47)*100</f>
        <v>56.09360753723027</v>
      </c>
      <c r="AD45" s="37">
        <f>(Gender!BZ47/'Total Bachelor''s'!AF47)*100</f>
        <v>54.334226988382483</v>
      </c>
      <c r="AE45" s="37">
        <f>(Gender!CA47/'Total Bachelor''s'!AG47)*100</f>
        <v>56.673982442138872</v>
      </c>
      <c r="AF45" s="37">
        <f>(Gender!CB47/'Total Bachelor''s'!AH47)*100</f>
        <v>55.531776309667812</v>
      </c>
      <c r="AG45" s="37">
        <f>(Gender!CC47/'Total Bachelor''s'!AI47)*100</f>
        <v>55.982192543127432</v>
      </c>
      <c r="AH45" s="37">
        <f>(Gender!CD47/'Total Bachelor''s'!AJ47)*100</f>
        <v>55.211956010903286</v>
      </c>
      <c r="AI45" s="37">
        <f>(Gender!CE47/'Total Bachelor''s'!AK47)*100</f>
        <v>55.310657596371883</v>
      </c>
      <c r="AJ45" s="37">
        <f>(Gender!CF47/'Total Bachelor''s'!AL47)*100</f>
        <v>56.053850861089259</v>
      </c>
      <c r="AK45" s="37">
        <f>(Gender!CG47/'Total Bachelor''s'!AM47)*100</f>
        <v>55.329610800900078</v>
      </c>
      <c r="AL45" s="37">
        <f>(Gender!CH47/'Total Bachelor''s'!AN47)*100</f>
        <v>55.037037037037038</v>
      </c>
      <c r="AM45" s="37">
        <f>(Gender!CI47/'Total Bachelor''s'!AO47)*100</f>
        <v>55.911449886474216</v>
      </c>
      <c r="AN45" s="37">
        <f>(Gender!CJ47/'Total Bachelor''s'!AP47)*100</f>
        <v>55.38025889967637</v>
      </c>
      <c r="AO45" s="37">
        <f>(Gender!CK47/'Total Bachelor''s'!AQ47)*100</f>
        <v>55.02186878727634</v>
      </c>
      <c r="AP45" s="37">
        <f>(Gender!CL47/'Total Bachelor''s'!AR47)*100</f>
        <v>54.67608764687202</v>
      </c>
      <c r="AQ45" s="37">
        <f>(Gender!CM47/'Total Bachelor''s'!AS47)*100</f>
        <v>55.610658771280526</v>
      </c>
      <c r="AR45" s="37">
        <f>(Gender!CN47/'Total Bachelor''s'!AT47)*100</f>
        <v>55.306007860752381</v>
      </c>
      <c r="AS45" s="37">
        <f>(Gender!CO47/'Total Bachelor''s'!AU47)*100</f>
        <v>55.655499681280538</v>
      </c>
      <c r="AT45" s="37" t="e">
        <f>(Gender!CP47/'Total Bachelor''s'!AV47)*100</f>
        <v>#DIV/0!</v>
      </c>
      <c r="AU45" s="37">
        <f>(Gender!CQ47/'Total Bachelor''s'!AW47)*100</f>
        <v>56.960227272727273</v>
      </c>
      <c r="AV45" s="37">
        <f>(Gender!CR47/'Total Bachelor''s'!AX47)*100</f>
        <v>56.226837284106004</v>
      </c>
      <c r="AW45" s="37">
        <f>(Gender!CS47/'Total Bachelor''s'!AY47)*100</f>
        <v>56.583159359777312</v>
      </c>
    </row>
    <row r="46" spans="1:49">
      <c r="A46" s="54" t="s">
        <v>185</v>
      </c>
      <c r="B46" s="37">
        <f>(Gender!AX48/'Total Bachelor''s'!D48)*100</f>
        <v>41.401603310059478</v>
      </c>
      <c r="C46" s="37">
        <f>(Gender!AY48/'Total Bachelor''s'!E48)*100</f>
        <v>42.021409011700271</v>
      </c>
      <c r="D46" s="37">
        <f>(Gender!AZ48/'Total Bachelor''s'!F48)*100</f>
        <v>44.536966944234166</v>
      </c>
      <c r="E46" s="37">
        <f>(Gender!BA48/'Total Bachelor''s'!G48)*100</f>
        <v>46.623634558093343</v>
      </c>
      <c r="F46" s="37">
        <f>(Gender!BB48/'Total Bachelor''s'!H48)*100</f>
        <v>43.923134514599447</v>
      </c>
      <c r="G46" s="37">
        <f>(Gender!BC48/'Total Bachelor''s'!I48)*100</f>
        <v>44.802867383512549</v>
      </c>
      <c r="H46" s="37">
        <f>(Gender!BD48/'Total Bachelor''s'!J48)*100</f>
        <v>45.241457215475855</v>
      </c>
      <c r="I46" s="37">
        <f>(Gender!BE48/'Total Bachelor''s'!K48)*100</f>
        <v>46.95574695574696</v>
      </c>
      <c r="J46" s="37">
        <f>(Gender!BF48/'Total Bachelor''s'!L48)*100</f>
        <v>46.623981373690334</v>
      </c>
      <c r="K46" s="37">
        <f>(Gender!BG48/'Total Bachelor''s'!M48)*100</f>
        <v>48.21477996125104</v>
      </c>
      <c r="L46" s="37">
        <f>(Gender!BH48/'Total Bachelor''s'!N48)*100</f>
        <v>47.298757428417069</v>
      </c>
      <c r="M46" s="37">
        <f>(Gender!BI48/'Total Bachelor''s'!O48)*100</f>
        <v>50.671936758893274</v>
      </c>
      <c r="N46" s="37">
        <f>(Gender!BJ48/'Total Bachelor''s'!P48)*100</f>
        <v>48.388814913448734</v>
      </c>
      <c r="O46" s="37">
        <f>(Gender!BK48/'Total Bachelor''s'!Q48)*100</f>
        <v>48.831300813008134</v>
      </c>
      <c r="P46" s="37">
        <f>(Gender!BL48/'Total Bachelor''s'!R48)*100</f>
        <v>49.533398821218071</v>
      </c>
      <c r="Q46" s="37">
        <f>(Gender!BM48/'Total Bachelor''s'!S48)*100</f>
        <v>44.831702076867984</v>
      </c>
      <c r="R46" s="37">
        <f>(Gender!BN48/'Total Bachelor''s'!T48)*100</f>
        <v>46.047384471029787</v>
      </c>
      <c r="S46" s="37">
        <f>(Gender!BO48/'Total Bachelor''s'!U48)*100</f>
        <v>49.489189831313851</v>
      </c>
      <c r="T46" s="37">
        <f>(Gender!BP48/'Total Bachelor''s'!V48)*100</f>
        <v>48.345498783454985</v>
      </c>
      <c r="U46" s="37">
        <f>(Gender!BQ48/'Total Bachelor''s'!W48)*100</f>
        <v>48.775367389783064</v>
      </c>
      <c r="V46" s="37">
        <f>(Gender!BR48/'Total Bachelor''s'!X48)*100</f>
        <v>47.572584483579249</v>
      </c>
      <c r="W46" s="37">
        <f>(Gender!BS48/'Total Bachelor''s'!Y48)*100</f>
        <v>51.392912859371521</v>
      </c>
      <c r="X46" s="37">
        <f>(Gender!BT48/'Total Bachelor''s'!Z48)*100</f>
        <v>49.968454258675074</v>
      </c>
      <c r="Y46" s="37">
        <f>(Gender!BU48/'Total Bachelor''s'!AA48)*100</f>
        <v>51.525795828759598</v>
      </c>
      <c r="Z46" s="37">
        <f>(Gender!BV48/'Total Bachelor''s'!AB48)*100</f>
        <v>50.460728389644579</v>
      </c>
      <c r="AA46" s="37">
        <f>(Gender!BW48/'Total Bachelor''s'!AC48)*100</f>
        <v>51.306306306306304</v>
      </c>
      <c r="AB46" s="37">
        <f>(Gender!BX48/'Total Bachelor''s'!AD48)*100</f>
        <v>51.6057091882248</v>
      </c>
      <c r="AC46" s="37">
        <f>(Gender!BY48/'Total Bachelor''s'!AE48)*100</f>
        <v>52.409768748649235</v>
      </c>
      <c r="AD46" s="37">
        <f>(Gender!BZ48/'Total Bachelor''s'!AF48)*100</f>
        <v>53.552746294681775</v>
      </c>
      <c r="AE46" s="37">
        <f>(Gender!CA48/'Total Bachelor''s'!AG48)*100</f>
        <v>52.494714587737846</v>
      </c>
      <c r="AF46" s="37">
        <f>(Gender!CB48/'Total Bachelor''s'!AH48)*100</f>
        <v>52.30674595037933</v>
      </c>
      <c r="AG46" s="37">
        <f>(Gender!CC48/'Total Bachelor''s'!AI48)*100</f>
        <v>53.562286689419793</v>
      </c>
      <c r="AH46" s="37">
        <f>(Gender!CD48/'Total Bachelor''s'!AJ48)*100</f>
        <v>53.950103950103944</v>
      </c>
      <c r="AI46" s="37">
        <f>(Gender!CE48/'Total Bachelor''s'!AK48)*100</f>
        <v>52.703809913969678</v>
      </c>
      <c r="AJ46" s="37">
        <f>(Gender!CF48/'Total Bachelor''s'!AL48)*100</f>
        <v>51.639181402741904</v>
      </c>
      <c r="AK46" s="37">
        <f>(Gender!CG48/'Total Bachelor''s'!AM48)*100</f>
        <v>51.540399147452042</v>
      </c>
      <c r="AL46" s="37">
        <f>(Gender!CH48/'Total Bachelor''s'!AN48)*100</f>
        <v>51.795152177874982</v>
      </c>
      <c r="AM46" s="37">
        <f>(Gender!CI48/'Total Bachelor''s'!AO48)*100</f>
        <v>52.949666245715321</v>
      </c>
      <c r="AN46" s="37">
        <f>(Gender!CJ48/'Total Bachelor''s'!AP48)*100</f>
        <v>52.287109021876702</v>
      </c>
      <c r="AO46" s="37">
        <f>(Gender!CK48/'Total Bachelor''s'!AQ48)*100</f>
        <v>52.926481084939326</v>
      </c>
      <c r="AP46" s="37">
        <f>(Gender!CL48/'Total Bachelor''s'!AR48)*100</f>
        <v>53.081892788545481</v>
      </c>
      <c r="AQ46" s="37">
        <f>(Gender!CM48/'Total Bachelor''s'!AS48)*100</f>
        <v>52.908001409940077</v>
      </c>
      <c r="AR46" s="37">
        <f>(Gender!CN48/'Total Bachelor''s'!AT48)*100</f>
        <v>51.769677760169039</v>
      </c>
      <c r="AS46" s="37">
        <f>(Gender!CO48/'Total Bachelor''s'!AU48)*100</f>
        <v>52.097609894701655</v>
      </c>
      <c r="AT46" s="37" t="e">
        <f>(Gender!CP48/'Total Bachelor''s'!AV48)*100</f>
        <v>#DIV/0!</v>
      </c>
      <c r="AU46" s="37">
        <f>(Gender!CQ48/'Total Bachelor''s'!AW48)*100</f>
        <v>52.551263710061988</v>
      </c>
      <c r="AV46" s="37">
        <f>(Gender!CR48/'Total Bachelor''s'!AX48)*100</f>
        <v>52.953318513813905</v>
      </c>
      <c r="AW46" s="37">
        <f>(Gender!CS48/'Total Bachelor''s'!AY48)*100</f>
        <v>51.003578652559511</v>
      </c>
    </row>
    <row r="47" spans="1:49">
      <c r="A47" s="54" t="s">
        <v>192</v>
      </c>
      <c r="B47" s="37">
        <f>(Gender!AX49/'Total Bachelor''s'!D49)*100</f>
        <v>41.845447370309245</v>
      </c>
      <c r="C47" s="37">
        <f>(Gender!AY49/'Total Bachelor''s'!E49)*100</f>
        <v>43.140839031435469</v>
      </c>
      <c r="D47" s="37">
        <f>(Gender!AZ49/'Total Bachelor''s'!F49)*100</f>
        <v>43.613474116188605</v>
      </c>
      <c r="E47" s="37">
        <f>(Gender!BA49/'Total Bachelor''s'!G49)*100</f>
        <v>44.775144813059505</v>
      </c>
      <c r="F47" s="37">
        <f>(Gender!BB49/'Total Bachelor''s'!H49)*100</f>
        <v>45.126807797107524</v>
      </c>
      <c r="G47" s="37">
        <f>(Gender!BC49/'Total Bachelor''s'!I49)*100</f>
        <v>45.301917179605972</v>
      </c>
      <c r="H47" s="37">
        <f>(Gender!BD49/'Total Bachelor''s'!J49)*100</f>
        <v>45.045149878979707</v>
      </c>
      <c r="I47" s="37">
        <f>(Gender!BE49/'Total Bachelor''s'!K49)*100</f>
        <v>45.587770675869443</v>
      </c>
      <c r="J47" s="37">
        <f>(Gender!BF49/'Total Bachelor''s'!L49)*100</f>
        <v>46.576224191711638</v>
      </c>
      <c r="K47" s="37">
        <f>(Gender!BG49/'Total Bachelor''s'!M49)*100</f>
        <v>47.73431734317343</v>
      </c>
      <c r="L47" s="37">
        <f>(Gender!BH49/'Total Bachelor''s'!N49)*100</f>
        <v>48.699240916795638</v>
      </c>
      <c r="M47" s="37">
        <f>(Gender!BI49/'Total Bachelor''s'!O49)*100</f>
        <v>49.368038740920092</v>
      </c>
      <c r="N47" s="37">
        <f>(Gender!BJ49/'Total Bachelor''s'!P49)*100</f>
        <v>49.690736308268363</v>
      </c>
      <c r="O47" s="37">
        <f>(Gender!BK49/'Total Bachelor''s'!Q49)*100</f>
        <v>49.406009783368276</v>
      </c>
      <c r="P47" s="37">
        <f>(Gender!BL49/'Total Bachelor''s'!R49)*100</f>
        <v>49.613186916547136</v>
      </c>
      <c r="Q47" s="37">
        <f>(Gender!BM49/'Total Bachelor''s'!S49)*100</f>
        <v>49.337171778144082</v>
      </c>
      <c r="R47" s="37">
        <f>(Gender!BN49/'Total Bachelor''s'!T49)*100</f>
        <v>49.504812710193669</v>
      </c>
      <c r="S47" s="37">
        <f>(Gender!BO49/'Total Bachelor''s'!U49)*100</f>
        <v>50.057987492893687</v>
      </c>
      <c r="T47" s="37">
        <f>(Gender!BP49/'Total Bachelor''s'!V49)*100</f>
        <v>51.085682773833319</v>
      </c>
      <c r="U47" s="37">
        <f>(Gender!BQ49/'Total Bachelor''s'!W49)*100</f>
        <v>51.299262311424208</v>
      </c>
      <c r="V47" s="37">
        <f>(Gender!BR49/'Total Bachelor''s'!X49)*100</f>
        <v>52.688972026188253</v>
      </c>
      <c r="W47" s="37">
        <f>(Gender!BS49/'Total Bachelor''s'!Y49)*100</f>
        <v>53.560523781225022</v>
      </c>
      <c r="X47" s="37">
        <f>(Gender!BT49/'Total Bachelor''s'!Z49)*100</f>
        <v>53.952963981248892</v>
      </c>
      <c r="Y47" s="37">
        <f>(Gender!BU49/'Total Bachelor''s'!AA49)*100</f>
        <v>53.794161633033575</v>
      </c>
      <c r="Z47" s="37">
        <f>(Gender!BV49/'Total Bachelor''s'!AB49)*100</f>
        <v>54.160291867718016</v>
      </c>
      <c r="AA47" s="37">
        <f>(Gender!BW49/'Total Bachelor''s'!AC49)*100</f>
        <v>54.305477131564082</v>
      </c>
      <c r="AB47" s="37">
        <f>(Gender!BX49/'Total Bachelor''s'!AD49)*100</f>
        <v>54.859185308436551</v>
      </c>
      <c r="AC47" s="37">
        <f>(Gender!BY49/'Total Bachelor''s'!AE49)*100</f>
        <v>55.518606169414063</v>
      </c>
      <c r="AD47" s="37">
        <f>(Gender!BZ49/'Total Bachelor''s'!AF49)*100</f>
        <v>55.680521597392008</v>
      </c>
      <c r="AE47" s="37">
        <f>(Gender!CA49/'Total Bachelor''s'!AG49)*100</f>
        <v>56.594820653048096</v>
      </c>
      <c r="AF47" s="37">
        <f>(Gender!CB49/'Total Bachelor''s'!AH49)*100</f>
        <v>56.972055607935971</v>
      </c>
      <c r="AG47" s="37">
        <f>(Gender!CC49/'Total Bachelor''s'!AI49)*100</f>
        <v>57.242016674532017</v>
      </c>
      <c r="AH47" s="37">
        <f>(Gender!CD49/'Total Bachelor''s'!AJ49)*100</f>
        <v>57.454311063926596</v>
      </c>
      <c r="AI47" s="37">
        <f>(Gender!CE49/'Total Bachelor''s'!AK49)*100</f>
        <v>57.177495806898563</v>
      </c>
      <c r="AJ47" s="37">
        <f>(Gender!CF49/'Total Bachelor''s'!AL49)*100</f>
        <v>57.038222222222224</v>
      </c>
      <c r="AK47" s="37">
        <f>(Gender!CG49/'Total Bachelor''s'!AM49)*100</f>
        <v>57.167933437483541</v>
      </c>
      <c r="AL47" s="37">
        <f>(Gender!CH49/'Total Bachelor''s'!AN49)*100</f>
        <v>57.053757561259012</v>
      </c>
      <c r="AM47" s="37">
        <f>(Gender!CI49/'Total Bachelor''s'!AO49)*100</f>
        <v>56.796272765777211</v>
      </c>
      <c r="AN47" s="37">
        <f>(Gender!CJ49/'Total Bachelor''s'!AP49)*100</f>
        <v>56.150543066430913</v>
      </c>
      <c r="AO47" s="37">
        <f>(Gender!CK49/'Total Bachelor''s'!AQ49)*100</f>
        <v>55.845323741007192</v>
      </c>
      <c r="AP47" s="37">
        <f>(Gender!CL49/'Total Bachelor''s'!AR49)*100</f>
        <v>55.909553012166725</v>
      </c>
      <c r="AQ47" s="37">
        <f>(Gender!CM49/'Total Bachelor''s'!AS49)*100</f>
        <v>55.511724742493975</v>
      </c>
      <c r="AR47" s="37">
        <f>(Gender!CN49/'Total Bachelor''s'!AT49)*100</f>
        <v>56.176576360584995</v>
      </c>
      <c r="AS47" s="37">
        <f>(Gender!CO49/'Total Bachelor''s'!AU49)*100</f>
        <v>56.694816672457819</v>
      </c>
      <c r="AT47" s="37" t="e">
        <f>(Gender!CP49/'Total Bachelor''s'!AV49)*100</f>
        <v>#DIV/0!</v>
      </c>
      <c r="AU47" s="37">
        <f>(Gender!CQ49/'Total Bachelor''s'!AW49)*100</f>
        <v>56.932577008688156</v>
      </c>
      <c r="AV47" s="37">
        <f>(Gender!CR49/'Total Bachelor''s'!AX49)*100</f>
        <v>56.559413007480153</v>
      </c>
      <c r="AW47" s="37">
        <f>(Gender!CS49/'Total Bachelor''s'!AY49)*100</f>
        <v>56.474152252516376</v>
      </c>
    </row>
    <row r="48" spans="1:49">
      <c r="A48" s="54" t="s">
        <v>196</v>
      </c>
      <c r="B48" s="37">
        <f>(Gender!AX50/'Total Bachelor''s'!D50)*100</f>
        <v>45.017256255392581</v>
      </c>
      <c r="C48" s="37">
        <f>(Gender!AY50/'Total Bachelor''s'!E50)*100</f>
        <v>45.079232693911592</v>
      </c>
      <c r="D48" s="37">
        <f>(Gender!AZ50/'Total Bachelor''s'!F50)*100</f>
        <v>43.978405315614616</v>
      </c>
      <c r="E48" s="37">
        <f>(Gender!BA50/'Total Bachelor''s'!G50)*100</f>
        <v>42.885852090032159</v>
      </c>
      <c r="F48" s="37">
        <f>(Gender!BB50/'Total Bachelor''s'!H50)*100</f>
        <v>43.178070898598513</v>
      </c>
      <c r="G48" s="37">
        <f>(Gender!BC50/'Total Bachelor''s'!I50)*100</f>
        <v>42.617046818727488</v>
      </c>
      <c r="H48" s="37">
        <f>(Gender!BD50/'Total Bachelor''s'!J50)*100</f>
        <v>43.92422192151556</v>
      </c>
      <c r="I48" s="37">
        <f>(Gender!BE50/'Total Bachelor''s'!K50)*100</f>
        <v>43.410648392198212</v>
      </c>
      <c r="J48" s="37">
        <f>(Gender!BF50/'Total Bachelor''s'!L50)*100</f>
        <v>44.080000000000005</v>
      </c>
      <c r="K48" s="37">
        <f>(Gender!BG50/'Total Bachelor''s'!M50)*100</f>
        <v>43.616156139875308</v>
      </c>
      <c r="L48" s="37">
        <f>(Gender!BH50/'Total Bachelor''s'!N50)*100</f>
        <v>46.327254305977711</v>
      </c>
      <c r="M48" s="37">
        <f>(Gender!BI50/'Total Bachelor''s'!O50)*100</f>
        <v>46.147880041365049</v>
      </c>
      <c r="N48" s="37">
        <f>(Gender!BJ50/'Total Bachelor''s'!P50)*100</f>
        <v>49.219749296495266</v>
      </c>
      <c r="O48" s="37">
        <f>(Gender!BK50/'Total Bachelor''s'!Q50)*100</f>
        <v>48.173076923076927</v>
      </c>
      <c r="P48" s="37">
        <f>(Gender!BL50/'Total Bachelor''s'!R50)*100</f>
        <v>46.563952066519931</v>
      </c>
      <c r="Q48" s="37">
        <f>(Gender!BM50/'Total Bachelor''s'!S50)*100</f>
        <v>48.606060606060609</v>
      </c>
      <c r="R48" s="37">
        <f>(Gender!BN50/'Total Bachelor''s'!T50)*100</f>
        <v>48.755968836391048</v>
      </c>
      <c r="S48" s="37">
        <f>(Gender!BO50/'Total Bachelor''s'!U50)*100</f>
        <v>48.207597645799893</v>
      </c>
      <c r="T48" s="37">
        <f>(Gender!BP50/'Total Bachelor''s'!V50)*100</f>
        <v>50.620347394540943</v>
      </c>
      <c r="U48" s="37">
        <f>(Gender!BQ50/'Total Bachelor''s'!W50)*100</f>
        <v>50.054083288263925</v>
      </c>
      <c r="V48" s="37">
        <f>(Gender!BR50/'Total Bachelor''s'!X50)*100</f>
        <v>52.225601327066627</v>
      </c>
      <c r="W48" s="37">
        <f>(Gender!BS50/'Total Bachelor''s'!Y50)*100</f>
        <v>54.293478260869563</v>
      </c>
      <c r="X48" s="37">
        <f>(Gender!BT50/'Total Bachelor''s'!Z50)*100</f>
        <v>53.963190184049083</v>
      </c>
      <c r="Y48" s="37">
        <f>(Gender!BU50/'Total Bachelor''s'!AA50)*100</f>
        <v>54.092191909689561</v>
      </c>
      <c r="Z48" s="37">
        <f>(Gender!BV50/'Total Bachelor''s'!AB50)*100</f>
        <v>54.442843419788666</v>
      </c>
      <c r="AA48" s="37">
        <f>(Gender!BW50/'Total Bachelor''s'!AC50)*100</f>
        <v>53.73864430468204</v>
      </c>
      <c r="AB48" s="37">
        <f>(Gender!BX50/'Total Bachelor''s'!AD50)*100</f>
        <v>55.958549222797927</v>
      </c>
      <c r="AC48" s="37">
        <f>(Gender!BY50/'Total Bachelor''s'!AE50)*100</f>
        <v>54.680851063829785</v>
      </c>
      <c r="AD48" s="37">
        <f>(Gender!BZ50/'Total Bachelor''s'!AF50)*100</f>
        <v>56.447460800374451</v>
      </c>
      <c r="AE48" s="37">
        <f>(Gender!CA50/'Total Bachelor''s'!AG50)*100</f>
        <v>57.041921808761188</v>
      </c>
      <c r="AF48" s="37">
        <f>(Gender!CB50/'Total Bachelor''s'!AH50)*100</f>
        <v>55.095683133066309</v>
      </c>
      <c r="AG48" s="37">
        <f>(Gender!CC50/'Total Bachelor''s'!AI50)*100</f>
        <v>56.547478096140182</v>
      </c>
      <c r="AH48" s="37">
        <f>(Gender!CD50/'Total Bachelor''s'!AJ50)*100</f>
        <v>56.197021764032073</v>
      </c>
      <c r="AI48" s="37">
        <f>(Gender!CE50/'Total Bachelor''s'!AK50)*100</f>
        <v>55.179558011049721</v>
      </c>
      <c r="AJ48" s="37">
        <f>(Gender!CF50/'Total Bachelor''s'!AL50)*100</f>
        <v>55.955387205387211</v>
      </c>
      <c r="AK48" s="37">
        <f>(Gender!CG50/'Total Bachelor''s'!AM50)*100</f>
        <v>55.921190526095153</v>
      </c>
      <c r="AL48" s="37">
        <f>(Gender!CH50/'Total Bachelor''s'!AN50)*100</f>
        <v>55.010309278350512</v>
      </c>
      <c r="AM48" s="37">
        <f>(Gender!CI50/'Total Bachelor''s'!AO50)*100</f>
        <v>55.750251762336354</v>
      </c>
      <c r="AN48" s="37">
        <f>(Gender!CJ50/'Total Bachelor''s'!AP50)*100</f>
        <v>55.528846153846153</v>
      </c>
      <c r="AO48" s="37">
        <f>(Gender!CK50/'Total Bachelor''s'!AQ50)*100</f>
        <v>57.105943152454785</v>
      </c>
      <c r="AP48" s="37">
        <f>(Gender!CL50/'Total Bachelor''s'!AR50)*100</f>
        <v>56.511254019292601</v>
      </c>
      <c r="AQ48" s="37">
        <f>(Gender!CM50/'Total Bachelor''s'!AS50)*100</f>
        <v>56.879677605066206</v>
      </c>
      <c r="AR48" s="37">
        <f>(Gender!CN50/'Total Bachelor''s'!AT50)*100</f>
        <v>56.917655786350153</v>
      </c>
      <c r="AS48" s="37">
        <f>(Gender!CO50/'Total Bachelor''s'!AU50)*100</f>
        <v>55.823435561070731</v>
      </c>
      <c r="AT48" s="37" t="e">
        <f>(Gender!CP50/'Total Bachelor''s'!AV50)*100</f>
        <v>#DIV/0!</v>
      </c>
      <c r="AU48" s="37">
        <f>(Gender!CQ50/'Total Bachelor''s'!AW50)*100</f>
        <v>57.484923731819791</v>
      </c>
      <c r="AV48" s="37">
        <f>(Gender!CR50/'Total Bachelor''s'!AX50)*100</f>
        <v>59.950331125827816</v>
      </c>
      <c r="AW48" s="37">
        <f>(Gender!CS50/'Total Bachelor''s'!AY50)*100</f>
        <v>57.679630850362564</v>
      </c>
    </row>
    <row r="49" spans="1:49">
      <c r="A49" s="58" t="s">
        <v>199</v>
      </c>
      <c r="B49" s="37">
        <f>(Gender!AX51/'Total Bachelor''s'!D51)*100</f>
        <v>45.987772258311047</v>
      </c>
      <c r="C49" s="37">
        <f>(Gender!AY51/'Total Bachelor''s'!E51)*100</f>
        <v>45.731277533039652</v>
      </c>
      <c r="D49" s="37">
        <f>(Gender!AZ51/'Total Bachelor''s'!F51)*100</f>
        <v>45.8465785511126</v>
      </c>
      <c r="E49" s="37">
        <f>(Gender!BA51/'Total Bachelor''s'!G51)*100</f>
        <v>45.553655408294141</v>
      </c>
      <c r="F49" s="37">
        <f>(Gender!BB51/'Total Bachelor''s'!H51)*100</f>
        <v>45.599489795918366</v>
      </c>
      <c r="G49" s="37">
        <f>(Gender!BC51/'Total Bachelor''s'!I51)*100</f>
        <v>46.744881527490222</v>
      </c>
      <c r="H49" s="37">
        <f>(Gender!BD51/'Total Bachelor''s'!J51)*100</f>
        <v>47.22366617834696</v>
      </c>
      <c r="I49" s="37">
        <f>(Gender!BE51/'Total Bachelor''s'!K51)*100</f>
        <v>46.82017016776426</v>
      </c>
      <c r="J49" s="37">
        <f>(Gender!BF51/'Total Bachelor''s'!L51)*100</f>
        <v>48.151965147327488</v>
      </c>
      <c r="K49" s="37">
        <f>(Gender!BG51/'Total Bachelor''s'!M51)*100</f>
        <v>48.923345909634676</v>
      </c>
      <c r="L49" s="37">
        <f>(Gender!BH51/'Total Bachelor''s'!N51)*100</f>
        <v>50.30494795249232</v>
      </c>
      <c r="M49" s="37">
        <f>(Gender!BI51/'Total Bachelor''s'!O51)*100</f>
        <v>50.65377281394715</v>
      </c>
      <c r="N49" s="37">
        <f>(Gender!BJ51/'Total Bachelor''s'!P51)*100</f>
        <v>51.231505073532702</v>
      </c>
      <c r="O49" s="37">
        <f>(Gender!BK51/'Total Bachelor''s'!Q51)*100</f>
        <v>51.224877080997153</v>
      </c>
      <c r="P49" s="37">
        <f>(Gender!BL51/'Total Bachelor''s'!R51)*100</f>
        <v>50.472153439375504</v>
      </c>
      <c r="Q49" s="37">
        <f>(Gender!BM51/'Total Bachelor''s'!S51)*100</f>
        <v>50.383006914827547</v>
      </c>
      <c r="R49" s="37">
        <f>(Gender!BN51/'Total Bachelor''s'!T51)*100</f>
        <v>50.976315682198035</v>
      </c>
      <c r="S49" s="37">
        <f>(Gender!BO51/'Total Bachelor''s'!U51)*100</f>
        <v>51.670484163968091</v>
      </c>
      <c r="T49" s="37">
        <f>(Gender!BP51/'Total Bachelor''s'!V51)*100</f>
        <v>52.400526798898518</v>
      </c>
      <c r="U49" s="37">
        <f>(Gender!BQ51/'Total Bachelor''s'!W51)*100</f>
        <v>51.480237462896426</v>
      </c>
      <c r="V49" s="37">
        <f>(Gender!BR51/'Total Bachelor''s'!X51)*100</f>
        <v>54.467955548789767</v>
      </c>
      <c r="W49" s="37">
        <f>(Gender!BS51/'Total Bachelor''s'!Y51)*100</f>
        <v>54.895038530159809</v>
      </c>
      <c r="X49" s="37">
        <f>(Gender!BT51/'Total Bachelor''s'!Z51)*100</f>
        <v>55.170285382325176</v>
      </c>
      <c r="Y49" s="37">
        <f>(Gender!BU51/'Total Bachelor''s'!AA51)*100</f>
        <v>55.144537875780429</v>
      </c>
      <c r="Z49" s="37">
        <f>(Gender!BV51/'Total Bachelor''s'!AB51)*100</f>
        <v>54.999272303885895</v>
      </c>
      <c r="AA49" s="37">
        <f>(Gender!BW51/'Total Bachelor''s'!AC51)*100</f>
        <v>55.699068403666999</v>
      </c>
      <c r="AB49" s="37">
        <f>(Gender!BX51/'Total Bachelor''s'!AD51)*100</f>
        <v>56.626819126819129</v>
      </c>
      <c r="AC49" s="37">
        <f>(Gender!BY51/'Total Bachelor''s'!AE51)*100</f>
        <v>57.157453019521988</v>
      </c>
      <c r="AD49" s="37">
        <f>(Gender!BZ51/'Total Bachelor''s'!AF51)*100</f>
        <v>57.266518134336529</v>
      </c>
      <c r="AE49" s="37">
        <f>(Gender!CA51/'Total Bachelor''s'!AG51)*100</f>
        <v>57.564454196379586</v>
      </c>
      <c r="AF49" s="37">
        <f>(Gender!CB51/'Total Bachelor''s'!AH51)*100</f>
        <v>58.003848527756595</v>
      </c>
      <c r="AG49" s="37">
        <f>(Gender!CC51/'Total Bachelor''s'!AI51)*100</f>
        <v>58.084441792721023</v>
      </c>
      <c r="AH49" s="37">
        <f>(Gender!CD51/'Total Bachelor''s'!AJ51)*100</f>
        <v>57.83969704339367</v>
      </c>
      <c r="AI49" s="37">
        <f>(Gender!CE51/'Total Bachelor''s'!AK51)*100</f>
        <v>58.131219429920733</v>
      </c>
      <c r="AJ49" s="37">
        <f>(Gender!CF51/'Total Bachelor''s'!AL51)*100</f>
        <v>58.358260650524265</v>
      </c>
      <c r="AK49" s="37">
        <f>(Gender!CG51/'Total Bachelor''s'!AM51)*100</f>
        <v>58.691882866683784</v>
      </c>
      <c r="AL49" s="37">
        <f>(Gender!CH51/'Total Bachelor''s'!AN51)*100</f>
        <v>58.360374117197942</v>
      </c>
      <c r="AM49" s="37">
        <f>(Gender!CI51/'Total Bachelor''s'!AO51)*100</f>
        <v>58.16945414445874</v>
      </c>
      <c r="AN49" s="37">
        <f>(Gender!CJ51/'Total Bachelor''s'!AP51)*100</f>
        <v>57.872058336095456</v>
      </c>
      <c r="AO49" s="37">
        <f>(Gender!CK51/'Total Bachelor''s'!AQ51)*100</f>
        <v>57.70705179638049</v>
      </c>
      <c r="AP49" s="37">
        <f>(Gender!CL51/'Total Bachelor''s'!AR51)*100</f>
        <v>56.677123339880978</v>
      </c>
      <c r="AQ49" s="37">
        <f>(Gender!CM51/'Total Bachelor''s'!AS51)*100</f>
        <v>56.690949289945856</v>
      </c>
      <c r="AR49" s="37">
        <f>(Gender!CN51/'Total Bachelor''s'!AT51)*100</f>
        <v>56.21909893894783</v>
      </c>
      <c r="AS49" s="37">
        <f>(Gender!CO51/'Total Bachelor''s'!AU51)*100</f>
        <v>56.850001354022808</v>
      </c>
      <c r="AT49" s="37" t="e">
        <f>(Gender!CP51/'Total Bachelor''s'!AV51)*100</f>
        <v>#DIV/0!</v>
      </c>
      <c r="AU49" s="37">
        <f>(Gender!CQ51/'Total Bachelor''s'!AW51)*100</f>
        <v>56.658234589269071</v>
      </c>
      <c r="AV49" s="37">
        <f>(Gender!CR51/'Total Bachelor''s'!AX51)*100</f>
        <v>56.119809031019116</v>
      </c>
      <c r="AW49" s="37">
        <f>(Gender!CS51/'Total Bachelor''s'!AY51)*100</f>
        <v>56.265024444264377</v>
      </c>
    </row>
    <row r="50" spans="1:49">
      <c r="A50" s="54" t="s">
        <v>247</v>
      </c>
      <c r="B50" s="37">
        <f>(Gender!AX52/'Total Bachelor''s'!D52)*100</f>
        <v>43.608315005921163</v>
      </c>
      <c r="C50" s="37">
        <f>(Gender!AY52/'Total Bachelor''s'!E52)*100</f>
        <v>44.489586855767513</v>
      </c>
      <c r="D50" s="37">
        <f>(Gender!AZ52/'Total Bachelor''s'!F52)*100</f>
        <v>44.522987712273917</v>
      </c>
      <c r="E50" s="37">
        <f>(Gender!BA52/'Total Bachelor''s'!G52)*100</f>
        <v>44.906536166439942</v>
      </c>
      <c r="F50" s="37">
        <f>(Gender!BB52/'Total Bachelor''s'!H52)*100</f>
        <v>45.332115955261351</v>
      </c>
      <c r="G50" s="37">
        <f>(Gender!BC52/'Total Bachelor''s'!I52)*100</f>
        <v>46.583765939432297</v>
      </c>
      <c r="H50" s="37">
        <f>(Gender!BD52/'Total Bachelor''s'!J52)*100</f>
        <v>46.966062320084845</v>
      </c>
      <c r="I50" s="37">
        <f>(Gender!BE52/'Total Bachelor''s'!K52)*100</f>
        <v>47.265712203731084</v>
      </c>
      <c r="J50" s="37">
        <f>(Gender!BF52/'Total Bachelor''s'!L52)*100</f>
        <v>47.953586231031622</v>
      </c>
      <c r="K50" s="37">
        <f>(Gender!BG52/'Total Bachelor''s'!M52)*100</f>
        <v>48.857702211867384</v>
      </c>
      <c r="L50" s="37">
        <f>(Gender!BH52/'Total Bachelor''s'!N52)*100</f>
        <v>49.649045243057749</v>
      </c>
      <c r="M50" s="37">
        <f>(Gender!BI52/'Total Bachelor''s'!O52)*100</f>
        <v>50.730107268145034</v>
      </c>
      <c r="N50" s="37">
        <f>(Gender!BJ52/'Total Bachelor''s'!P52)*100</f>
        <v>51.616685382125638</v>
      </c>
      <c r="O50" s="37">
        <f>(Gender!BK52/'Total Bachelor''s'!Q52)*100</f>
        <v>52.00604454782605</v>
      </c>
      <c r="P50" s="37">
        <f>(Gender!BL52/'Total Bachelor''s'!R52)*100</f>
        <v>51.919360992480094</v>
      </c>
      <c r="Q50" s="37">
        <f>(Gender!BM52/'Total Bachelor''s'!S52)*100</f>
        <v>52.372622891998567</v>
      </c>
      <c r="R50" s="37">
        <f>(Gender!BN52/'Total Bachelor''s'!T52)*100</f>
        <v>52.322546972860131</v>
      </c>
      <c r="S50" s="37">
        <f>(Gender!BO52/'Total Bachelor''s'!U52)*100</f>
        <v>52.9651486743156</v>
      </c>
      <c r="T50" s="37">
        <f>(Gender!BP52/'Total Bachelor''s'!V52)*100</f>
        <v>53.21367935968955</v>
      </c>
      <c r="U50" s="37">
        <f>(Gender!BQ52/'Total Bachelor''s'!W52)*100</f>
        <v>53.54619167672039</v>
      </c>
      <c r="V50" s="37">
        <f>(Gender!BR52/'Total Bachelor''s'!X52)*100</f>
        <v>53.94622553660998</v>
      </c>
      <c r="W50" s="37">
        <f>(Gender!BS52/'Total Bachelor''s'!Y52)*100</f>
        <v>54.364508848130797</v>
      </c>
      <c r="X50" s="37">
        <f>(Gender!BT52/'Total Bachelor''s'!Z52)*100</f>
        <v>54.551019655566627</v>
      </c>
      <c r="Y50" s="37">
        <f>(Gender!BU52/'Total Bachelor''s'!AA52)*100</f>
        <v>54.477453152743337</v>
      </c>
      <c r="Z50" s="37">
        <f>(Gender!BV52/'Total Bachelor''s'!AB52)*100</f>
        <v>54.809248598327379</v>
      </c>
      <c r="AA50" s="37">
        <f>(Gender!BW52/'Total Bachelor''s'!AC52)*100</f>
        <v>54.857020864546278</v>
      </c>
      <c r="AB50" s="37">
        <f>(Gender!BX52/'Total Bachelor''s'!AD52)*100</f>
        <v>55.25297318320299</v>
      </c>
      <c r="AC50" s="37">
        <f>(Gender!BY52/'Total Bachelor''s'!AE52)*100</f>
        <v>56.056943734892904</v>
      </c>
      <c r="AD50" s="37">
        <f>(Gender!BZ52/'Total Bachelor''s'!AF52)*100</f>
        <v>56.57011494252874</v>
      </c>
      <c r="AE50" s="37">
        <f>(Gender!CA52/'Total Bachelor''s'!AG52)*100</f>
        <v>57.308629677085754</v>
      </c>
      <c r="AF50" s="37">
        <f>(Gender!CB52/'Total Bachelor''s'!AH52)*100</f>
        <v>57.567604374086734</v>
      </c>
      <c r="AG50" s="37">
        <f>(Gender!CC52/'Total Bachelor''s'!AI52)*100</f>
        <v>57.623345565951446</v>
      </c>
      <c r="AH50" s="37">
        <f>(Gender!CD52/'Total Bachelor''s'!AJ52)*100</f>
        <v>57.995935873947815</v>
      </c>
      <c r="AI50" s="37">
        <f>(Gender!CE52/'Total Bachelor''s'!AK52)*100</f>
        <v>58.081420968780719</v>
      </c>
      <c r="AJ50" s="37">
        <f>(Gender!CF52/'Total Bachelor''s'!AL52)*100</f>
        <v>57.935627813642789</v>
      </c>
      <c r="AK50" s="37">
        <f>(Gender!CG52/'Total Bachelor''s'!AM52)*100</f>
        <v>57.877943815815712</v>
      </c>
      <c r="AL50" s="37">
        <f>(Gender!CH52/'Total Bachelor''s'!AN52)*100</f>
        <v>57.984149601533339</v>
      </c>
      <c r="AM50" s="37">
        <f>(Gender!CI52/'Total Bachelor''s'!AO52)*100</f>
        <v>57.605900454497807</v>
      </c>
      <c r="AN50" s="37">
        <f>(Gender!CJ52/'Total Bachelor''s'!AP52)*100</f>
        <v>57.337042877615019</v>
      </c>
      <c r="AO50" s="37">
        <f>(Gender!CK52/'Total Bachelor''s'!AQ52)*100</f>
        <v>57.08227957531232</v>
      </c>
      <c r="AP50" s="37">
        <f>(Gender!CL52/'Total Bachelor''s'!AR52)*100</f>
        <v>57.051095970720986</v>
      </c>
      <c r="AQ50" s="37">
        <f>(Gender!CM52/'Total Bachelor''s'!AS52)*100</f>
        <v>57.185235494535711</v>
      </c>
      <c r="AR50" s="37">
        <f>(Gender!CN52/'Total Bachelor''s'!AT52)*100</f>
        <v>57.273346409502011</v>
      </c>
      <c r="AS50" s="37">
        <f>(Gender!CO52/'Total Bachelor''s'!AU52)*100</f>
        <v>56.959948528229056</v>
      </c>
      <c r="AT50" s="37" t="e">
        <f>(Gender!CP52/'Total Bachelor''s'!AV52)*100</f>
        <v>#DIV/0!</v>
      </c>
      <c r="AU50" s="37">
        <f>(Gender!CQ52/'Total Bachelor''s'!AW52)*100</f>
        <v>56.709495715799598</v>
      </c>
      <c r="AV50" s="37">
        <f>(Gender!CR52/'Total Bachelor''s'!AX52)*100</f>
        <v>56.850799362145807</v>
      </c>
      <c r="AW50" s="37">
        <f>(Gender!CS52/'Total Bachelor''s'!AY52)*100</f>
        <v>56.79637311960046</v>
      </c>
    </row>
    <row r="51" spans="1:49">
      <c r="A51" s="56"/>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row>
    <row r="52" spans="1:49">
      <c r="A52" s="54" t="s">
        <v>171</v>
      </c>
      <c r="B52" s="37">
        <f>(Gender!AX54/'Total Bachelor''s'!D54)*100</f>
        <v>42.663491481956399</v>
      </c>
      <c r="C52" s="37">
        <f>(Gender!AY54/'Total Bachelor''s'!E54)*100</f>
        <v>43.734237759805197</v>
      </c>
      <c r="D52" s="37">
        <f>(Gender!AZ54/'Total Bachelor''s'!F54)*100</f>
        <v>44.003183446080378</v>
      </c>
      <c r="E52" s="37">
        <f>(Gender!BA54/'Total Bachelor''s'!G54)*100</f>
        <v>43.98178747154293</v>
      </c>
      <c r="F52" s="37">
        <f>(Gender!BB54/'Total Bachelor''s'!H54)*100</f>
        <v>45.5425405064179</v>
      </c>
      <c r="G52" s="37">
        <f>(Gender!BC54/'Total Bachelor''s'!I54)*100</f>
        <v>47.431669964094674</v>
      </c>
      <c r="H52" s="37">
        <f>(Gender!BD54/'Total Bachelor''s'!J54)*100</f>
        <v>47.908717346639271</v>
      </c>
      <c r="I52" s="37">
        <f>(Gender!BE54/'Total Bachelor''s'!K54)*100</f>
        <v>48.507017020005975</v>
      </c>
      <c r="J52" s="37">
        <f>(Gender!BF54/'Total Bachelor''s'!L54)*100</f>
        <v>49.370952132807268</v>
      </c>
      <c r="K52" s="37">
        <f>(Gender!BG54/'Total Bachelor''s'!M54)*100</f>
        <v>50.011810093693413</v>
      </c>
      <c r="L52" s="37">
        <f>(Gender!BH54/'Total Bachelor''s'!N54)*100</f>
        <v>50.618707247713466</v>
      </c>
      <c r="M52" s="37">
        <f>(Gender!BI54/'Total Bachelor''s'!O54)*100</f>
        <v>51.081730769230774</v>
      </c>
      <c r="N52" s="37">
        <f>(Gender!BJ54/'Total Bachelor''s'!P54)*100</f>
        <v>51.925841846386675</v>
      </c>
      <c r="O52" s="37">
        <f>(Gender!BK54/'Total Bachelor''s'!Q54)*100</f>
        <v>53.628048780487802</v>
      </c>
      <c r="P52" s="37">
        <f>(Gender!BL54/'Total Bachelor''s'!R54)*100</f>
        <v>52.442140066125646</v>
      </c>
      <c r="Q52" s="37">
        <f>(Gender!BM54/'Total Bachelor''s'!S54)*100</f>
        <v>52.293577981651374</v>
      </c>
      <c r="R52" s="37">
        <f>(Gender!BN54/'Total Bachelor''s'!T54)*100</f>
        <v>52.928586716130411</v>
      </c>
      <c r="S52" s="37">
        <f>(Gender!BO54/'Total Bachelor''s'!U54)*100</f>
        <v>52.611304541077118</v>
      </c>
      <c r="T52" s="37">
        <f>(Gender!BP54/'Total Bachelor''s'!V54)*100</f>
        <v>54.130116959064324</v>
      </c>
      <c r="U52" s="37">
        <f>(Gender!BQ54/'Total Bachelor''s'!W54)*100</f>
        <v>54.225508317929759</v>
      </c>
      <c r="V52" s="37">
        <f>(Gender!BR54/'Total Bachelor''s'!X54)*100</f>
        <v>54.355032089710129</v>
      </c>
      <c r="W52" s="37">
        <f>(Gender!BS54/'Total Bachelor''s'!Y54)*100</f>
        <v>55.345181134654823</v>
      </c>
      <c r="X52" s="37">
        <f>(Gender!BT54/'Total Bachelor''s'!Z54)*100</f>
        <v>54.451028696983819</v>
      </c>
      <c r="Y52" s="37">
        <f>(Gender!BU54/'Total Bachelor''s'!AA54)*100</f>
        <v>54.102203469292078</v>
      </c>
      <c r="Z52" s="37">
        <f>(Gender!BV54/'Total Bachelor''s'!AB54)*100</f>
        <v>55.32342594586833</v>
      </c>
      <c r="AA52" s="37">
        <f>(Gender!BW54/'Total Bachelor''s'!AC54)*100</f>
        <v>55.818780417978822</v>
      </c>
      <c r="AB52" s="37">
        <f>(Gender!BX54/'Total Bachelor''s'!AD54)*100</f>
        <v>55.868965002611745</v>
      </c>
      <c r="AC52" s="37">
        <f>(Gender!BY54/'Total Bachelor''s'!AE54)*100</f>
        <v>55.80552060978318</v>
      </c>
      <c r="AD52" s="37">
        <f>(Gender!BZ54/'Total Bachelor''s'!AF54)*100</f>
        <v>56.039181028133747</v>
      </c>
      <c r="AE52" s="37">
        <f>(Gender!CA54/'Total Bachelor''s'!AG54)*100</f>
        <v>56.186046511627907</v>
      </c>
      <c r="AF52" s="37">
        <f>(Gender!CB54/'Total Bachelor''s'!AH54)*100</f>
        <v>57.245222929936304</v>
      </c>
      <c r="AG52" s="37">
        <f>(Gender!CC54/'Total Bachelor''s'!AI54)*100</f>
        <v>57.1875</v>
      </c>
      <c r="AH52" s="37">
        <f>(Gender!CD54/'Total Bachelor''s'!AJ54)*100</f>
        <v>58.20304499214857</v>
      </c>
      <c r="AI52" s="37">
        <f>(Gender!CE54/'Total Bachelor''s'!AK54)*100</f>
        <v>58.687697160883282</v>
      </c>
      <c r="AJ52" s="37">
        <f>(Gender!CF54/'Total Bachelor''s'!AL54)*100</f>
        <v>58.36087243886319</v>
      </c>
      <c r="AK52" s="37">
        <f>(Gender!CG54/'Total Bachelor''s'!AM54)*100</f>
        <v>57.711981705482337</v>
      </c>
      <c r="AL52" s="37">
        <f>(Gender!CH54/'Total Bachelor''s'!AN54)*100</f>
        <v>58.297847517937349</v>
      </c>
      <c r="AM52" s="37">
        <f>(Gender!CI54/'Total Bachelor''s'!AO54)*100</f>
        <v>58.33242208857299</v>
      </c>
      <c r="AN52" s="37">
        <f>(Gender!CJ54/'Total Bachelor''s'!AP54)*100</f>
        <v>57.563451776649742</v>
      </c>
      <c r="AO52" s="37">
        <f>(Gender!CK54/'Total Bachelor''s'!AQ54)*100</f>
        <v>57.583113456464389</v>
      </c>
      <c r="AP52" s="37">
        <f>(Gender!CL54/'Total Bachelor''s'!AR54)*100</f>
        <v>57.439819329672027</v>
      </c>
      <c r="AQ52" s="37">
        <f>(Gender!CM54/'Total Bachelor''s'!AS54)*100</f>
        <v>57.067954108913469</v>
      </c>
      <c r="AR52" s="37">
        <f>(Gender!CN54/'Total Bachelor''s'!AT54)*100</f>
        <v>57.542250120714634</v>
      </c>
      <c r="AS52" s="37">
        <f>(Gender!CO54/'Total Bachelor''s'!AU54)*100</f>
        <v>57.126562425740225</v>
      </c>
      <c r="AT52" s="37" t="e">
        <f>(Gender!CP54/'Total Bachelor''s'!AV54)*100</f>
        <v>#DIV/0!</v>
      </c>
      <c r="AU52" s="37">
        <f>(Gender!CQ54/'Total Bachelor''s'!AW54)*100</f>
        <v>55.66925536774783</v>
      </c>
      <c r="AV52" s="37">
        <f>(Gender!CR54/'Total Bachelor''s'!AX54)*100</f>
        <v>56.331877729257641</v>
      </c>
      <c r="AW52" s="37">
        <f>(Gender!CS54/'Total Bachelor''s'!AY54)*100</f>
        <v>56.306188356463295</v>
      </c>
    </row>
    <row r="53" spans="1:49">
      <c r="A53" s="54" t="s">
        <v>180</v>
      </c>
      <c r="B53" s="37">
        <f>(Gender!AX55/'Total Bachelor''s'!D55)*100</f>
        <v>40.213695968916952</v>
      </c>
      <c r="C53" s="37">
        <f>(Gender!AY55/'Total Bachelor''s'!E55)*100</f>
        <v>42.391789379741184</v>
      </c>
      <c r="D53" s="37">
        <f>(Gender!AZ55/'Total Bachelor''s'!F55)*100</f>
        <v>42.232346241457854</v>
      </c>
      <c r="E53" s="37">
        <f>(Gender!BA55/'Total Bachelor''s'!G55)*100</f>
        <v>43.372446762277271</v>
      </c>
      <c r="F53" s="37">
        <f>(Gender!BB55/'Total Bachelor''s'!H55)*100</f>
        <v>44.355686356947658</v>
      </c>
      <c r="G53" s="37">
        <f>(Gender!BC55/'Total Bachelor''s'!I55)*100</f>
        <v>44.904051172707888</v>
      </c>
      <c r="H53" s="37">
        <f>(Gender!BD55/'Total Bachelor''s'!J55)*100</f>
        <v>43.765903307888046</v>
      </c>
      <c r="I53" s="37">
        <f>(Gender!BE55/'Total Bachelor''s'!K55)*100</f>
        <v>45.652173913043477</v>
      </c>
      <c r="J53" s="37">
        <f>(Gender!BF55/'Total Bachelor''s'!L55)*100</f>
        <v>43.406710835648646</v>
      </c>
      <c r="K53" s="37">
        <f>(Gender!BG55/'Total Bachelor''s'!M55)*100</f>
        <v>45.075674490019743</v>
      </c>
      <c r="L53" s="37">
        <f>(Gender!BH55/'Total Bachelor''s'!N55)*100</f>
        <v>48.246699669967001</v>
      </c>
      <c r="M53" s="37">
        <f>(Gender!BI55/'Total Bachelor''s'!O55)*100</f>
        <v>51.110649782022008</v>
      </c>
      <c r="N53" s="37">
        <f>(Gender!BJ55/'Total Bachelor''s'!P55)*100</f>
        <v>50.53441641727234</v>
      </c>
      <c r="O53" s="37">
        <f>(Gender!BK55/'Total Bachelor''s'!Q55)*100</f>
        <v>52.982168477146949</v>
      </c>
      <c r="P53" s="37">
        <f>(Gender!BL55/'Total Bachelor''s'!R55)*100</f>
        <v>54.8750512085211</v>
      </c>
      <c r="Q53" s="37">
        <f>(Gender!BM55/'Total Bachelor''s'!S55)*100</f>
        <v>53.815501095835828</v>
      </c>
      <c r="R53" s="37">
        <f>(Gender!BN55/'Total Bachelor''s'!T55)*100</f>
        <v>55.021243723445345</v>
      </c>
      <c r="S53" s="37">
        <f>(Gender!BO55/'Total Bachelor''s'!U55)*100</f>
        <v>55.818039828192113</v>
      </c>
      <c r="T53" s="37">
        <f>(Gender!BP55/'Total Bachelor''s'!V55)*100</f>
        <v>55.572755417956657</v>
      </c>
      <c r="U53" s="37">
        <f>(Gender!BQ55/'Total Bachelor''s'!W55)*100</f>
        <v>56.736903150976225</v>
      </c>
      <c r="V53" s="37">
        <f>(Gender!BR55/'Total Bachelor''s'!X55)*100</f>
        <v>57.625404530744341</v>
      </c>
      <c r="W53" s="37">
        <f>(Gender!BS55/'Total Bachelor''s'!Y55)*100</f>
        <v>57.43256169887124</v>
      </c>
      <c r="X53" s="37">
        <f>(Gender!BT55/'Total Bachelor''s'!Z55)*100</f>
        <v>56.611284181377641</v>
      </c>
      <c r="Y53" s="37">
        <f>(Gender!BU55/'Total Bachelor''s'!AA55)*100</f>
        <v>53.614457831325304</v>
      </c>
      <c r="Z53" s="37">
        <f>(Gender!BV55/'Total Bachelor''s'!AB55)*100</f>
        <v>57.366033932471026</v>
      </c>
      <c r="AA53" s="37">
        <f>(Gender!BW55/'Total Bachelor''s'!AC55)*100</f>
        <v>56.88104530799253</v>
      </c>
      <c r="AB53" s="37">
        <f>(Gender!BX55/'Total Bachelor''s'!AD55)*100</f>
        <v>56.896244883431216</v>
      </c>
      <c r="AC53" s="37">
        <f>(Gender!BY55/'Total Bachelor''s'!AE55)*100</f>
        <v>57.915543575920935</v>
      </c>
      <c r="AD53" s="37">
        <f>(Gender!BZ55/'Total Bachelor''s'!AF55)*100</f>
        <v>57.037853730246233</v>
      </c>
      <c r="AE53" s="37">
        <f>(Gender!CA55/'Total Bachelor''s'!AG55)*100</f>
        <v>58.394552947500443</v>
      </c>
      <c r="AF53" s="37">
        <f>(Gender!CB55/'Total Bachelor''s'!AH55)*100</f>
        <v>59.467559943582515</v>
      </c>
      <c r="AG53" s="37">
        <f>(Gender!CC55/'Total Bachelor''s'!AI55)*100</f>
        <v>58.666421072020626</v>
      </c>
      <c r="AH53" s="37">
        <f>(Gender!CD55/'Total Bachelor''s'!AJ55)*100</f>
        <v>58.104609010875194</v>
      </c>
      <c r="AI53" s="37">
        <f>(Gender!CE55/'Total Bachelor''s'!AK55)*100</f>
        <v>59.645988957453724</v>
      </c>
      <c r="AJ53" s="37">
        <f>(Gender!CF55/'Total Bachelor''s'!AL55)*100</f>
        <v>60.306981350057768</v>
      </c>
      <c r="AK53" s="37">
        <f>(Gender!CG55/'Total Bachelor''s'!AM55)*100</f>
        <v>59.461538461538467</v>
      </c>
      <c r="AL53" s="37">
        <f>(Gender!CH55/'Total Bachelor''s'!AN55)*100</f>
        <v>57.182151589242061</v>
      </c>
      <c r="AM53" s="37">
        <f>(Gender!CI55/'Total Bachelor''s'!AO55)*100</f>
        <v>59.376811594202891</v>
      </c>
      <c r="AN53" s="37">
        <f>(Gender!CJ55/'Total Bachelor''s'!AP55)*100</f>
        <v>58.812772541848361</v>
      </c>
      <c r="AO53" s="37">
        <f>(Gender!CK55/'Total Bachelor''s'!AQ55)*100</f>
        <v>58.474453611231723</v>
      </c>
      <c r="AP53" s="37">
        <f>(Gender!CL55/'Total Bachelor''s'!AR55)*100</f>
        <v>56.8989841986456</v>
      </c>
      <c r="AQ53" s="37">
        <f>(Gender!CM55/'Total Bachelor''s'!AS55)*100</f>
        <v>58.118960119776773</v>
      </c>
      <c r="AR53" s="37">
        <f>(Gender!CN55/'Total Bachelor''s'!AT55)*100</f>
        <v>57.30088495575221</v>
      </c>
      <c r="AS53" s="37">
        <f>(Gender!CO55/'Total Bachelor''s'!AU55)*100</f>
        <v>57.51874573960464</v>
      </c>
      <c r="AT53" s="37" t="e">
        <f>(Gender!CP55/'Total Bachelor''s'!AV55)*100</f>
        <v>#DIV/0!</v>
      </c>
      <c r="AU53" s="37">
        <f>(Gender!CQ55/'Total Bachelor''s'!AW55)*100</f>
        <v>58.088433540037741</v>
      </c>
      <c r="AV53" s="37">
        <f>(Gender!CR55/'Total Bachelor''s'!AX55)*100</f>
        <v>57.396759017250389</v>
      </c>
      <c r="AW53" s="37">
        <f>(Gender!CS55/'Total Bachelor''s'!AY55)*100</f>
        <v>57.960457856399586</v>
      </c>
    </row>
    <row r="54" spans="1:49">
      <c r="A54" s="54" t="s">
        <v>179</v>
      </c>
      <c r="B54" s="37">
        <f>(Gender!AX56/'Total Bachelor''s'!D56)*100</f>
        <v>44.75640808012222</v>
      </c>
      <c r="C54" s="37">
        <f>(Gender!AY56/'Total Bachelor''s'!E56)*100</f>
        <v>45.494907286497785</v>
      </c>
      <c r="D54" s="37">
        <f>(Gender!AZ56/'Total Bachelor''s'!F56)*100</f>
        <v>45.571113194423447</v>
      </c>
      <c r="E54" s="37">
        <f>(Gender!BA56/'Total Bachelor''s'!G56)*100</f>
        <v>45.566939499742432</v>
      </c>
      <c r="F54" s="37">
        <f>(Gender!BB56/'Total Bachelor''s'!H56)*100</f>
        <v>45.890580008227069</v>
      </c>
      <c r="G54" s="37">
        <f>(Gender!BC56/'Total Bachelor''s'!I56)*100</f>
        <v>47.004293253848886</v>
      </c>
      <c r="H54" s="37">
        <f>(Gender!BD56/'Total Bachelor''s'!J56)*100</f>
        <v>47.278357671053683</v>
      </c>
      <c r="I54" s="37">
        <f>(Gender!BE56/'Total Bachelor''s'!K56)*100</f>
        <v>48.250233925945729</v>
      </c>
      <c r="J54" s="37">
        <f>(Gender!BF56/'Total Bachelor''s'!L56)*100</f>
        <v>48.059010251339963</v>
      </c>
      <c r="K54" s="37">
        <f>(Gender!BG56/'Total Bachelor''s'!M56)*100</f>
        <v>49.705049863767428</v>
      </c>
      <c r="L54" s="37">
        <f>(Gender!BH56/'Total Bachelor''s'!N56)*100</f>
        <v>50.743110878934303</v>
      </c>
      <c r="M54" s="37">
        <f>(Gender!BI56/'Total Bachelor''s'!O56)*100</f>
        <v>51.613734790678492</v>
      </c>
      <c r="N54" s="37">
        <f>(Gender!BJ56/'Total Bachelor''s'!P56)*100</f>
        <v>52.52029261449043</v>
      </c>
      <c r="O54" s="37">
        <f>(Gender!BK56/'Total Bachelor''s'!Q56)*100</f>
        <v>52.615455311327253</v>
      </c>
      <c r="P54" s="37">
        <f>(Gender!BL56/'Total Bachelor''s'!R56)*100</f>
        <v>53.381492091169513</v>
      </c>
      <c r="Q54" s="37">
        <f>(Gender!BM56/'Total Bachelor''s'!S56)*100</f>
        <v>54.056058134361564</v>
      </c>
      <c r="R54" s="37">
        <f>(Gender!BN56/'Total Bachelor''s'!T56)*100</f>
        <v>53.094123764950595</v>
      </c>
      <c r="S54" s="37">
        <f>(Gender!BO56/'Total Bachelor''s'!U56)*100</f>
        <v>54.293961991821028</v>
      </c>
      <c r="T54" s="37">
        <f>(Gender!BP56/'Total Bachelor''s'!V56)*100</f>
        <v>54.544149661491346</v>
      </c>
      <c r="U54" s="37">
        <f>(Gender!BQ56/'Total Bachelor''s'!W56)*100</f>
        <v>54.577203683769881</v>
      </c>
      <c r="V54" s="37">
        <f>(Gender!BR56/'Total Bachelor''s'!X56)*100</f>
        <v>55.783955301096775</v>
      </c>
      <c r="W54" s="37">
        <f>(Gender!BS56/'Total Bachelor''s'!Y56)*100</f>
        <v>55.739879065794504</v>
      </c>
      <c r="X54" s="37">
        <f>(Gender!BT56/'Total Bachelor''s'!Z56)*100</f>
        <v>55.807862200617073</v>
      </c>
      <c r="Y54" s="37">
        <f>(Gender!BU56/'Total Bachelor''s'!AA56)*100</f>
        <v>54.590965447867688</v>
      </c>
      <c r="Z54" s="37">
        <f>(Gender!BV56/'Total Bachelor''s'!AB56)*100</f>
        <v>55.16044485372246</v>
      </c>
      <c r="AA54" s="37">
        <f>(Gender!BW56/'Total Bachelor''s'!AC56)*100</f>
        <v>54.316144889396455</v>
      </c>
      <c r="AB54" s="37">
        <f>(Gender!BX56/'Total Bachelor''s'!AD56)*100</f>
        <v>54.782074892572133</v>
      </c>
      <c r="AC54" s="37">
        <f>(Gender!BY56/'Total Bachelor''s'!AE56)*100</f>
        <v>56.152761631502138</v>
      </c>
      <c r="AD54" s="37">
        <f>(Gender!BZ56/'Total Bachelor''s'!AF56)*100</f>
        <v>56.043902079701425</v>
      </c>
      <c r="AE54" s="37">
        <f>(Gender!CA56/'Total Bachelor''s'!AG56)*100</f>
        <v>57.236730438156201</v>
      </c>
      <c r="AF54" s="37">
        <f>(Gender!CB56/'Total Bachelor''s'!AH56)*100</f>
        <v>56.523588919353315</v>
      </c>
      <c r="AG54" s="37">
        <f>(Gender!CC56/'Total Bachelor''s'!AI56)*100</f>
        <v>57.075659357375208</v>
      </c>
      <c r="AH54" s="37">
        <f>(Gender!CD56/'Total Bachelor''s'!AJ56)*100</f>
        <v>57.73487713761979</v>
      </c>
      <c r="AI54" s="37">
        <f>(Gender!CE56/'Total Bachelor''s'!AK56)*100</f>
        <v>57.642087376470066</v>
      </c>
      <c r="AJ54" s="37">
        <f>(Gender!CF56/'Total Bachelor''s'!AL56)*100</f>
        <v>57.198955751047542</v>
      </c>
      <c r="AK54" s="37">
        <f>(Gender!CG56/'Total Bachelor''s'!AM56)*100</f>
        <v>58.185676160476007</v>
      </c>
      <c r="AL54" s="37">
        <f>(Gender!CH56/'Total Bachelor''s'!AN56)*100</f>
        <v>57.925740047635252</v>
      </c>
      <c r="AM54" s="37">
        <f>(Gender!CI56/'Total Bachelor''s'!AO56)*100</f>
        <v>57.577529497755044</v>
      </c>
      <c r="AN54" s="37">
        <f>(Gender!CJ56/'Total Bachelor''s'!AP56)*100</f>
        <v>57.291119815854294</v>
      </c>
      <c r="AO54" s="37">
        <f>(Gender!CK56/'Total Bachelor''s'!AQ56)*100</f>
        <v>56.99916177703269</v>
      </c>
      <c r="AP54" s="37">
        <f>(Gender!CL56/'Total Bachelor''s'!AR56)*100</f>
        <v>57.088673064766397</v>
      </c>
      <c r="AQ54" s="37">
        <f>(Gender!CM56/'Total Bachelor''s'!AS56)*100</f>
        <v>57.191793573370077</v>
      </c>
      <c r="AR54" s="37">
        <f>(Gender!CN56/'Total Bachelor''s'!AT56)*100</f>
        <v>57.309133951469718</v>
      </c>
      <c r="AS54" s="37">
        <f>(Gender!CO56/'Total Bachelor''s'!AU56)*100</f>
        <v>57.172188684543038</v>
      </c>
      <c r="AT54" s="37" t="e">
        <f>(Gender!CP56/'Total Bachelor''s'!AV56)*100</f>
        <v>#DIV/0!</v>
      </c>
      <c r="AU54" s="37">
        <f>(Gender!CQ56/'Total Bachelor''s'!AW56)*100</f>
        <v>56.874737461144257</v>
      </c>
      <c r="AV54" s="37">
        <f>(Gender!CR56/'Total Bachelor''s'!AX56)*100</f>
        <v>57.261369970816801</v>
      </c>
      <c r="AW54" s="37">
        <f>(Gender!CS56/'Total Bachelor''s'!AY56)*100</f>
        <v>56.995146655412533</v>
      </c>
    </row>
    <row r="55" spans="1:49">
      <c r="A55" s="54" t="s">
        <v>187</v>
      </c>
      <c r="B55" s="37">
        <f>(Gender!AX57/'Total Bachelor''s'!D57)*100</f>
        <v>35.31100478468899</v>
      </c>
      <c r="C55" s="37">
        <f>(Gender!AY57/'Total Bachelor''s'!E57)*100</f>
        <v>35.281885397412196</v>
      </c>
      <c r="D55" s="37">
        <f>(Gender!AZ57/'Total Bachelor''s'!F57)*100</f>
        <v>37.311210380770049</v>
      </c>
      <c r="E55" s="37">
        <f>(Gender!BA57/'Total Bachelor''s'!G57)*100</f>
        <v>40.284263959390863</v>
      </c>
      <c r="F55" s="37">
        <f>(Gender!BB57/'Total Bachelor''s'!H57)*100</f>
        <v>40.768206883437919</v>
      </c>
      <c r="G55" s="37">
        <f>(Gender!BC57/'Total Bachelor''s'!I57)*100</f>
        <v>41.409516225363333</v>
      </c>
      <c r="H55" s="37">
        <f>(Gender!BD57/'Total Bachelor''s'!J57)*100</f>
        <v>43.985534830605253</v>
      </c>
      <c r="I55" s="37">
        <f>(Gender!BE57/'Total Bachelor''s'!K57)*100</f>
        <v>44.698113207547166</v>
      </c>
      <c r="J55" s="37">
        <f>(Gender!BF57/'Total Bachelor''s'!L57)*100</f>
        <v>45.928444228589932</v>
      </c>
      <c r="K55" s="37">
        <f>(Gender!BG57/'Total Bachelor''s'!M57)*100</f>
        <v>46.991509782207459</v>
      </c>
      <c r="L55" s="37">
        <f>(Gender!BH57/'Total Bachelor''s'!N57)*100</f>
        <v>45.2095287776039</v>
      </c>
      <c r="M55" s="37">
        <f>(Gender!BI57/'Total Bachelor''s'!O57)*100</f>
        <v>46.921161825726145</v>
      </c>
      <c r="N55" s="37">
        <f>(Gender!BJ57/'Total Bachelor''s'!P57)*100</f>
        <v>47.520864015709371</v>
      </c>
      <c r="O55" s="37">
        <f>(Gender!BK57/'Total Bachelor''s'!Q57)*100</f>
        <v>50.276078197283994</v>
      </c>
      <c r="P55" s="37">
        <f>(Gender!BL57/'Total Bachelor''s'!R57)*100</f>
        <v>49.810006333122232</v>
      </c>
      <c r="Q55" s="37">
        <f>(Gender!BM57/'Total Bachelor''s'!S57)*100</f>
        <v>51.14842388721685</v>
      </c>
      <c r="R55" s="37">
        <f>(Gender!BN57/'Total Bachelor''s'!T57)*100</f>
        <v>51.174138456846599</v>
      </c>
      <c r="S55" s="37">
        <f>(Gender!BO57/'Total Bachelor''s'!U57)*100</f>
        <v>51.890694239290994</v>
      </c>
      <c r="T55" s="37">
        <f>(Gender!BP57/'Total Bachelor''s'!V57)*100</f>
        <v>52.744172322218944</v>
      </c>
      <c r="U55" s="37">
        <f>(Gender!BQ57/'Total Bachelor''s'!W57)*100</f>
        <v>52.434897749006915</v>
      </c>
      <c r="V55" s="37">
        <f>(Gender!BR57/'Total Bachelor''s'!X57)*100</f>
        <v>51.845811712379543</v>
      </c>
      <c r="W55" s="37">
        <f>(Gender!BS57/'Total Bachelor''s'!Y57)*100</f>
        <v>53.633557800224466</v>
      </c>
      <c r="X55" s="37">
        <f>(Gender!BT57/'Total Bachelor''s'!Z57)*100</f>
        <v>53.876177658142666</v>
      </c>
      <c r="Y55" s="37">
        <f>(Gender!BU57/'Total Bachelor''s'!AA57)*100</f>
        <v>53.66826156299841</v>
      </c>
      <c r="Z55" s="37">
        <f>(Gender!BV57/'Total Bachelor''s'!AB57)*100</f>
        <v>54.664723032069972</v>
      </c>
      <c r="AA55" s="37">
        <f>(Gender!BW57/'Total Bachelor''s'!AC57)*100</f>
        <v>56.051386071670052</v>
      </c>
      <c r="AB55" s="37">
        <f>(Gender!BX57/'Total Bachelor''s'!AD57)*100</f>
        <v>56.001044795611854</v>
      </c>
      <c r="AC55" s="37">
        <f>(Gender!BY57/'Total Bachelor''s'!AE57)*100</f>
        <v>57.564965044189421</v>
      </c>
      <c r="AD55" s="37">
        <f>(Gender!BZ57/'Total Bachelor''s'!AF57)*100</f>
        <v>55.69736842105263</v>
      </c>
      <c r="AE55" s="37">
        <f>(Gender!CA57/'Total Bachelor''s'!AG57)*100</f>
        <v>56.930095263652227</v>
      </c>
      <c r="AF55" s="37">
        <f>(Gender!CB57/'Total Bachelor''s'!AH57)*100</f>
        <v>57.1116255144033</v>
      </c>
      <c r="AG55" s="37">
        <f>(Gender!CC57/'Total Bachelor''s'!AI57)*100</f>
        <v>58.740005514199069</v>
      </c>
      <c r="AH55" s="37">
        <f>(Gender!CD57/'Total Bachelor''s'!AJ57)*100</f>
        <v>57.801076010484209</v>
      </c>
      <c r="AI55" s="37">
        <f>(Gender!CE57/'Total Bachelor''s'!AK57)*100</f>
        <v>58.336638899907442</v>
      </c>
      <c r="AJ55" s="37">
        <f>(Gender!CF57/'Total Bachelor''s'!AL57)*100</f>
        <v>58.143651997976733</v>
      </c>
      <c r="AK55" s="37">
        <f>(Gender!CG57/'Total Bachelor''s'!AM57)*100</f>
        <v>57.752559516467251</v>
      </c>
      <c r="AL55" s="37">
        <f>(Gender!CH57/'Total Bachelor''s'!AN57)*100</f>
        <v>57.584059775840601</v>
      </c>
      <c r="AM55" s="37">
        <f>(Gender!CI57/'Total Bachelor''s'!AO57)*100</f>
        <v>57.344088610642906</v>
      </c>
      <c r="AN55" s="37">
        <f>(Gender!CJ57/'Total Bachelor''s'!AP57)*100</f>
        <v>58.120567375886523</v>
      </c>
      <c r="AO55" s="37">
        <f>(Gender!CK57/'Total Bachelor''s'!AQ57)*100</f>
        <v>56.943349476292369</v>
      </c>
      <c r="AP55" s="37">
        <f>(Gender!CL57/'Total Bachelor''s'!AR57)*100</f>
        <v>58.035334184759471</v>
      </c>
      <c r="AQ55" s="37">
        <f>(Gender!CM57/'Total Bachelor''s'!AS57)*100</f>
        <v>57.052431691106655</v>
      </c>
      <c r="AR55" s="37">
        <f>(Gender!CN57/'Total Bachelor''s'!AT57)*100</f>
        <v>57.141316073354908</v>
      </c>
      <c r="AS55" s="37">
        <f>(Gender!CO57/'Total Bachelor''s'!AU57)*100</f>
        <v>56.56669055174531</v>
      </c>
      <c r="AT55" s="37" t="e">
        <f>(Gender!CP57/'Total Bachelor''s'!AV57)*100</f>
        <v>#DIV/0!</v>
      </c>
      <c r="AU55" s="37">
        <f>(Gender!CQ57/'Total Bachelor''s'!AW57)*100</f>
        <v>58.257268424611219</v>
      </c>
      <c r="AV55" s="37">
        <f>(Gender!CR57/'Total Bachelor''s'!AX57)*100</f>
        <v>58.968627764029691</v>
      </c>
      <c r="AW55" s="37">
        <f>(Gender!CS57/'Total Bachelor''s'!AY57)*100</f>
        <v>59.587060326854527</v>
      </c>
    </row>
    <row r="56" spans="1:49">
      <c r="A56" s="54" t="s">
        <v>188</v>
      </c>
      <c r="B56" s="37">
        <f>(Gender!AX58/'Total Bachelor''s'!D58)*100</f>
        <v>45.187982451268951</v>
      </c>
      <c r="C56" s="37">
        <f>(Gender!AY58/'Total Bachelor''s'!E58)*100</f>
        <v>44.931437277805991</v>
      </c>
      <c r="D56" s="37">
        <f>(Gender!AZ58/'Total Bachelor''s'!F58)*100</f>
        <v>45.908804181310266</v>
      </c>
      <c r="E56" s="37">
        <f>(Gender!BA58/'Total Bachelor''s'!G58)*100</f>
        <v>45.732323232323232</v>
      </c>
      <c r="F56" s="37">
        <f>(Gender!BB58/'Total Bachelor''s'!H58)*100</f>
        <v>45.909237465742379</v>
      </c>
      <c r="G56" s="37">
        <f>(Gender!BC58/'Total Bachelor''s'!I58)*100</f>
        <v>47.355883754168651</v>
      </c>
      <c r="H56" s="37">
        <f>(Gender!BD58/'Total Bachelor''s'!J58)*100</f>
        <v>48.252750658608399</v>
      </c>
      <c r="I56" s="37">
        <f>(Gender!BE58/'Total Bachelor''s'!K58)*100</f>
        <v>48.441293960993185</v>
      </c>
      <c r="J56" s="37">
        <f>(Gender!BF58/'Total Bachelor''s'!L58)*100</f>
        <v>49.57346727258232</v>
      </c>
      <c r="K56" s="37">
        <f>(Gender!BG58/'Total Bachelor''s'!M58)*100</f>
        <v>48.931954186977372</v>
      </c>
      <c r="L56" s="37">
        <f>(Gender!BH58/'Total Bachelor''s'!N58)*100</f>
        <v>49.793295403380952</v>
      </c>
      <c r="M56" s="37">
        <f>(Gender!BI58/'Total Bachelor''s'!O58)*100</f>
        <v>51.736536732859363</v>
      </c>
      <c r="N56" s="37">
        <f>(Gender!BJ58/'Total Bachelor''s'!P58)*100</f>
        <v>52.350152659488991</v>
      </c>
      <c r="O56" s="37">
        <f>(Gender!BK58/'Total Bachelor''s'!Q58)*100</f>
        <v>53.303014858666252</v>
      </c>
      <c r="P56" s="37">
        <f>(Gender!BL58/'Total Bachelor''s'!R58)*100</f>
        <v>53.153564899451553</v>
      </c>
      <c r="Q56" s="37">
        <f>(Gender!BM58/'Total Bachelor''s'!S58)*100</f>
        <v>52.911967682208385</v>
      </c>
      <c r="R56" s="37">
        <f>(Gender!BN58/'Total Bachelor''s'!T58)*100</f>
        <v>52.439232409381667</v>
      </c>
      <c r="S56" s="37">
        <f>(Gender!BO58/'Total Bachelor''s'!U58)*100</f>
        <v>52.944958847736622</v>
      </c>
      <c r="T56" s="37">
        <f>(Gender!BP58/'Total Bachelor''s'!V58)*100</f>
        <v>53.007569310700056</v>
      </c>
      <c r="U56" s="37">
        <f>(Gender!BQ58/'Total Bachelor''s'!W58)*100</f>
        <v>53.646606690540658</v>
      </c>
      <c r="V56" s="37">
        <f>(Gender!BR58/'Total Bachelor''s'!X58)*100</f>
        <v>53.27004680869679</v>
      </c>
      <c r="W56" s="37">
        <f>(Gender!BS58/'Total Bachelor''s'!Y58)*100</f>
        <v>55.397053843548939</v>
      </c>
      <c r="X56" s="37">
        <f>(Gender!BT58/'Total Bachelor''s'!Z58)*100</f>
        <v>54.794067831618953</v>
      </c>
      <c r="Y56" s="37">
        <f>(Gender!BU58/'Total Bachelor''s'!AA58)*100</f>
        <v>55.020845741512801</v>
      </c>
      <c r="Z56" s="37">
        <f>(Gender!BV58/'Total Bachelor''s'!AB58)*100</f>
        <v>55.068558294364742</v>
      </c>
      <c r="AA56" s="37">
        <f>(Gender!BW58/'Total Bachelor''s'!AC58)*100</f>
        <v>55.264547041864617</v>
      </c>
      <c r="AB56" s="37">
        <f>(Gender!BX58/'Total Bachelor''s'!AD58)*100</f>
        <v>56.059742796679146</v>
      </c>
      <c r="AC56" s="37">
        <f>(Gender!BY58/'Total Bachelor''s'!AE58)*100</f>
        <v>56.606963171664319</v>
      </c>
      <c r="AD56" s="37">
        <f>(Gender!BZ58/'Total Bachelor''s'!AF58)*100</f>
        <v>57.231800766283527</v>
      </c>
      <c r="AE56" s="37">
        <f>(Gender!CA58/'Total Bachelor''s'!AG58)*100</f>
        <v>58.223195432861495</v>
      </c>
      <c r="AF56" s="37">
        <f>(Gender!CB58/'Total Bachelor''s'!AH58)*100</f>
        <v>57.444597052600322</v>
      </c>
      <c r="AG56" s="37">
        <f>(Gender!CC58/'Total Bachelor''s'!AI58)*100</f>
        <v>57.967196081341839</v>
      </c>
      <c r="AH56" s="37">
        <f>(Gender!CD58/'Total Bachelor''s'!AJ58)*100</f>
        <v>58.214688469128838</v>
      </c>
      <c r="AI56" s="37">
        <f>(Gender!CE58/'Total Bachelor''s'!AK58)*100</f>
        <v>57.884069720308062</v>
      </c>
      <c r="AJ56" s="37">
        <f>(Gender!CF58/'Total Bachelor''s'!AL58)*100</f>
        <v>58.343148802512758</v>
      </c>
      <c r="AK56" s="37">
        <f>(Gender!CG58/'Total Bachelor''s'!AM58)*100</f>
        <v>58.436239722387221</v>
      </c>
      <c r="AL56" s="37">
        <f>(Gender!CH58/'Total Bachelor''s'!AN58)*100</f>
        <v>57.852469690862293</v>
      </c>
      <c r="AM56" s="37">
        <f>(Gender!CI58/'Total Bachelor''s'!AO58)*100</f>
        <v>56.571026980780395</v>
      </c>
      <c r="AN56" s="37">
        <f>(Gender!CJ58/'Total Bachelor''s'!AP58)*100</f>
        <v>56.507653440332881</v>
      </c>
      <c r="AO56" s="37">
        <f>(Gender!CK58/'Total Bachelor''s'!AQ58)*100</f>
        <v>56.696028880866422</v>
      </c>
      <c r="AP56" s="37">
        <f>(Gender!CL58/'Total Bachelor''s'!AR58)*100</f>
        <v>56.317880058887248</v>
      </c>
      <c r="AQ56" s="37">
        <f>(Gender!CM58/'Total Bachelor''s'!AS58)*100</f>
        <v>55.946827729393043</v>
      </c>
      <c r="AR56" s="37">
        <f>(Gender!CN58/'Total Bachelor''s'!AT58)*100</f>
        <v>55.934076977188219</v>
      </c>
      <c r="AS56" s="37">
        <f>(Gender!CO58/'Total Bachelor''s'!AU58)*100</f>
        <v>55.51805434917484</v>
      </c>
      <c r="AT56" s="37" t="e">
        <f>(Gender!CP58/'Total Bachelor''s'!AV58)*100</f>
        <v>#DIV/0!</v>
      </c>
      <c r="AU56" s="37">
        <f>(Gender!CQ58/'Total Bachelor''s'!AW58)*100</f>
        <v>55.652608530083782</v>
      </c>
      <c r="AV56" s="37">
        <f>(Gender!CR58/'Total Bachelor''s'!AX58)*100</f>
        <v>55.187269003507609</v>
      </c>
      <c r="AW56" s="37">
        <f>(Gender!CS58/'Total Bachelor''s'!AY58)*100</f>
        <v>55.400274473924981</v>
      </c>
    </row>
    <row r="57" spans="1:49">
      <c r="A57" s="54" t="s">
        <v>191</v>
      </c>
      <c r="B57" s="37">
        <f>(Gender!AX59/'Total Bachelor''s'!D59)*100</f>
        <v>45.423156147656378</v>
      </c>
      <c r="C57" s="37">
        <f>(Gender!AY59/'Total Bachelor''s'!E59)*100</f>
        <v>46.175676611061114</v>
      </c>
      <c r="D57" s="37">
        <f>(Gender!AZ59/'Total Bachelor''s'!F59)*100</f>
        <v>45.728062940168776</v>
      </c>
      <c r="E57" s="37">
        <f>(Gender!BA59/'Total Bachelor''s'!G59)*100</f>
        <v>46.412793457227352</v>
      </c>
      <c r="F57" s="37">
        <f>(Gender!BB59/'Total Bachelor''s'!H59)*100</f>
        <v>46.713623416401489</v>
      </c>
      <c r="G57" s="37">
        <f>(Gender!BC59/'Total Bachelor''s'!I59)*100</f>
        <v>47.794578690975733</v>
      </c>
      <c r="H57" s="37">
        <f>(Gender!BD59/'Total Bachelor''s'!J59)*100</f>
        <v>47.732825230575003</v>
      </c>
      <c r="I57" s="37">
        <f>(Gender!BE59/'Total Bachelor''s'!K59)*100</f>
        <v>47.797199576251671</v>
      </c>
      <c r="J57" s="37">
        <f>(Gender!BF59/'Total Bachelor''s'!L59)*100</f>
        <v>48.694570587061875</v>
      </c>
      <c r="K57" s="37">
        <f>(Gender!BG59/'Total Bachelor''s'!M59)*100</f>
        <v>49.465543626826793</v>
      </c>
      <c r="L57" s="37">
        <f>(Gender!BH59/'Total Bachelor''s'!N59)*100</f>
        <v>50.454545454545453</v>
      </c>
      <c r="M57" s="37">
        <f>(Gender!BI59/'Total Bachelor''s'!O59)*100</f>
        <v>51.115381401955048</v>
      </c>
      <c r="N57" s="37">
        <f>(Gender!BJ59/'Total Bachelor''s'!P59)*100</f>
        <v>52.11051776178315</v>
      </c>
      <c r="O57" s="37">
        <f>(Gender!BK59/'Total Bachelor''s'!Q59)*100</f>
        <v>52.283358806910286</v>
      </c>
      <c r="P57" s="37">
        <f>(Gender!BL59/'Total Bachelor''s'!R59)*100</f>
        <v>51.826761889452776</v>
      </c>
      <c r="Q57" s="37">
        <f>(Gender!BM59/'Total Bachelor''s'!S59)*100</f>
        <v>52.560985354382836</v>
      </c>
      <c r="R57" s="37">
        <f>(Gender!BN59/'Total Bachelor''s'!T59)*100</f>
        <v>52.810689912255548</v>
      </c>
      <c r="S57" s="37">
        <f>(Gender!BO59/'Total Bachelor''s'!U59)*100</f>
        <v>53.237833594976451</v>
      </c>
      <c r="T57" s="37">
        <f>(Gender!BP59/'Total Bachelor''s'!V59)*100</f>
        <v>53.039473533093684</v>
      </c>
      <c r="U57" s="37">
        <f>(Gender!BQ59/'Total Bachelor''s'!W59)*100</f>
        <v>53.768282812161559</v>
      </c>
      <c r="V57" s="37">
        <f>(Gender!BR59/'Total Bachelor''s'!X59)*100</f>
        <v>54.179552737057179</v>
      </c>
      <c r="W57" s="37">
        <f>(Gender!BS59/'Total Bachelor''s'!Y59)*100</f>
        <v>53.891329929071887</v>
      </c>
      <c r="X57" s="37">
        <f>(Gender!BT59/'Total Bachelor''s'!Z59)*100</f>
        <v>54.55125456275951</v>
      </c>
      <c r="Y57" s="37">
        <f>(Gender!BU59/'Total Bachelor''s'!AA59)*100</f>
        <v>54.846350304827816</v>
      </c>
      <c r="Z57" s="37">
        <f>(Gender!BV59/'Total Bachelor''s'!AB59)*100</f>
        <v>54.81993686516202</v>
      </c>
      <c r="AA57" s="37">
        <f>(Gender!BW59/'Total Bachelor''s'!AC59)*100</f>
        <v>55.211707233642258</v>
      </c>
      <c r="AB57" s="37">
        <f>(Gender!BX59/'Total Bachelor''s'!AD59)*100</f>
        <v>55.544362243559476</v>
      </c>
      <c r="AC57" s="37">
        <f>(Gender!BY59/'Total Bachelor''s'!AE59)*100</f>
        <v>56.158043866092974</v>
      </c>
      <c r="AD57" s="37">
        <f>(Gender!BZ59/'Total Bachelor''s'!AF59)*100</f>
        <v>57.644692882396832</v>
      </c>
      <c r="AE57" s="37">
        <f>(Gender!CA59/'Total Bachelor''s'!AG59)*100</f>
        <v>58.261445861671845</v>
      </c>
      <c r="AF57" s="37">
        <f>(Gender!CB59/'Total Bachelor''s'!AH59)*100</f>
        <v>58.894055096010256</v>
      </c>
      <c r="AG57" s="37">
        <f>(Gender!CC59/'Total Bachelor''s'!AI59)*100</f>
        <v>58.789867791082905</v>
      </c>
      <c r="AH57" s="37">
        <f>(Gender!CD59/'Total Bachelor''s'!AJ59)*100</f>
        <v>58.926900703738362</v>
      </c>
      <c r="AI57" s="37">
        <f>(Gender!CE59/'Total Bachelor''s'!AK59)*100</f>
        <v>59.147693215226973</v>
      </c>
      <c r="AJ57" s="37">
        <f>(Gender!CF59/'Total Bachelor''s'!AL59)*100</f>
        <v>58.72753273701035</v>
      </c>
      <c r="AK57" s="37">
        <f>(Gender!CG59/'Total Bachelor''s'!AM59)*100</f>
        <v>58.395841677893891</v>
      </c>
      <c r="AL57" s="37">
        <f>(Gender!CH59/'Total Bachelor''s'!AN59)*100</f>
        <v>59.136052108870317</v>
      </c>
      <c r="AM57" s="37">
        <f>(Gender!CI59/'Total Bachelor''s'!AO59)*100</f>
        <v>58.589949246587949</v>
      </c>
      <c r="AN57" s="37">
        <f>(Gender!CJ59/'Total Bachelor''s'!AP59)*100</f>
        <v>58.257241082213419</v>
      </c>
      <c r="AO57" s="37">
        <f>(Gender!CK59/'Total Bachelor''s'!AQ59)*100</f>
        <v>57.932710187687498</v>
      </c>
      <c r="AP57" s="37">
        <f>(Gender!CL59/'Total Bachelor''s'!AR59)*100</f>
        <v>57.934730766432509</v>
      </c>
      <c r="AQ57" s="37">
        <f>(Gender!CM59/'Total Bachelor''s'!AS59)*100</f>
        <v>58.675157394320955</v>
      </c>
      <c r="AR57" s="37">
        <f>(Gender!CN59/'Total Bachelor''s'!AT59)*100</f>
        <v>58.523521744282505</v>
      </c>
      <c r="AS57" s="37">
        <f>(Gender!CO59/'Total Bachelor''s'!AU59)*100</f>
        <v>58.079793009448565</v>
      </c>
      <c r="AT57" s="37" t="e">
        <f>(Gender!CP59/'Total Bachelor''s'!AV59)*100</f>
        <v>#DIV/0!</v>
      </c>
      <c r="AU57" s="37">
        <f>(Gender!CQ59/'Total Bachelor''s'!AW59)*100</f>
        <v>57.623464414849416</v>
      </c>
      <c r="AV57" s="37">
        <f>(Gender!CR59/'Total Bachelor''s'!AX59)*100</f>
        <v>57.936752513023706</v>
      </c>
      <c r="AW57" s="37">
        <f>(Gender!CS59/'Total Bachelor''s'!AY59)*100</f>
        <v>57.668276265730171</v>
      </c>
    </row>
    <row r="58" spans="1:49">
      <c r="A58" s="54" t="s">
        <v>194</v>
      </c>
      <c r="B58" s="37">
        <f>(Gender!AX60/'Total Bachelor''s'!D60)*100</f>
        <v>41.650639332135682</v>
      </c>
      <c r="C58" s="37">
        <f>(Gender!AY60/'Total Bachelor''s'!E60)*100</f>
        <v>43.050285577345527</v>
      </c>
      <c r="D58" s="37">
        <f>(Gender!AZ60/'Total Bachelor''s'!F60)*100</f>
        <v>43.188642669808814</v>
      </c>
      <c r="E58" s="37">
        <f>(Gender!BA60/'Total Bachelor''s'!G60)*100</f>
        <v>43.345419643809322</v>
      </c>
      <c r="F58" s="37">
        <f>(Gender!BB60/'Total Bachelor''s'!H60)*100</f>
        <v>43.717208584112718</v>
      </c>
      <c r="G58" s="37">
        <f>(Gender!BC60/'Total Bachelor''s'!I60)*100</f>
        <v>44.828517418309474</v>
      </c>
      <c r="H58" s="37">
        <f>(Gender!BD60/'Total Bachelor''s'!J60)*100</f>
        <v>45.161349434681426</v>
      </c>
      <c r="I58" s="37">
        <f>(Gender!BE60/'Total Bachelor''s'!K60)*100</f>
        <v>45.480236492767631</v>
      </c>
      <c r="J58" s="37">
        <f>(Gender!BF60/'Total Bachelor''s'!L60)*100</f>
        <v>46.600889486863252</v>
      </c>
      <c r="K58" s="37">
        <f>(Gender!BG60/'Total Bachelor''s'!M60)*100</f>
        <v>47.883349012229537</v>
      </c>
      <c r="L58" s="37">
        <f>(Gender!BH60/'Total Bachelor''s'!N60)*100</f>
        <v>48.068287184335404</v>
      </c>
      <c r="M58" s="37">
        <f>(Gender!BI60/'Total Bachelor''s'!O60)*100</f>
        <v>49.375528046137454</v>
      </c>
      <c r="N58" s="37">
        <f>(Gender!BJ60/'Total Bachelor''s'!P60)*100</f>
        <v>50.056770054246947</v>
      </c>
      <c r="O58" s="37">
        <f>(Gender!BK60/'Total Bachelor''s'!Q60)*100</f>
        <v>50.286105455311379</v>
      </c>
      <c r="P58" s="37">
        <f>(Gender!BL60/'Total Bachelor''s'!R60)*100</f>
        <v>50.197916111969043</v>
      </c>
      <c r="Q58" s="37">
        <f>(Gender!BM60/'Total Bachelor''s'!S60)*100</f>
        <v>50.48091294332788</v>
      </c>
      <c r="R58" s="37">
        <f>(Gender!BN60/'Total Bachelor''s'!T60)*100</f>
        <v>50.729675836877306</v>
      </c>
      <c r="S58" s="37">
        <f>(Gender!BO60/'Total Bachelor''s'!U60)*100</f>
        <v>51.448020018548654</v>
      </c>
      <c r="T58" s="37">
        <f>(Gender!BP60/'Total Bachelor''s'!V60)*100</f>
        <v>52.180023308425305</v>
      </c>
      <c r="U58" s="37">
        <f>(Gender!BQ60/'Total Bachelor''s'!W60)*100</f>
        <v>52.229580573951438</v>
      </c>
      <c r="V58" s="37">
        <f>(Gender!BR60/'Total Bachelor''s'!X60)*100</f>
        <v>52.447309695016116</v>
      </c>
      <c r="W58" s="37">
        <f>(Gender!BS60/'Total Bachelor''s'!Y60)*100</f>
        <v>53.433359063424682</v>
      </c>
      <c r="X58" s="37">
        <f>(Gender!BT60/'Total Bachelor''s'!Z60)*100</f>
        <v>53.789810898233391</v>
      </c>
      <c r="Y58" s="37">
        <f>(Gender!BU60/'Total Bachelor''s'!AA60)*100</f>
        <v>54.03777296267269</v>
      </c>
      <c r="Z58" s="37">
        <f>(Gender!BV60/'Total Bachelor''s'!AB60)*100</f>
        <v>54.119640580791597</v>
      </c>
      <c r="AA58" s="37">
        <f>(Gender!BW60/'Total Bachelor''s'!AC60)*100</f>
        <v>54.245006108493186</v>
      </c>
      <c r="AB58" s="37">
        <f>(Gender!BX60/'Total Bachelor''s'!AD60)*100</f>
        <v>54.598157174550224</v>
      </c>
      <c r="AC58" s="37">
        <f>(Gender!BY60/'Total Bachelor''s'!AE60)*100</f>
        <v>55.601108210688146</v>
      </c>
      <c r="AD58" s="37">
        <f>(Gender!BZ60/'Total Bachelor''s'!AF60)*100</f>
        <v>55.519500976624037</v>
      </c>
      <c r="AE58" s="37">
        <f>(Gender!CA60/'Total Bachelor''s'!AG60)*100</f>
        <v>56.101334666958401</v>
      </c>
      <c r="AF58" s="37">
        <f>(Gender!CB60/'Total Bachelor''s'!AH60)*100</f>
        <v>56.69126190152852</v>
      </c>
      <c r="AG58" s="37">
        <f>(Gender!CC60/'Total Bachelor''s'!AI60)*100</f>
        <v>56.622665904922279</v>
      </c>
      <c r="AH58" s="37">
        <f>(Gender!CD60/'Total Bachelor''s'!AJ60)*100</f>
        <v>57.086334584559197</v>
      </c>
      <c r="AI58" s="37">
        <f>(Gender!CE60/'Total Bachelor''s'!AK60)*100</f>
        <v>56.876891819048801</v>
      </c>
      <c r="AJ58" s="37">
        <f>(Gender!CF60/'Total Bachelor''s'!AL60)*100</f>
        <v>57.04577731176088</v>
      </c>
      <c r="AK58" s="37">
        <f>(Gender!CG60/'Total Bachelor''s'!AM60)*100</f>
        <v>56.88677425577059</v>
      </c>
      <c r="AL58" s="37">
        <f>(Gender!CH60/'Total Bachelor''s'!AN60)*100</f>
        <v>56.675564913336082</v>
      </c>
      <c r="AM58" s="37">
        <f>(Gender!CI60/'Total Bachelor''s'!AO60)*100</f>
        <v>56.63359739394388</v>
      </c>
      <c r="AN58" s="37">
        <f>(Gender!CJ60/'Total Bachelor''s'!AP60)*100</f>
        <v>56.601568207276088</v>
      </c>
      <c r="AO58" s="37">
        <f>(Gender!CK60/'Total Bachelor''s'!AQ60)*100</f>
        <v>56.342983989042651</v>
      </c>
      <c r="AP58" s="37">
        <f>(Gender!CL60/'Total Bachelor''s'!AR60)*100</f>
        <v>56.29822120525705</v>
      </c>
      <c r="AQ58" s="37">
        <f>(Gender!CM60/'Total Bachelor''s'!AS60)*100</f>
        <v>56.005140277256551</v>
      </c>
      <c r="AR58" s="37">
        <f>(Gender!CN60/'Total Bachelor''s'!AT60)*100</f>
        <v>56.264171075445688</v>
      </c>
      <c r="AS58" s="37">
        <f>(Gender!CO60/'Total Bachelor''s'!AU60)*100</f>
        <v>56.263471465363821</v>
      </c>
      <c r="AT58" s="37" t="e">
        <f>(Gender!CP60/'Total Bachelor''s'!AV60)*100</f>
        <v>#DIV/0!</v>
      </c>
      <c r="AU58" s="37">
        <f>(Gender!CQ60/'Total Bachelor''s'!AW60)*100</f>
        <v>56.073636997038847</v>
      </c>
      <c r="AV58" s="37">
        <f>(Gender!CR60/'Total Bachelor''s'!AX60)*100</f>
        <v>55.875663381349504</v>
      </c>
      <c r="AW58" s="37">
        <f>(Gender!CS60/'Total Bachelor''s'!AY60)*100</f>
        <v>55.922342861525308</v>
      </c>
    </row>
    <row r="59" spans="1:49">
      <c r="A59" s="54" t="s">
        <v>195</v>
      </c>
      <c r="B59" s="37">
        <f>(Gender!AX61/'Total Bachelor''s'!D61)*100</f>
        <v>38.055497600667643</v>
      </c>
      <c r="C59" s="37">
        <f>(Gender!AY61/'Total Bachelor''s'!E61)*100</f>
        <v>40.826316820050913</v>
      </c>
      <c r="D59" s="37">
        <f>(Gender!AZ61/'Total Bachelor''s'!F61)*100</f>
        <v>37.323818019625335</v>
      </c>
      <c r="E59" s="37">
        <f>(Gender!BA61/'Total Bachelor''s'!G61)*100</f>
        <v>37.821434275674818</v>
      </c>
      <c r="F59" s="37">
        <f>(Gender!BB61/'Total Bachelor''s'!H61)*100</f>
        <v>39.33724433169494</v>
      </c>
      <c r="G59" s="37">
        <f>(Gender!BC61/'Total Bachelor''s'!I61)*100</f>
        <v>43.417194011421515</v>
      </c>
      <c r="H59" s="37">
        <f>(Gender!BD61/'Total Bachelor''s'!J61)*100</f>
        <v>45.142417244033872</v>
      </c>
      <c r="I59" s="37">
        <f>(Gender!BE61/'Total Bachelor''s'!K61)*100</f>
        <v>44.675324675324674</v>
      </c>
      <c r="J59" s="37">
        <f>(Gender!BF61/'Total Bachelor''s'!L61)*100</f>
        <v>42.863391164892839</v>
      </c>
      <c r="K59" s="37">
        <f>(Gender!BG61/'Total Bachelor''s'!M61)*100</f>
        <v>44.67789063587032</v>
      </c>
      <c r="L59" s="37">
        <f>(Gender!BH61/'Total Bachelor''s'!N61)*100</f>
        <v>46.939642958345139</v>
      </c>
      <c r="M59" s="37">
        <f>(Gender!BI61/'Total Bachelor''s'!O61)*100</f>
        <v>49.208316122814267</v>
      </c>
      <c r="N59" s="37">
        <f>(Gender!BJ61/'Total Bachelor''s'!P61)*100</f>
        <v>51.146666666666661</v>
      </c>
      <c r="O59" s="37">
        <f>(Gender!BK61/'Total Bachelor''s'!Q61)*100</f>
        <v>51.4891934633632</v>
      </c>
      <c r="P59" s="37">
        <f>(Gender!BL61/'Total Bachelor''s'!R61)*100</f>
        <v>52.110115569406567</v>
      </c>
      <c r="Q59" s="37">
        <f>(Gender!BM61/'Total Bachelor''s'!S61)*100</f>
        <v>52.710843373493979</v>
      </c>
      <c r="R59" s="37">
        <f>(Gender!BN61/'Total Bachelor''s'!T61)*100</f>
        <v>51.645537200665906</v>
      </c>
      <c r="S59" s="37">
        <f>(Gender!BO61/'Total Bachelor''s'!U61)*100</f>
        <v>53.147214682693559</v>
      </c>
      <c r="T59" s="37">
        <f>(Gender!BP61/'Total Bachelor''s'!V61)*100</f>
        <v>52.747668263171164</v>
      </c>
      <c r="U59" s="37">
        <f>(Gender!BQ61/'Total Bachelor''s'!W61)*100</f>
        <v>52.372542093488761</v>
      </c>
      <c r="V59" s="37">
        <f>(Gender!BR61/'Total Bachelor''s'!X61)*100</f>
        <v>53.589714415746961</v>
      </c>
      <c r="W59" s="37">
        <f>(Gender!BS61/'Total Bachelor''s'!Y61)*100</f>
        <v>53.086419753086425</v>
      </c>
      <c r="X59" s="37">
        <f>(Gender!BT61/'Total Bachelor''s'!Z61)*100</f>
        <v>53.378743647961947</v>
      </c>
      <c r="Y59" s="37">
        <f>(Gender!BU61/'Total Bachelor''s'!AA61)*100</f>
        <v>54.266138529065408</v>
      </c>
      <c r="Z59" s="37">
        <f>(Gender!BV61/'Total Bachelor''s'!AB61)*100</f>
        <v>55.483870967741936</v>
      </c>
      <c r="AA59" s="37">
        <f>(Gender!BW61/'Total Bachelor''s'!AC61)*100</f>
        <v>53.809311650701716</v>
      </c>
      <c r="AB59" s="37">
        <f>(Gender!BX61/'Total Bachelor''s'!AD61)*100</f>
        <v>54.505946935041173</v>
      </c>
      <c r="AC59" s="37">
        <f>(Gender!BY61/'Total Bachelor''s'!AE61)*100</f>
        <v>54.453660295708616</v>
      </c>
      <c r="AD59" s="37">
        <f>(Gender!BZ61/'Total Bachelor''s'!AF61)*100</f>
        <v>55.331129881258413</v>
      </c>
      <c r="AE59" s="37">
        <f>(Gender!CA61/'Total Bachelor''s'!AG61)*100</f>
        <v>55.85993330157217</v>
      </c>
      <c r="AF59" s="37">
        <f>(Gender!CB61/'Total Bachelor''s'!AH61)*100</f>
        <v>56.403237324446565</v>
      </c>
      <c r="AG59" s="37">
        <f>(Gender!CC61/'Total Bachelor''s'!AI61)*100</f>
        <v>54.267777375347094</v>
      </c>
      <c r="AH59" s="37">
        <f>(Gender!CD61/'Total Bachelor''s'!AJ61)*100</f>
        <v>56.088185415488979</v>
      </c>
      <c r="AI59" s="37">
        <f>(Gender!CE61/'Total Bachelor''s'!AK61)*100</f>
        <v>57.211855104281007</v>
      </c>
      <c r="AJ59" s="37">
        <f>(Gender!CF61/'Total Bachelor''s'!AL61)*100</f>
        <v>56.891146903037516</v>
      </c>
      <c r="AK59" s="37">
        <f>(Gender!CG61/'Total Bachelor''s'!AM61)*100</f>
        <v>57.03125</v>
      </c>
      <c r="AL59" s="37">
        <f>(Gender!CH61/'Total Bachelor''s'!AN61)*100</f>
        <v>58.269667561428861</v>
      </c>
      <c r="AM59" s="37">
        <f>(Gender!CI61/'Total Bachelor''s'!AO61)*100</f>
        <v>56.932478461230218</v>
      </c>
      <c r="AN59" s="37">
        <f>(Gender!CJ61/'Total Bachelor''s'!AP61)*100</f>
        <v>55.538236726741353</v>
      </c>
      <c r="AO59" s="37">
        <f>(Gender!CK61/'Total Bachelor''s'!AQ61)*100</f>
        <v>55.718589058400546</v>
      </c>
      <c r="AP59" s="37">
        <f>(Gender!CL61/'Total Bachelor''s'!AR61)*100</f>
        <v>56.598102751948907</v>
      </c>
      <c r="AQ59" s="37">
        <f>(Gender!CM61/'Total Bachelor''s'!AS61)*100</f>
        <v>55.297799871122152</v>
      </c>
      <c r="AR59" s="37">
        <f>(Gender!CN61/'Total Bachelor''s'!AT61)*100</f>
        <v>57.141559974575507</v>
      </c>
      <c r="AS59" s="37">
        <f>(Gender!CO61/'Total Bachelor''s'!AU61)*100</f>
        <v>56.320072332730561</v>
      </c>
      <c r="AT59" s="37" t="e">
        <f>(Gender!CP61/'Total Bachelor''s'!AV61)*100</f>
        <v>#DIV/0!</v>
      </c>
      <c r="AU59" s="37">
        <f>(Gender!CQ61/'Total Bachelor''s'!AW61)*100</f>
        <v>56.354300385109113</v>
      </c>
      <c r="AV59" s="37">
        <f>(Gender!CR61/'Total Bachelor''s'!AX61)*100</f>
        <v>57.027843005702785</v>
      </c>
      <c r="AW59" s="37">
        <f>(Gender!CS61/'Total Bachelor''s'!AY61)*100</f>
        <v>57.348679307775107</v>
      </c>
    </row>
    <row r="60" spans="1:49">
      <c r="A60" s="54" t="s">
        <v>198</v>
      </c>
      <c r="B60" s="37">
        <f>(Gender!AX62/'Total Bachelor''s'!D62)*100</f>
        <v>41.351819757365682</v>
      </c>
      <c r="C60" s="37">
        <f>(Gender!AY62/'Total Bachelor''s'!E62)*100</f>
        <v>40.361247947454842</v>
      </c>
      <c r="D60" s="37">
        <f>(Gender!AZ62/'Total Bachelor''s'!F62)*100</f>
        <v>44.723467862481314</v>
      </c>
      <c r="E60" s="37">
        <f>(Gender!BA62/'Total Bachelor''s'!G62)*100</f>
        <v>47.199549676329859</v>
      </c>
      <c r="F60" s="37">
        <f>(Gender!BB62/'Total Bachelor''s'!H62)*100</f>
        <v>46.610834859984294</v>
      </c>
      <c r="G60" s="37">
        <f>(Gender!BC62/'Total Bachelor''s'!I62)*100</f>
        <v>47.92382967468923</v>
      </c>
      <c r="H60" s="37">
        <f>(Gender!BD62/'Total Bachelor''s'!J62)*100</f>
        <v>51.2590799031477</v>
      </c>
      <c r="I60" s="37">
        <f>(Gender!BE62/'Total Bachelor''s'!K62)*100</f>
        <v>48.362909272681833</v>
      </c>
      <c r="J60" s="37">
        <f>(Gender!BF62/'Total Bachelor''s'!L62)*100</f>
        <v>51.725053078556257</v>
      </c>
      <c r="K60" s="37">
        <f>(Gender!BG62/'Total Bachelor''s'!M62)*100</f>
        <v>51.401374933897401</v>
      </c>
      <c r="L60" s="37">
        <f>(Gender!BH62/'Total Bachelor''s'!N62)*100</f>
        <v>52.620967741935488</v>
      </c>
      <c r="M60" s="37">
        <f>(Gender!BI62/'Total Bachelor''s'!O62)*100</f>
        <v>53.261143288844117</v>
      </c>
      <c r="N60" s="37">
        <f>(Gender!BJ62/'Total Bachelor''s'!P62)*100</f>
        <v>56.102683780630102</v>
      </c>
      <c r="O60" s="37">
        <f>(Gender!BK62/'Total Bachelor''s'!Q62)*100</f>
        <v>53.693693693693689</v>
      </c>
      <c r="P60" s="37">
        <f>(Gender!BL62/'Total Bachelor''s'!R62)*100</f>
        <v>53.741670937980523</v>
      </c>
      <c r="Q60" s="37">
        <f>(Gender!BM62/'Total Bachelor''s'!S62)*100</f>
        <v>54.612365063788026</v>
      </c>
      <c r="R60" s="37">
        <f>(Gender!BN62/'Total Bachelor''s'!T62)*100</f>
        <v>53.363340835208803</v>
      </c>
      <c r="S60" s="37">
        <f>(Gender!BO62/'Total Bachelor''s'!U62)*100</f>
        <v>54.031465093412002</v>
      </c>
      <c r="T60" s="37">
        <f>(Gender!BP62/'Total Bachelor''s'!V62)*100</f>
        <v>54.762461970512518</v>
      </c>
      <c r="U60" s="37">
        <f>(Gender!BQ62/'Total Bachelor''s'!W62)*100</f>
        <v>54.614834247555457</v>
      </c>
      <c r="V60" s="37">
        <f>(Gender!BR62/'Total Bachelor''s'!X62)*100</f>
        <v>53.641797653309723</v>
      </c>
      <c r="W60" s="37">
        <f>(Gender!BS62/'Total Bachelor''s'!Y62)*100</f>
        <v>54.952778387876123</v>
      </c>
      <c r="X60" s="37">
        <f>(Gender!BT62/'Total Bachelor''s'!Z62)*100</f>
        <v>52.753815527538151</v>
      </c>
      <c r="Y60" s="37">
        <f>(Gender!BU62/'Total Bachelor''s'!AA62)*100</f>
        <v>53.006161036753774</v>
      </c>
      <c r="Z60" s="37">
        <f>(Gender!BV62/'Total Bachelor''s'!AB62)*100</f>
        <v>53.628773281952469</v>
      </c>
      <c r="AA60" s="37">
        <f>(Gender!BW62/'Total Bachelor''s'!AC62)*100</f>
        <v>53.191025920278811</v>
      </c>
      <c r="AB60" s="37">
        <f>(Gender!BX62/'Total Bachelor''s'!AD62)*100</f>
        <v>54.215795328142377</v>
      </c>
      <c r="AC60" s="37">
        <f>(Gender!BY62/'Total Bachelor''s'!AE62)*100</f>
        <v>55.186818287305641</v>
      </c>
      <c r="AD60" s="37">
        <f>(Gender!BZ62/'Total Bachelor''s'!AF62)*100</f>
        <v>55.129068462401797</v>
      </c>
      <c r="AE60" s="37">
        <f>(Gender!CA62/'Total Bachelor''s'!AG62)*100</f>
        <v>55.994121352089024</v>
      </c>
      <c r="AF60" s="37">
        <f>(Gender!CB62/'Total Bachelor''s'!AH62)*100</f>
        <v>55.028973509933778</v>
      </c>
      <c r="AG60" s="37">
        <f>(Gender!CC62/'Total Bachelor''s'!AI62)*100</f>
        <v>55.184160102192891</v>
      </c>
      <c r="AH60" s="37">
        <f>(Gender!CD62/'Total Bachelor''s'!AJ62)*100</f>
        <v>56.04536700192596</v>
      </c>
      <c r="AI60" s="37">
        <f>(Gender!CE62/'Total Bachelor''s'!AK62)*100</f>
        <v>55.291529152915288</v>
      </c>
      <c r="AJ60" s="37">
        <f>(Gender!CF62/'Total Bachelor''s'!AL62)*100</f>
        <v>55.78743545611016</v>
      </c>
      <c r="AK60" s="37">
        <f>(Gender!CG62/'Total Bachelor''s'!AM62)*100</f>
        <v>55.784955028618157</v>
      </c>
      <c r="AL60" s="37">
        <f>(Gender!CH62/'Total Bachelor''s'!AN62)*100</f>
        <v>54.567355952619955</v>
      </c>
      <c r="AM60" s="37">
        <f>(Gender!CI62/'Total Bachelor''s'!AO62)*100</f>
        <v>54.695157812193685</v>
      </c>
      <c r="AN60" s="37">
        <f>(Gender!CJ62/'Total Bachelor''s'!AP62)*100</f>
        <v>53.339604891815618</v>
      </c>
      <c r="AO60" s="37">
        <f>(Gender!CK62/'Total Bachelor''s'!AQ62)*100</f>
        <v>52.487906012439531</v>
      </c>
      <c r="AP60" s="37">
        <f>(Gender!CL62/'Total Bachelor''s'!AR62)*100</f>
        <v>51.902173913043484</v>
      </c>
      <c r="AQ60" s="37">
        <f>(Gender!CM62/'Total Bachelor''s'!AS62)*100</f>
        <v>54.065573770491802</v>
      </c>
      <c r="AR60" s="37">
        <f>(Gender!CN62/'Total Bachelor''s'!AT62)*100</f>
        <v>54.209772401718922</v>
      </c>
      <c r="AS60" s="37">
        <f>(Gender!CO62/'Total Bachelor''s'!AU62)*100</f>
        <v>51.627457299387693</v>
      </c>
      <c r="AT60" s="37" t="e">
        <f>(Gender!CP62/'Total Bachelor''s'!AV62)*100</f>
        <v>#DIV/0!</v>
      </c>
      <c r="AU60" s="37">
        <f>(Gender!CQ62/'Total Bachelor''s'!AW62)*100</f>
        <v>51.720779220779221</v>
      </c>
      <c r="AV60" s="37">
        <f>(Gender!CR62/'Total Bachelor''s'!AX62)*100</f>
        <v>51.237544198007065</v>
      </c>
      <c r="AW60" s="37">
        <f>(Gender!CS62/'Total Bachelor''s'!AY62)*100</f>
        <v>51.120099564405727</v>
      </c>
    </row>
    <row r="61" spans="1:49">
      <c r="A61" s="59" t="s">
        <v>172</v>
      </c>
      <c r="B61" s="37">
        <f>(Gender!AX63/'Total Bachelor''s'!D63)*100</f>
        <v>46.83976768021865</v>
      </c>
      <c r="C61" s="37">
        <f>(Gender!AY63/'Total Bachelor''s'!E63)*100</f>
        <v>47.640486910121723</v>
      </c>
      <c r="D61" s="37">
        <f>(Gender!AZ63/'Total Bachelor''s'!F63)*100</f>
        <v>46.824525639015214</v>
      </c>
      <c r="E61" s="37">
        <f>(Gender!BA63/'Total Bachelor''s'!G63)*100</f>
        <v>47.605202754399386</v>
      </c>
      <c r="F61" s="37">
        <f>(Gender!BB63/'Total Bachelor''s'!H63)*100</f>
        <v>46.051864801864802</v>
      </c>
      <c r="G61" s="37">
        <f>(Gender!BC63/'Total Bachelor''s'!I63)*100</f>
        <v>47.86929679265171</v>
      </c>
      <c r="H61" s="37">
        <f>(Gender!BD63/'Total Bachelor''s'!J63)*100</f>
        <v>46.458720847045356</v>
      </c>
      <c r="I61" s="37">
        <f>(Gender!BE63/'Total Bachelor''s'!K63)*100</f>
        <v>49.190742701558008</v>
      </c>
      <c r="J61" s="37">
        <f>(Gender!BF63/'Total Bachelor''s'!L63)*100</f>
        <v>51.122342797680986</v>
      </c>
      <c r="K61" s="37">
        <f>(Gender!BG63/'Total Bachelor''s'!M63)*100</f>
        <v>52.641592272793794</v>
      </c>
      <c r="L61" s="37">
        <f>(Gender!BH63/'Total Bachelor''s'!N63)*100</f>
        <v>52.464788732394361</v>
      </c>
      <c r="M61" s="37">
        <f>(Gender!BI63/'Total Bachelor''s'!O63)*100</f>
        <v>53.547818422212423</v>
      </c>
      <c r="N61" s="37">
        <f>(Gender!BJ63/'Total Bachelor''s'!P63)*100</f>
        <v>54.532056005895356</v>
      </c>
      <c r="O61" s="37">
        <f>(Gender!BK63/'Total Bachelor''s'!Q63)*100</f>
        <v>55.51055828753254</v>
      </c>
      <c r="P61" s="37">
        <f>(Gender!BL63/'Total Bachelor''s'!R63)*100</f>
        <v>54.945379391792152</v>
      </c>
      <c r="Q61" s="37">
        <f>(Gender!BM63/'Total Bachelor''s'!S63)*100</f>
        <v>54.997885238967989</v>
      </c>
      <c r="R61" s="37">
        <f>(Gender!BN63/'Total Bachelor''s'!T63)*100</f>
        <v>54.356363636363639</v>
      </c>
      <c r="S61" s="37">
        <f>(Gender!BO63/'Total Bachelor''s'!U63)*100</f>
        <v>55.148264044106689</v>
      </c>
      <c r="T61" s="37">
        <f>(Gender!BP63/'Total Bachelor''s'!V63)*100</f>
        <v>55.920957738352804</v>
      </c>
      <c r="U61" s="37">
        <f>(Gender!BQ63/'Total Bachelor''s'!W63)*100</f>
        <v>56.001069232825451</v>
      </c>
      <c r="V61" s="37">
        <f>(Gender!BR63/'Total Bachelor''s'!X63)*100</f>
        <v>56.260857944674591</v>
      </c>
      <c r="W61" s="37">
        <f>(Gender!BS63/'Total Bachelor''s'!Y63)*100</f>
        <v>57.184134489099023</v>
      </c>
      <c r="X61" s="37">
        <f>(Gender!BT63/'Total Bachelor''s'!Z63)*100</f>
        <v>57.189861077260538</v>
      </c>
      <c r="Y61" s="37">
        <f>(Gender!BU63/'Total Bachelor''s'!AA63)*100</f>
        <v>56.429894996911678</v>
      </c>
      <c r="Z61" s="37">
        <f>(Gender!BV63/'Total Bachelor''s'!AB63)*100</f>
        <v>57.65590200445434</v>
      </c>
      <c r="AA61" s="37">
        <f>(Gender!BW63/'Total Bachelor''s'!AC63)*100</f>
        <v>57.634837057065603</v>
      </c>
      <c r="AB61" s="37">
        <f>(Gender!BX63/'Total Bachelor''s'!AD63)*100</f>
        <v>58.245466048080971</v>
      </c>
      <c r="AC61" s="37">
        <f>(Gender!BY63/'Total Bachelor''s'!AE63)*100</f>
        <v>58.251487065984229</v>
      </c>
      <c r="AD61" s="37">
        <f>(Gender!BZ63/'Total Bachelor''s'!AF63)*100</f>
        <v>58.501831998914369</v>
      </c>
      <c r="AE61" s="37">
        <f>(Gender!CA63/'Total Bachelor''s'!AG63)*100</f>
        <v>58.163701067615662</v>
      </c>
      <c r="AF61" s="37">
        <f>(Gender!CB63/'Total Bachelor''s'!AH63)*100</f>
        <v>59.462239200705255</v>
      </c>
      <c r="AG61" s="37">
        <f>(Gender!CC63/'Total Bachelor''s'!AI63)*100</f>
        <v>58.817046289493021</v>
      </c>
      <c r="AH61" s="37">
        <f>(Gender!CD63/'Total Bachelor''s'!AJ63)*100</f>
        <v>60.190897450820621</v>
      </c>
      <c r="AI61" s="37">
        <f>(Gender!CE63/'Total Bachelor''s'!AK63)*100</f>
        <v>59.494382022471918</v>
      </c>
      <c r="AJ61" s="37">
        <f>(Gender!CF63/'Total Bachelor''s'!AL63)*100</f>
        <v>59.533651298357185</v>
      </c>
      <c r="AK61" s="37">
        <f>(Gender!CG63/'Total Bachelor''s'!AM63)*100</f>
        <v>59.049896727905207</v>
      </c>
      <c r="AL61" s="37">
        <f>(Gender!CH63/'Total Bachelor''s'!AN63)*100</f>
        <v>59.511178476695711</v>
      </c>
      <c r="AM61" s="37">
        <f>(Gender!CI63/'Total Bachelor''s'!AO63)*100</f>
        <v>59.614072702465648</v>
      </c>
      <c r="AN61" s="37">
        <f>(Gender!CJ63/'Total Bachelor''s'!AP63)*100</f>
        <v>60.366989567809235</v>
      </c>
      <c r="AO61" s="37">
        <f>(Gender!CK63/'Total Bachelor''s'!AQ63)*100</f>
        <v>60.080313954549602</v>
      </c>
      <c r="AP61" s="37">
        <f>(Gender!CL63/'Total Bachelor''s'!AR63)*100</f>
        <v>59.798936907788303</v>
      </c>
      <c r="AQ61" s="37">
        <f>(Gender!CM63/'Total Bachelor''s'!AS63)*100</f>
        <v>60.228388998035363</v>
      </c>
      <c r="AR61" s="37">
        <f>(Gender!CN63/'Total Bachelor''s'!AT63)*100</f>
        <v>60.518888406426399</v>
      </c>
      <c r="AS61" s="37">
        <f>(Gender!CO63/'Total Bachelor''s'!AU63)*100</f>
        <v>59.995698462200245</v>
      </c>
      <c r="AT61" s="37" t="e">
        <f>(Gender!CP63/'Total Bachelor''s'!AV63)*100</f>
        <v>#DIV/0!</v>
      </c>
      <c r="AU61" s="37">
        <f>(Gender!CQ63/'Total Bachelor''s'!AW63)*100</f>
        <v>60.526315789473685</v>
      </c>
      <c r="AV61" s="37">
        <f>(Gender!CR63/'Total Bachelor''s'!AX63)*100</f>
        <v>59.912177358894724</v>
      </c>
      <c r="AW61" s="37">
        <f>(Gender!CS63/'Total Bachelor''s'!AY63)*100</f>
        <v>59.775186469166933</v>
      </c>
    </row>
  </sheetData>
  <phoneticPr fontId="1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TABLE 53</vt:lpstr>
      <vt:lpstr>Total Bachelor's</vt:lpstr>
      <vt:lpstr>Public</vt:lpstr>
      <vt:lpstr>Gender</vt:lpstr>
      <vt:lpstr>Black</vt:lpstr>
      <vt:lpstr>All Race</vt:lpstr>
      <vt:lpstr>White</vt:lpstr>
      <vt:lpstr>Hispanic &amp; Foreign</vt:lpstr>
      <vt:lpstr>Women as a % of Total</vt:lpstr>
      <vt:lpstr>DATA</vt:lpstr>
      <vt:lpstr>'TABLE 53'!Print_Area</vt:lpstr>
      <vt:lpstr>TABLE</vt:lpstr>
    </vt:vector>
  </TitlesOfParts>
  <Company>SREB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Cowan</dc:creator>
  <cp:lastModifiedBy>Christiana Datubo-Brown</cp:lastModifiedBy>
  <cp:lastPrinted>2013-04-19T17:29:24Z</cp:lastPrinted>
  <dcterms:created xsi:type="dcterms:W3CDTF">1999-04-13T17:57:36Z</dcterms:created>
  <dcterms:modified xsi:type="dcterms:W3CDTF">2019-07-02T13:11:39Z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susan.lounsbury@SREB.ORG</vt:lpwstr>
  </property>
  <property fmtid="{D5CDD505-2E9C-101B-9397-08002B2CF9AE}" pid="5" name="MSIP_Label_00260771-a9fd-4aa8-a138-a40ac53a5467_SetDate">
    <vt:lpwstr>2019-04-11T21:55:12.0483668Z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ies>
</file>